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ttps://usepa-my.sharepoint.com/personal/lindsay_sarah_epa_gov/Documents/Desktop/in progress/D4/"/>
    </mc:Choice>
  </mc:AlternateContent>
  <xr:revisionPtr revIDLastSave="180" documentId="8_{11B8504F-22B8-49B6-AE19-BA3A9739B076}" xr6:coauthVersionLast="47" xr6:coauthVersionMax="47" xr10:uidLastSave="{13B2F184-FF50-4957-B482-AE66E39BBC9C}"/>
  <bookViews>
    <workbookView xWindow="-110" yWindow="-110" windowWidth="19420" windowHeight="10300" tabRatio="828" xr2:uid="{823C78C6-71A3-4C07-86F4-AC03BC9D97E2}"/>
  </bookViews>
  <sheets>
    <sheet name="Cover Page" sheetId="44" r:id="rId1"/>
    <sheet name="Read Me" sheetId="43" r:id="rId2"/>
    <sheet name="Calculation Summary" sheetId="45" r:id="rId3"/>
    <sheet name="Dashboard" sheetId="31" r:id="rId4"/>
    <sheet name="RR" sheetId="40" r:id="rId5"/>
    <sheet name="Aggregate RR" sheetId="47" r:id="rId6"/>
    <sheet name="Bridge Table" sheetId="50" r:id="rId7"/>
    <sheet name="Inhalation Exposure" sheetId="37" r:id="rId8"/>
    <sheet name="Dermal Exposure" sheetId="41" r:id="rId9"/>
    <sheet name="Tables for RE" sheetId="49" state="hidden" r:id="rId10"/>
    <sheet name="Tables for Report" sheetId="48" state="hidden" r:id="rId11"/>
    <sheet name="Hazard Values" sheetId="39" r:id="rId12"/>
    <sheet name="List Values" sheetId="35" r:id="rId13"/>
    <sheet name="Exposure Factors" sheetId="38" r:id="rId14"/>
  </sheets>
  <externalReferences>
    <externalReference r:id="rId15"/>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localSheetId="2" hidden="1">100</definedName>
    <definedName name="_AtRisk_SimSetting_ConvergenceTestingPeriod" hidden="1">10</definedName>
    <definedName name="_AtRisk_SimSetting_ConvergenceTolerance" localSheetId="2" hidden="1">0.03</definedName>
    <definedName name="_AtRisk_SimSetting_ConvergenceTolerance" hidden="1">0.01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2</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15</definedName>
    <definedName name="_AtRisk_SimSetting_ReportOptionReportsFileType" hidden="1">1</definedName>
    <definedName name="_AtRisk_SimSetting_ReportOptionSelectiveQR" hidden="1">FALSE</definedName>
    <definedName name="_AtRisk_SimSetting_ReportsList" hidden="1">15</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5" hidden="1">'Aggregate RR'!$A$18:$Z$42</definedName>
    <definedName name="_xlnm._FilterDatabase" localSheetId="12" hidden="1">'List Values'!$B$1:$B$21</definedName>
    <definedName name="_xlnm._FilterDatabase" localSheetId="9" hidden="1">'Tables for RE'!$C$119:$Q$215</definedName>
    <definedName name="AH1_cm2">'Exposure Factors'!$C$5</definedName>
    <definedName name="AH1_cm2_F">'Exposure Factors'!$D$5</definedName>
    <definedName name="AH2_cm2">'Exposure Factors'!$C$6</definedName>
    <definedName name="AH2_cm2_F">'Exposure Factors'!$D$6</definedName>
    <definedName name="AT">'List Values'!$H$13</definedName>
    <definedName name="AT_ADC_high">'List Values'!$H$21</definedName>
    <definedName name="AT_ADC_mid">'List Values'!$H$20</definedName>
    <definedName name="AT_LADC">'List Values'!$H$22</definedName>
    <definedName name="BR">[1]Constants!$C$18</definedName>
    <definedName name="BW_default">'Exposure Factors'!$C$4</definedName>
    <definedName name="BW_F">'Exposure Factors'!$D$4</definedName>
    <definedName name="ED_10">'List Values'!$H$11</definedName>
    <definedName name="ED_12">'List Values'!$H$12</definedName>
    <definedName name="ED_8">'List Values'!$H$10</definedName>
    <definedName name="ED_intermediate">[1]Constants!$C$10</definedName>
    <definedName name="EF">'List Values'!$H$14</definedName>
    <definedName name="EF_intermediate">[1]Constants!$C$11</definedName>
    <definedName name="EFID">'List Values'!$H$15</definedName>
    <definedName name="ID">'List Values'!$H$16</definedName>
    <definedName name="LT">'List Values'!$H$19</definedName>
    <definedName name="Mol_Vol">'List Values'!$G$7</definedName>
    <definedName name="MW">'List Values'!$G$6</definedName>
    <definedName name="Pal_Workbook_GUID" hidden="1">"QFFA8IQU6YFGRFCXE7L4LIWR"</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localSheetId="2" hidden="1">8</definedName>
    <definedName name="RiskHasSettings" hidden="1">6</definedName>
    <definedName name="RiskMinimizeOnStart" hidden="1">FALSE</definedName>
    <definedName name="RiskMonitorConvergence" hidden="1">FALSE</definedName>
    <definedName name="RiskMultipleCPUSupportEnabled" localSheetId="2" hidden="1">FALSE</definedName>
    <definedName name="RiskMultipleCPUSupportEnabled" hidden="1">TRUE</definedName>
    <definedName name="RiskNumIterations" localSheetId="2" hidden="1">100000</definedName>
    <definedName name="RiskNumIterations" hidden="1">1000000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localSheetId="2" hidden="1">FALSE</definedName>
    <definedName name="RiskUseMultipleCPUs" hidden="1">TRUE</definedName>
    <definedName name="solver_adj" localSheetId="5" hidden="1">'Aggregate RR'!#REF!</definedName>
    <definedName name="solver_adj" localSheetId="4" hidden="1">RR!#REF!</definedName>
    <definedName name="solver_cvg" localSheetId="5" hidden="1">0.0001</definedName>
    <definedName name="solver_cvg" localSheetId="4" hidden="1">0.0001</definedName>
    <definedName name="solver_drv" localSheetId="5" hidden="1">1</definedName>
    <definedName name="solver_drv" localSheetId="4" hidden="1">1</definedName>
    <definedName name="solver_eng" localSheetId="5" hidden="1">1</definedName>
    <definedName name="solver_eng" localSheetId="4" hidden="1">1</definedName>
    <definedName name="solver_est" localSheetId="5" hidden="1">1</definedName>
    <definedName name="solver_est" localSheetId="4" hidden="1">1</definedName>
    <definedName name="solver_itr" localSheetId="5" hidden="1">2147483647</definedName>
    <definedName name="solver_itr" localSheetId="4" hidden="1">2147483647</definedName>
    <definedName name="solver_mip" localSheetId="5" hidden="1">2147483647</definedName>
    <definedName name="solver_mip" localSheetId="4" hidden="1">2147483647</definedName>
    <definedName name="solver_mni" localSheetId="5" hidden="1">30</definedName>
    <definedName name="solver_mni" localSheetId="4" hidden="1">30</definedName>
    <definedName name="solver_mrt" localSheetId="5" hidden="1">0.075</definedName>
    <definedName name="solver_mrt" localSheetId="4" hidden="1">0.075</definedName>
    <definedName name="solver_msl" localSheetId="5" hidden="1">2</definedName>
    <definedName name="solver_msl" localSheetId="4" hidden="1">2</definedName>
    <definedName name="solver_neg" localSheetId="5" hidden="1">1</definedName>
    <definedName name="solver_neg" localSheetId="4" hidden="1">1</definedName>
    <definedName name="solver_nod" localSheetId="5" hidden="1">2147483647</definedName>
    <definedName name="solver_nod" localSheetId="4" hidden="1">2147483647</definedName>
    <definedName name="solver_num" localSheetId="5" hidden="1">0</definedName>
    <definedName name="solver_num" localSheetId="4" hidden="1">0</definedName>
    <definedName name="solver_nwt" localSheetId="5" hidden="1">1</definedName>
    <definedName name="solver_nwt" localSheetId="4" hidden="1">1</definedName>
    <definedName name="solver_opt" localSheetId="5" hidden="1">'Aggregate RR'!#REF!</definedName>
    <definedName name="solver_opt" localSheetId="4" hidden="1">RR!#REF!</definedName>
    <definedName name="solver_pre" localSheetId="5" hidden="1">0.000001</definedName>
    <definedName name="solver_pre" localSheetId="4" hidden="1">0.000001</definedName>
    <definedName name="solver_rbv" localSheetId="5" hidden="1">1</definedName>
    <definedName name="solver_rbv" localSheetId="4" hidden="1">1</definedName>
    <definedName name="solver_rlx" localSheetId="5" hidden="1">2</definedName>
    <definedName name="solver_rlx" localSheetId="4" hidden="1">2</definedName>
    <definedName name="solver_rsd" localSheetId="5" hidden="1">0</definedName>
    <definedName name="solver_rsd" localSheetId="4" hidden="1">0</definedName>
    <definedName name="solver_scl" localSheetId="5" hidden="1">1</definedName>
    <definedName name="solver_scl" localSheetId="4" hidden="1">1</definedName>
    <definedName name="solver_sho" localSheetId="5" hidden="1">2</definedName>
    <definedName name="solver_sho" localSheetId="4" hidden="1">2</definedName>
    <definedName name="solver_ssz" localSheetId="5" hidden="1">100</definedName>
    <definedName name="solver_ssz" localSheetId="4" hidden="1">100</definedName>
    <definedName name="solver_tim" localSheetId="5" hidden="1">2147483647</definedName>
    <definedName name="solver_tim" localSheetId="4" hidden="1">2147483647</definedName>
    <definedName name="solver_tol" localSheetId="5" hidden="1">0.01</definedName>
    <definedName name="solver_tol" localSheetId="4" hidden="1">0.01</definedName>
    <definedName name="solver_typ" localSheetId="5" hidden="1">3</definedName>
    <definedName name="solver_typ" localSheetId="4" hidden="1">3</definedName>
    <definedName name="solver_val" localSheetId="5" hidden="1">1</definedName>
    <definedName name="solver_val" localSheetId="4" hidden="1">1</definedName>
    <definedName name="solver_ver" localSheetId="5" hidden="1">3</definedName>
    <definedName name="solver_ver" localSheetId="4" hidden="1">3</definedName>
    <definedName name="WorkBreathRate">'Exposure Factors'!$C$10</definedName>
    <definedName name="WorkRestRate">'Exposure Factors'!$C$11</definedName>
    <definedName name="WY_high">'List Values'!$H$18</definedName>
    <definedName name="WY_mid">'List Values'!$H$17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2" i="37" l="1"/>
  <c r="K52" i="37"/>
  <c r="L52" i="37"/>
  <c r="N52" i="37" s="1"/>
  <c r="AP105" i="50"/>
  <c r="AN105" i="50"/>
  <c r="AL105" i="50"/>
  <c r="AJ105" i="50"/>
  <c r="AH105" i="50"/>
  <c r="AF105" i="50"/>
  <c r="AN95" i="50"/>
  <c r="AL95" i="50"/>
  <c r="AJ95" i="50"/>
  <c r="AH95" i="50"/>
  <c r="AF95" i="50"/>
  <c r="AP93" i="50"/>
  <c r="AN93" i="50"/>
  <c r="AL93" i="50"/>
  <c r="AJ93" i="50"/>
  <c r="AH93" i="50"/>
  <c r="AP91" i="50"/>
  <c r="AN91" i="50"/>
  <c r="AL91" i="50"/>
  <c r="AJ91" i="50"/>
  <c r="AH91" i="50"/>
  <c r="AF91" i="50"/>
  <c r="AP89" i="50"/>
  <c r="AN89" i="50"/>
  <c r="AL89" i="50"/>
  <c r="AJ89" i="50"/>
  <c r="AH89" i="50"/>
  <c r="AF89" i="50"/>
  <c r="AG45" i="50"/>
  <c r="AJ45" i="50"/>
  <c r="AK45" i="50"/>
  <c r="AL45" i="50"/>
  <c r="AM45" i="50"/>
  <c r="AN45" i="50"/>
  <c r="AO45" i="50"/>
  <c r="AP45" i="50"/>
  <c r="AQ45" i="50"/>
  <c r="AF45" i="50"/>
  <c r="AG43" i="50"/>
  <c r="AJ43" i="50"/>
  <c r="AK43" i="50"/>
  <c r="AL43" i="50"/>
  <c r="AM43" i="50"/>
  <c r="AN43" i="50"/>
  <c r="AO43" i="50"/>
  <c r="AP43" i="50"/>
  <c r="AQ43" i="50"/>
  <c r="AF43" i="50"/>
  <c r="AF42" i="50"/>
  <c r="AF41" i="50"/>
  <c r="AD105" i="50"/>
  <c r="AC105" i="50"/>
  <c r="AB105" i="50"/>
  <c r="K5" i="37" l="1"/>
  <c r="K86" i="37"/>
  <c r="M86" i="37" s="1"/>
  <c r="BF88" i="50" s="1"/>
  <c r="J88" i="50" s="1"/>
  <c r="L88" i="50" s="1"/>
  <c r="BD62" i="50"/>
  <c r="F62" i="50" s="1"/>
  <c r="H62" i="50" s="1"/>
  <c r="BE62" i="50"/>
  <c r="G62" i="50" s="1"/>
  <c r="I62" i="50" s="1"/>
  <c r="BF62" i="50"/>
  <c r="J62" i="50" s="1"/>
  <c r="L62" i="50" s="1"/>
  <c r="BG62" i="50"/>
  <c r="K62" i="50" s="1"/>
  <c r="M62" i="50" s="1"/>
  <c r="BH62" i="50"/>
  <c r="N62" i="50" s="1"/>
  <c r="BI62" i="50"/>
  <c r="O62" i="50" s="1"/>
  <c r="BD63" i="50"/>
  <c r="F63" i="50" s="1"/>
  <c r="H63" i="50" s="1"/>
  <c r="BE63" i="50"/>
  <c r="G63" i="50" s="1"/>
  <c r="I63" i="50" s="1"/>
  <c r="BF63" i="50"/>
  <c r="J63" i="50" s="1"/>
  <c r="L63" i="50" s="1"/>
  <c r="BG63" i="50"/>
  <c r="K63" i="50" s="1"/>
  <c r="M63" i="50" s="1"/>
  <c r="BH63" i="50"/>
  <c r="N63" i="50" s="1"/>
  <c r="BI63" i="50"/>
  <c r="O63" i="50" s="1"/>
  <c r="BD90" i="50"/>
  <c r="F90" i="50" s="1"/>
  <c r="H90" i="50" s="1"/>
  <c r="BE90" i="50"/>
  <c r="G90" i="50" s="1"/>
  <c r="I90" i="50" s="1"/>
  <c r="BF90" i="50"/>
  <c r="J90" i="50" s="1"/>
  <c r="L90" i="50" s="1"/>
  <c r="BG90" i="50"/>
  <c r="K90" i="50" s="1"/>
  <c r="M90" i="50" s="1"/>
  <c r="BH90" i="50"/>
  <c r="N90" i="50" s="1"/>
  <c r="BI90" i="50"/>
  <c r="O90" i="50" s="1"/>
  <c r="BD91" i="50"/>
  <c r="F91" i="50" s="1"/>
  <c r="H91" i="50" s="1"/>
  <c r="BE91" i="50"/>
  <c r="G91" i="50" s="1"/>
  <c r="I91" i="50" s="1"/>
  <c r="BF91" i="50"/>
  <c r="J91" i="50" s="1"/>
  <c r="L91" i="50" s="1"/>
  <c r="BG91" i="50"/>
  <c r="K91" i="50" s="1"/>
  <c r="M91" i="50" s="1"/>
  <c r="BH91" i="50"/>
  <c r="N91" i="50" s="1"/>
  <c r="BI91" i="50"/>
  <c r="O91" i="50" s="1"/>
  <c r="Q91" i="50" s="1"/>
  <c r="BD92" i="50"/>
  <c r="F92" i="50" s="1"/>
  <c r="H92" i="50" s="1"/>
  <c r="BE92" i="50"/>
  <c r="G92" i="50" s="1"/>
  <c r="I92" i="50" s="1"/>
  <c r="BF92" i="50"/>
  <c r="J92" i="50" s="1"/>
  <c r="L92" i="50" s="1"/>
  <c r="BG92" i="50"/>
  <c r="K92" i="50" s="1"/>
  <c r="M92" i="50" s="1"/>
  <c r="BH92" i="50"/>
  <c r="N92" i="50" s="1"/>
  <c r="BI92" i="50"/>
  <c r="O92" i="50" s="1"/>
  <c r="BD93" i="50"/>
  <c r="F93" i="50" s="1"/>
  <c r="H93" i="50" s="1"/>
  <c r="BE93" i="50"/>
  <c r="G93" i="50" s="1"/>
  <c r="I93" i="50" s="1"/>
  <c r="BF93" i="50"/>
  <c r="J93" i="50" s="1"/>
  <c r="L93" i="50" s="1"/>
  <c r="BG93" i="50"/>
  <c r="K93" i="50" s="1"/>
  <c r="M93" i="50" s="1"/>
  <c r="BH93" i="50"/>
  <c r="N93" i="50" s="1"/>
  <c r="BI93" i="50"/>
  <c r="O93" i="50" s="1"/>
  <c r="BD106" i="50"/>
  <c r="F106" i="50" s="1"/>
  <c r="H106" i="50" s="1"/>
  <c r="BE106" i="50"/>
  <c r="G106" i="50" s="1"/>
  <c r="I106" i="50" s="1"/>
  <c r="BF106" i="50"/>
  <c r="J106" i="50" s="1"/>
  <c r="L106" i="50" s="1"/>
  <c r="BG106" i="50"/>
  <c r="K106" i="50" s="1"/>
  <c r="M106" i="50" s="1"/>
  <c r="BH106" i="50"/>
  <c r="N106" i="50" s="1"/>
  <c r="BI106" i="50"/>
  <c r="O106" i="50" s="1"/>
  <c r="BD107" i="50"/>
  <c r="F107" i="50" s="1"/>
  <c r="H107" i="50" s="1"/>
  <c r="BE107" i="50"/>
  <c r="G107" i="50" s="1"/>
  <c r="I107" i="50" s="1"/>
  <c r="BF107" i="50"/>
  <c r="J107" i="50" s="1"/>
  <c r="L107" i="50" s="1"/>
  <c r="BG107" i="50"/>
  <c r="K107" i="50" s="1"/>
  <c r="M107" i="50" s="1"/>
  <c r="BH107" i="50"/>
  <c r="N107" i="50" s="1"/>
  <c r="BI107" i="50"/>
  <c r="O107" i="50" s="1"/>
  <c r="BD108" i="50"/>
  <c r="F108" i="50" s="1"/>
  <c r="H108" i="50" s="1"/>
  <c r="BE108" i="50"/>
  <c r="G108" i="50" s="1"/>
  <c r="I108" i="50" s="1"/>
  <c r="BF108" i="50"/>
  <c r="J108" i="50" s="1"/>
  <c r="L108" i="50" s="1"/>
  <c r="BG108" i="50"/>
  <c r="K108" i="50" s="1"/>
  <c r="M108" i="50" s="1"/>
  <c r="BH108" i="50"/>
  <c r="N108" i="50" s="1"/>
  <c r="BI108" i="50"/>
  <c r="O108" i="50" s="1"/>
  <c r="BD109" i="50"/>
  <c r="F109" i="50" s="1"/>
  <c r="H109" i="50" s="1"/>
  <c r="BE109" i="50"/>
  <c r="G109" i="50" s="1"/>
  <c r="I109" i="50" s="1"/>
  <c r="BF109" i="50"/>
  <c r="J109" i="50" s="1"/>
  <c r="L109" i="50" s="1"/>
  <c r="BG109" i="50"/>
  <c r="K109" i="50" s="1"/>
  <c r="M109" i="50" s="1"/>
  <c r="BH109" i="50"/>
  <c r="N109" i="50" s="1"/>
  <c r="BI109" i="50"/>
  <c r="O109" i="50" s="1"/>
  <c r="BC8" i="50"/>
  <c r="BC9" i="50"/>
  <c r="BC10" i="50"/>
  <c r="BC11" i="50"/>
  <c r="BC12" i="50"/>
  <c r="BC13" i="50"/>
  <c r="BC14" i="50"/>
  <c r="BC15" i="50"/>
  <c r="BC16" i="50"/>
  <c r="BC17" i="50"/>
  <c r="BC18" i="50"/>
  <c r="BC19" i="50"/>
  <c r="BC20" i="50"/>
  <c r="BC21" i="50"/>
  <c r="BC22" i="50"/>
  <c r="BC23" i="50"/>
  <c r="BC24" i="50"/>
  <c r="BC25" i="50"/>
  <c r="BC26" i="50"/>
  <c r="BC27" i="50"/>
  <c r="BC28" i="50"/>
  <c r="BC29" i="50"/>
  <c r="BC30" i="50"/>
  <c r="BC31" i="50"/>
  <c r="BC32" i="50"/>
  <c r="BC33" i="50"/>
  <c r="BC34" i="50"/>
  <c r="BC35" i="50"/>
  <c r="BC36" i="50"/>
  <c r="BC37" i="50"/>
  <c r="BC38" i="50"/>
  <c r="BC39" i="50"/>
  <c r="BC40" i="50"/>
  <c r="BC41" i="50"/>
  <c r="BC42" i="50"/>
  <c r="BC43" i="50"/>
  <c r="BC44" i="50"/>
  <c r="BC45" i="50"/>
  <c r="BC46" i="50"/>
  <c r="BC47" i="50"/>
  <c r="BC48" i="50"/>
  <c r="BC49" i="50"/>
  <c r="BC50" i="50"/>
  <c r="BC51" i="50"/>
  <c r="BC52" i="50"/>
  <c r="BC53" i="50"/>
  <c r="BC54" i="50"/>
  <c r="BC55" i="50"/>
  <c r="BC56" i="50"/>
  <c r="BC57" i="50"/>
  <c r="BC58" i="50"/>
  <c r="BC59" i="50"/>
  <c r="BC60" i="50"/>
  <c r="BC61" i="50"/>
  <c r="BC62" i="50"/>
  <c r="BC63" i="50"/>
  <c r="BC64" i="50"/>
  <c r="BC65" i="50"/>
  <c r="BC66" i="50"/>
  <c r="BC67" i="50"/>
  <c r="BC68" i="50"/>
  <c r="BC69" i="50"/>
  <c r="BC70" i="50"/>
  <c r="BC71" i="50"/>
  <c r="BC72" i="50"/>
  <c r="BC73" i="50"/>
  <c r="BC74" i="50"/>
  <c r="BC75" i="50"/>
  <c r="BC76" i="50"/>
  <c r="BC77" i="50"/>
  <c r="BC78" i="50"/>
  <c r="BC79" i="50"/>
  <c r="BC80" i="50"/>
  <c r="BC81" i="50"/>
  <c r="BC82" i="50"/>
  <c r="BC83" i="50"/>
  <c r="BC84" i="50"/>
  <c r="BC85" i="50"/>
  <c r="BC86" i="50"/>
  <c r="BC87" i="50"/>
  <c r="BC88" i="50"/>
  <c r="BC89" i="50"/>
  <c r="BC90" i="50"/>
  <c r="BC91" i="50"/>
  <c r="BC92" i="50"/>
  <c r="BC93" i="50"/>
  <c r="BC94" i="50"/>
  <c r="BC95" i="50"/>
  <c r="BC96" i="50"/>
  <c r="BC97" i="50"/>
  <c r="BC98" i="50"/>
  <c r="BC99" i="50"/>
  <c r="BC100" i="50"/>
  <c r="BC101" i="50"/>
  <c r="BC102" i="50"/>
  <c r="BC103" i="50"/>
  <c r="BC104" i="50"/>
  <c r="BC105" i="50"/>
  <c r="BC106" i="50"/>
  <c r="BC107" i="50"/>
  <c r="BC108" i="50"/>
  <c r="BC109" i="50"/>
  <c r="BC110" i="50"/>
  <c r="BC111" i="50"/>
  <c r="BC7" i="50"/>
  <c r="BB88" i="50"/>
  <c r="BB89" i="50"/>
  <c r="BB90" i="50"/>
  <c r="BB91" i="50"/>
  <c r="BB92" i="50"/>
  <c r="BB93" i="50"/>
  <c r="BB94" i="50"/>
  <c r="BB95" i="50"/>
  <c r="BB96" i="50"/>
  <c r="BB97" i="50"/>
  <c r="BB98" i="50"/>
  <c r="BB99" i="50"/>
  <c r="BB100" i="50"/>
  <c r="BB101" i="50"/>
  <c r="BB102" i="50"/>
  <c r="BB103" i="50"/>
  <c r="BB104" i="50"/>
  <c r="BB105" i="50"/>
  <c r="BB106" i="50"/>
  <c r="BB107" i="50"/>
  <c r="BB108" i="50"/>
  <c r="BB109" i="50"/>
  <c r="BB110" i="50"/>
  <c r="BB111" i="50"/>
  <c r="BB8" i="50"/>
  <c r="BB9" i="50"/>
  <c r="BB10" i="50"/>
  <c r="BB11" i="50"/>
  <c r="BB12" i="50"/>
  <c r="BB13" i="50"/>
  <c r="BB14" i="50"/>
  <c r="BB15" i="50"/>
  <c r="BB16" i="50"/>
  <c r="BB17" i="50"/>
  <c r="BB18" i="50"/>
  <c r="BB19" i="50"/>
  <c r="BB20" i="50"/>
  <c r="BB21" i="50"/>
  <c r="BB22" i="50"/>
  <c r="BB23" i="50"/>
  <c r="BB24" i="50"/>
  <c r="BB25" i="50"/>
  <c r="BB26" i="50"/>
  <c r="BB27" i="50"/>
  <c r="BB28" i="50"/>
  <c r="BB29" i="50"/>
  <c r="BB30" i="50"/>
  <c r="BB31" i="50"/>
  <c r="BB32" i="50"/>
  <c r="BB33" i="50"/>
  <c r="BB34" i="50"/>
  <c r="BB35" i="50"/>
  <c r="BB36" i="50"/>
  <c r="BB37" i="50"/>
  <c r="BB38" i="50"/>
  <c r="BB39" i="50"/>
  <c r="BB40" i="50"/>
  <c r="BB41" i="50"/>
  <c r="BB42" i="50"/>
  <c r="BB43" i="50"/>
  <c r="BB44" i="50"/>
  <c r="BB45" i="50"/>
  <c r="BB46" i="50"/>
  <c r="BB47" i="50"/>
  <c r="BB48" i="50"/>
  <c r="BB49" i="50"/>
  <c r="BB50" i="50"/>
  <c r="BB51" i="50"/>
  <c r="BB52" i="50"/>
  <c r="BB53" i="50"/>
  <c r="BB54" i="50"/>
  <c r="BB55" i="50"/>
  <c r="BB56" i="50"/>
  <c r="BB57" i="50"/>
  <c r="BB58" i="50"/>
  <c r="BB59" i="50"/>
  <c r="BB60" i="50"/>
  <c r="BB61" i="50"/>
  <c r="BB62" i="50"/>
  <c r="BB63" i="50"/>
  <c r="BB64" i="50"/>
  <c r="BB65" i="50"/>
  <c r="BB66" i="50"/>
  <c r="BB67" i="50"/>
  <c r="BB68" i="50"/>
  <c r="BB69" i="50"/>
  <c r="BB70" i="50"/>
  <c r="BB71" i="50"/>
  <c r="BB72" i="50"/>
  <c r="BB73" i="50"/>
  <c r="BB74" i="50"/>
  <c r="BB75" i="50"/>
  <c r="BB76" i="50"/>
  <c r="BB77" i="50"/>
  <c r="BB78" i="50"/>
  <c r="BB79" i="50"/>
  <c r="BB80" i="50"/>
  <c r="BB81" i="50"/>
  <c r="BB82" i="50"/>
  <c r="BB83" i="50"/>
  <c r="BB84" i="50"/>
  <c r="BB85" i="50"/>
  <c r="BB86" i="50"/>
  <c r="BB87" i="50"/>
  <c r="BB7" i="50"/>
  <c r="BD88" i="50" l="1"/>
  <c r="F88" i="50" s="1"/>
  <c r="H88" i="50" s="1"/>
  <c r="O5" i="37"/>
  <c r="M5" i="37"/>
  <c r="O86" i="37"/>
  <c r="BH88" i="50" s="1"/>
  <c r="N88" i="50" s="1"/>
  <c r="P88" i="50" s="1"/>
  <c r="P109" i="50"/>
  <c r="P108" i="50"/>
  <c r="P107" i="50"/>
  <c r="P106" i="50"/>
  <c r="P93" i="50"/>
  <c r="P92" i="50"/>
  <c r="P91" i="50"/>
  <c r="P90" i="50"/>
  <c r="P63" i="50"/>
  <c r="P62" i="50"/>
  <c r="Q109" i="50"/>
  <c r="Q108" i="50"/>
  <c r="Q107" i="50"/>
  <c r="Q106" i="50"/>
  <c r="Q93" i="50"/>
  <c r="Q92" i="50"/>
  <c r="Q90" i="50"/>
  <c r="Q63" i="50"/>
  <c r="Q62" i="50"/>
  <c r="N5" i="41" l="1"/>
  <c r="N6" i="41"/>
  <c r="N7" i="41"/>
  <c r="N8" i="41"/>
  <c r="N9" i="41"/>
  <c r="N10" i="41"/>
  <c r="N11" i="41"/>
  <c r="N12" i="41"/>
  <c r="N13" i="41"/>
  <c r="N14" i="41"/>
  <c r="N15" i="41"/>
  <c r="N16" i="41"/>
  <c r="N17" i="41"/>
  <c r="N18" i="41"/>
  <c r="N19" i="41"/>
  <c r="N20" i="41"/>
  <c r="N21" i="41"/>
  <c r="N22" i="41"/>
  <c r="N23" i="41"/>
  <c r="N24" i="41"/>
  <c r="N26" i="41"/>
  <c r="N28" i="41"/>
  <c r="N30" i="41"/>
  <c r="N31" i="41"/>
  <c r="N32" i="41"/>
  <c r="N33" i="41"/>
  <c r="N34" i="41"/>
  <c r="N35" i="41"/>
  <c r="N36" i="41"/>
  <c r="N37" i="41"/>
  <c r="N38" i="41"/>
  <c r="N39" i="41"/>
  <c r="N40" i="41"/>
  <c r="N41" i="41"/>
  <c r="N42" i="41"/>
  <c r="N43" i="41"/>
  <c r="N44" i="41"/>
  <c r="N45" i="41"/>
  <c r="N46" i="41"/>
  <c r="N47" i="41"/>
  <c r="N48" i="41"/>
  <c r="N49" i="41"/>
  <c r="N50" i="41"/>
  <c r="N51" i="41"/>
  <c r="N52" i="41"/>
  <c r="N53" i="41"/>
  <c r="N54" i="41"/>
  <c r="N55" i="41"/>
  <c r="N56" i="41"/>
  <c r="N57" i="41"/>
  <c r="N58" i="41"/>
  <c r="N59" i="41"/>
  <c r="N60" i="41"/>
  <c r="N61" i="41"/>
  <c r="N62" i="41"/>
  <c r="N63" i="41"/>
  <c r="N64" i="41"/>
  <c r="N65" i="41"/>
  <c r="N66" i="41"/>
  <c r="N67" i="41"/>
  <c r="N68" i="41"/>
  <c r="N69" i="41"/>
  <c r="N70" i="41"/>
  <c r="N71" i="41"/>
  <c r="N72" i="41"/>
  <c r="N73" i="41"/>
  <c r="N74" i="41"/>
  <c r="L58" i="41"/>
  <c r="M58" i="41"/>
  <c r="O58" i="41"/>
  <c r="P58" i="41"/>
  <c r="Q58" i="41"/>
  <c r="R58" i="41" l="1"/>
  <c r="T58" i="41"/>
  <c r="S58" i="41"/>
  <c r="U58" i="41" s="1"/>
  <c r="W58" i="41" s="1"/>
  <c r="O4" i="41"/>
  <c r="O5" i="41"/>
  <c r="O6" i="41"/>
  <c r="O7" i="41"/>
  <c r="O8" i="41"/>
  <c r="O9" i="41"/>
  <c r="O10" i="41"/>
  <c r="O11" i="41"/>
  <c r="O12" i="41"/>
  <c r="O13" i="41"/>
  <c r="O14" i="41"/>
  <c r="O15" i="41"/>
  <c r="O16" i="41"/>
  <c r="O17" i="41"/>
  <c r="O18" i="41"/>
  <c r="O19" i="41"/>
  <c r="O20" i="41"/>
  <c r="O21" i="41"/>
  <c r="O22" i="41"/>
  <c r="O23" i="41"/>
  <c r="O24" i="41"/>
  <c r="O26" i="41"/>
  <c r="O28" i="41"/>
  <c r="O30" i="41"/>
  <c r="O31" i="41"/>
  <c r="O32" i="41"/>
  <c r="O33" i="41"/>
  <c r="O34" i="41"/>
  <c r="O35" i="41"/>
  <c r="O36" i="41"/>
  <c r="O37" i="41"/>
  <c r="O38" i="41"/>
  <c r="O39" i="41"/>
  <c r="O40" i="41"/>
  <c r="O41" i="41"/>
  <c r="O42" i="41"/>
  <c r="O43" i="41"/>
  <c r="O44" i="41"/>
  <c r="O45" i="41"/>
  <c r="O46" i="41"/>
  <c r="O47" i="41"/>
  <c r="O48" i="41"/>
  <c r="O49" i="41"/>
  <c r="O50" i="41"/>
  <c r="O51" i="41"/>
  <c r="O52" i="41"/>
  <c r="O53" i="41"/>
  <c r="O54" i="41"/>
  <c r="O55" i="41"/>
  <c r="O56" i="41"/>
  <c r="O57" i="41"/>
  <c r="O59" i="41"/>
  <c r="O60" i="41"/>
  <c r="O61" i="41"/>
  <c r="O62" i="41"/>
  <c r="O63" i="41"/>
  <c r="O64" i="41"/>
  <c r="O65" i="41"/>
  <c r="O66" i="41"/>
  <c r="O67" i="41"/>
  <c r="O68" i="41"/>
  <c r="O69" i="41"/>
  <c r="O70" i="41"/>
  <c r="O71" i="41"/>
  <c r="O72" i="41"/>
  <c r="O73" i="41"/>
  <c r="O74" i="41"/>
  <c r="L4" i="41"/>
  <c r="L5" i="41"/>
  <c r="L6" i="41"/>
  <c r="L7" i="41"/>
  <c r="L8" i="41"/>
  <c r="L9" i="41"/>
  <c r="L10" i="41"/>
  <c r="L11" i="41"/>
  <c r="L12" i="41"/>
  <c r="L13" i="41"/>
  <c r="L14" i="41"/>
  <c r="L15" i="41"/>
  <c r="L16" i="41"/>
  <c r="L17" i="41"/>
  <c r="L18" i="41"/>
  <c r="L19" i="41"/>
  <c r="L20" i="41"/>
  <c r="L21" i="41"/>
  <c r="L22" i="41"/>
  <c r="L23" i="41"/>
  <c r="L24" i="41"/>
  <c r="L25" i="41"/>
  <c r="L26" i="41"/>
  <c r="L27" i="41"/>
  <c r="L28" i="41"/>
  <c r="L29" i="41"/>
  <c r="L30" i="41"/>
  <c r="L31" i="41"/>
  <c r="L32" i="41"/>
  <c r="L33" i="41"/>
  <c r="L34" i="41"/>
  <c r="L35" i="41"/>
  <c r="L36" i="41"/>
  <c r="L37" i="41"/>
  <c r="L38" i="41"/>
  <c r="L39" i="41"/>
  <c r="L40" i="41"/>
  <c r="L41" i="41"/>
  <c r="L42" i="41"/>
  <c r="L43" i="41"/>
  <c r="L44" i="41"/>
  <c r="L45" i="41"/>
  <c r="L46" i="41"/>
  <c r="L47" i="41"/>
  <c r="L48" i="41"/>
  <c r="L49" i="41"/>
  <c r="L50" i="41"/>
  <c r="L51" i="41"/>
  <c r="L52" i="41"/>
  <c r="L53" i="41"/>
  <c r="L54" i="41"/>
  <c r="L55" i="41"/>
  <c r="L56" i="41"/>
  <c r="L57" i="41"/>
  <c r="L59" i="41"/>
  <c r="L60" i="41"/>
  <c r="L61" i="41"/>
  <c r="L62" i="41"/>
  <c r="L63" i="41"/>
  <c r="L64" i="41"/>
  <c r="L65" i="41"/>
  <c r="L66" i="41"/>
  <c r="L67" i="41"/>
  <c r="L68" i="41"/>
  <c r="L69" i="41"/>
  <c r="L70" i="41"/>
  <c r="L71" i="41"/>
  <c r="L72" i="41"/>
  <c r="L73" i="41"/>
  <c r="L74" i="41"/>
  <c r="V58" i="41" l="1"/>
  <c r="BR89" i="50"/>
  <c r="BP89" i="50"/>
  <c r="BQ89" i="50"/>
  <c r="BO89" i="50"/>
  <c r="Y58" i="41"/>
  <c r="BT89" i="50" s="1"/>
  <c r="X58" i="41"/>
  <c r="BS89" i="50" s="1"/>
  <c r="AN14" i="35" a="1"/>
  <c r="AN14" i="35" s="1"/>
  <c r="AM14" i="35" a="1"/>
  <c r="AM14" i="35" s="1"/>
  <c r="AR14" i="35" a="1"/>
  <c r="AR14" i="35" s="1"/>
  <c r="AQ14" i="35" a="1"/>
  <c r="AQ14" i="35" s="1"/>
  <c r="AP14" i="35" a="1"/>
  <c r="AP14" i="35" s="1"/>
  <c r="AL14" i="35" a="1"/>
  <c r="AL14" i="35" s="1"/>
  <c r="AC89" i="50" l="1"/>
  <c r="AA89" i="50"/>
  <c r="U89" i="50"/>
  <c r="S89" i="50"/>
  <c r="V89" i="50"/>
  <c r="T89" i="50"/>
  <c r="AD89" i="50"/>
  <c r="AB89" i="50"/>
  <c r="Y89" i="50"/>
  <c r="W89" i="50"/>
  <c r="Z89" i="50"/>
  <c r="X89" i="50"/>
  <c r="L5" i="37"/>
  <c r="BE7" i="50" l="1"/>
  <c r="G7" i="50" s="1"/>
  <c r="I7" i="50" s="1"/>
  <c r="N5" i="37"/>
  <c r="BG7" i="50" s="1"/>
  <c r="K7" i="50" s="1"/>
  <c r="M7" i="50" s="1"/>
  <c r="P5" i="37"/>
  <c r="BI7" i="50" s="1"/>
  <c r="O7" i="50" s="1"/>
  <c r="Q7" i="50" s="1"/>
  <c r="L6" i="37"/>
  <c r="BE8" i="50" s="1"/>
  <c r="G8" i="50" s="1"/>
  <c r="I8" i="50" s="1"/>
  <c r="L7" i="37"/>
  <c r="BE9" i="50" s="1"/>
  <c r="G9" i="50" s="1"/>
  <c r="I9" i="50" s="1"/>
  <c r="L8" i="37"/>
  <c r="BE10" i="50" s="1"/>
  <c r="G10" i="50" s="1"/>
  <c r="I10" i="50" s="1"/>
  <c r="L9" i="37"/>
  <c r="BE11" i="50" s="1"/>
  <c r="G11" i="50" s="1"/>
  <c r="I11" i="50" s="1"/>
  <c r="L10" i="37"/>
  <c r="BE12" i="50" s="1"/>
  <c r="G12" i="50" s="1"/>
  <c r="I12" i="50" s="1"/>
  <c r="L11" i="37"/>
  <c r="BE13" i="50" s="1"/>
  <c r="G13" i="50" s="1"/>
  <c r="I13" i="50" s="1"/>
  <c r="L12" i="37"/>
  <c r="BE14" i="50" s="1"/>
  <c r="G14" i="50" s="1"/>
  <c r="I14" i="50" s="1"/>
  <c r="L13" i="37"/>
  <c r="BE15" i="50" s="1"/>
  <c r="G15" i="50" s="1"/>
  <c r="I15" i="50" s="1"/>
  <c r="L14" i="37"/>
  <c r="BE16" i="50" s="1"/>
  <c r="G16" i="50" s="1"/>
  <c r="I16" i="50" s="1"/>
  <c r="L15" i="37"/>
  <c r="BE17" i="50" s="1"/>
  <c r="G17" i="50" s="1"/>
  <c r="I17" i="50" s="1"/>
  <c r="L16" i="37"/>
  <c r="BE18" i="50" s="1"/>
  <c r="G18" i="50" s="1"/>
  <c r="I18" i="50" s="1"/>
  <c r="L17" i="37"/>
  <c r="BE19" i="50" s="1"/>
  <c r="G19" i="50" s="1"/>
  <c r="I19" i="50" s="1"/>
  <c r="L18" i="37"/>
  <c r="BE20" i="50" s="1"/>
  <c r="G20" i="50" s="1"/>
  <c r="I20" i="50" s="1"/>
  <c r="L19" i="37"/>
  <c r="BE21" i="50" s="1"/>
  <c r="G21" i="50" s="1"/>
  <c r="I21" i="50" s="1"/>
  <c r="L20" i="37"/>
  <c r="L21" i="37"/>
  <c r="BE23" i="50" s="1"/>
  <c r="G23" i="50" s="1"/>
  <c r="I23" i="50" s="1"/>
  <c r="L22" i="37"/>
  <c r="BE24" i="50" s="1"/>
  <c r="G24" i="50" s="1"/>
  <c r="I24" i="50" s="1"/>
  <c r="L23" i="37"/>
  <c r="BE25" i="50" s="1"/>
  <c r="G25" i="50" s="1"/>
  <c r="I25" i="50" s="1"/>
  <c r="L24" i="37"/>
  <c r="BE26" i="50" s="1"/>
  <c r="G26" i="50" s="1"/>
  <c r="I26" i="50" s="1"/>
  <c r="L25" i="37"/>
  <c r="BE27" i="50" s="1"/>
  <c r="G27" i="50" s="1"/>
  <c r="I27" i="50" s="1"/>
  <c r="L26" i="37"/>
  <c r="BE28" i="50" s="1"/>
  <c r="G28" i="50" s="1"/>
  <c r="I28" i="50" s="1"/>
  <c r="L27" i="37"/>
  <c r="BE29" i="50" s="1"/>
  <c r="G29" i="50" s="1"/>
  <c r="I29" i="50" s="1"/>
  <c r="L28" i="37"/>
  <c r="BE30" i="50" s="1"/>
  <c r="G30" i="50" s="1"/>
  <c r="I30" i="50" s="1"/>
  <c r="L29" i="37"/>
  <c r="BE31" i="50" s="1"/>
  <c r="G31" i="50" s="1"/>
  <c r="I31" i="50" s="1"/>
  <c r="L30" i="37"/>
  <c r="BE32" i="50" s="1"/>
  <c r="G32" i="50" s="1"/>
  <c r="I32" i="50" s="1"/>
  <c r="L31" i="37"/>
  <c r="BE33" i="50" s="1"/>
  <c r="G33" i="50" s="1"/>
  <c r="I33" i="50" s="1"/>
  <c r="L32" i="37"/>
  <c r="BE34" i="50" s="1"/>
  <c r="G34" i="50" s="1"/>
  <c r="I34" i="50" s="1"/>
  <c r="L33" i="37"/>
  <c r="BE35" i="50" s="1"/>
  <c r="G35" i="50" s="1"/>
  <c r="I35" i="50" s="1"/>
  <c r="L34" i="37"/>
  <c r="BE36" i="50" s="1"/>
  <c r="G36" i="50" s="1"/>
  <c r="I36" i="50" s="1"/>
  <c r="L35" i="37"/>
  <c r="BE37" i="50" s="1"/>
  <c r="G37" i="50" s="1"/>
  <c r="I37" i="50" s="1"/>
  <c r="L36" i="37"/>
  <c r="BE38" i="50" s="1"/>
  <c r="G38" i="50" s="1"/>
  <c r="I38" i="50" s="1"/>
  <c r="L37" i="37"/>
  <c r="BE39" i="50" s="1"/>
  <c r="G39" i="50" s="1"/>
  <c r="I39" i="50" s="1"/>
  <c r="L38" i="37"/>
  <c r="BE40" i="50" s="1"/>
  <c r="G40" i="50" s="1"/>
  <c r="I40" i="50" s="1"/>
  <c r="L39" i="37"/>
  <c r="BE41" i="50" s="1"/>
  <c r="G41" i="50" s="1"/>
  <c r="L40" i="37"/>
  <c r="BE42" i="50" s="1"/>
  <c r="G42" i="50" s="1"/>
  <c r="I42" i="50" s="1"/>
  <c r="L41" i="37"/>
  <c r="BE43" i="50" s="1"/>
  <c r="G43" i="50" s="1"/>
  <c r="I43" i="50" s="1"/>
  <c r="AI43" i="50" s="1"/>
  <c r="L42" i="37"/>
  <c r="BE44" i="50" s="1"/>
  <c r="G44" i="50" s="1"/>
  <c r="I44" i="50" s="1"/>
  <c r="L43" i="37"/>
  <c r="BE45" i="50" s="1"/>
  <c r="G45" i="50" s="1"/>
  <c r="I45" i="50" s="1"/>
  <c r="AI45" i="50" s="1"/>
  <c r="L44" i="37"/>
  <c r="BE46" i="50" s="1"/>
  <c r="G46" i="50" s="1"/>
  <c r="I46" i="50" s="1"/>
  <c r="L45" i="37"/>
  <c r="BE47" i="50" s="1"/>
  <c r="G47" i="50" s="1"/>
  <c r="L46" i="37"/>
  <c r="BE48" i="50" s="1"/>
  <c r="G48" i="50" s="1"/>
  <c r="I48" i="50" s="1"/>
  <c r="L47" i="37"/>
  <c r="BE49" i="50" s="1"/>
  <c r="G49" i="50" s="1"/>
  <c r="I49" i="50" s="1"/>
  <c r="L48" i="37"/>
  <c r="BE50" i="50" s="1"/>
  <c r="G50" i="50" s="1"/>
  <c r="I50" i="50" s="1"/>
  <c r="L49" i="37"/>
  <c r="BE51" i="50" s="1"/>
  <c r="G51" i="50" s="1"/>
  <c r="I51" i="50" s="1"/>
  <c r="L50" i="37"/>
  <c r="BE52" i="50" s="1"/>
  <c r="G52" i="50" s="1"/>
  <c r="I52" i="50" s="1"/>
  <c r="L51" i="37"/>
  <c r="BE53" i="50" s="1"/>
  <c r="G53" i="50" s="1"/>
  <c r="I53" i="50" s="1"/>
  <c r="BE54" i="50"/>
  <c r="G54" i="50" s="1"/>
  <c r="I54" i="50" s="1"/>
  <c r="L53" i="37"/>
  <c r="BE55" i="50" s="1"/>
  <c r="G55" i="50" s="1"/>
  <c r="I55" i="50" s="1"/>
  <c r="L54" i="37"/>
  <c r="BE56" i="50" s="1"/>
  <c r="G56" i="50" s="1"/>
  <c r="I56" i="50" s="1"/>
  <c r="L55" i="37"/>
  <c r="BE57" i="50" s="1"/>
  <c r="G57" i="50" s="1"/>
  <c r="I57" i="50" s="1"/>
  <c r="L56" i="37"/>
  <c r="BE58" i="50" s="1"/>
  <c r="G58" i="50" s="1"/>
  <c r="I58" i="50" s="1"/>
  <c r="L57" i="37"/>
  <c r="BE59" i="50" s="1"/>
  <c r="G59" i="50" s="1"/>
  <c r="I59" i="50" s="1"/>
  <c r="L58" i="37"/>
  <c r="BE60" i="50" s="1"/>
  <c r="G60" i="50" s="1"/>
  <c r="I60" i="50" s="1"/>
  <c r="L59" i="37"/>
  <c r="BE61" i="50" s="1"/>
  <c r="G61" i="50" s="1"/>
  <c r="I61" i="50" s="1"/>
  <c r="L62" i="37"/>
  <c r="BE64" i="50" s="1"/>
  <c r="G64" i="50" s="1"/>
  <c r="I64" i="50" s="1"/>
  <c r="L63" i="37"/>
  <c r="BE65" i="50" s="1"/>
  <c r="G65" i="50" s="1"/>
  <c r="I65" i="50" s="1"/>
  <c r="L64" i="37"/>
  <c r="BE66" i="50" s="1"/>
  <c r="G66" i="50" s="1"/>
  <c r="I66" i="50" s="1"/>
  <c r="L65" i="37"/>
  <c r="BE67" i="50" s="1"/>
  <c r="G67" i="50" s="1"/>
  <c r="I67" i="50" s="1"/>
  <c r="L66" i="37"/>
  <c r="BE68" i="50" s="1"/>
  <c r="G68" i="50" s="1"/>
  <c r="I68" i="50" s="1"/>
  <c r="L67" i="37"/>
  <c r="BE69" i="50" s="1"/>
  <c r="G69" i="50" s="1"/>
  <c r="I69" i="50" s="1"/>
  <c r="L68" i="37"/>
  <c r="BE70" i="50" s="1"/>
  <c r="G70" i="50" s="1"/>
  <c r="I70" i="50" s="1"/>
  <c r="L69" i="37"/>
  <c r="BE71" i="50" s="1"/>
  <c r="G71" i="50" s="1"/>
  <c r="I71" i="50" s="1"/>
  <c r="L70" i="37"/>
  <c r="BE72" i="50" s="1"/>
  <c r="G72" i="50" s="1"/>
  <c r="I72" i="50" s="1"/>
  <c r="L71" i="37"/>
  <c r="BE73" i="50" s="1"/>
  <c r="G73" i="50" s="1"/>
  <c r="I73" i="50" s="1"/>
  <c r="L72" i="37"/>
  <c r="BE74" i="50" s="1"/>
  <c r="G74" i="50" s="1"/>
  <c r="I74" i="50" s="1"/>
  <c r="L73" i="37"/>
  <c r="BE75" i="50" s="1"/>
  <c r="G75" i="50" s="1"/>
  <c r="I75" i="50" s="1"/>
  <c r="L74" i="37"/>
  <c r="BE76" i="50" s="1"/>
  <c r="G76" i="50" s="1"/>
  <c r="I76" i="50" s="1"/>
  <c r="L75" i="37"/>
  <c r="BE77" i="50" s="1"/>
  <c r="G77" i="50" s="1"/>
  <c r="I77" i="50" s="1"/>
  <c r="L76" i="37"/>
  <c r="BE78" i="50" s="1"/>
  <c r="G78" i="50" s="1"/>
  <c r="I78" i="50" s="1"/>
  <c r="L77" i="37"/>
  <c r="BE79" i="50" s="1"/>
  <c r="G79" i="50" s="1"/>
  <c r="I79" i="50" s="1"/>
  <c r="L78" i="37"/>
  <c r="L79" i="37"/>
  <c r="BE81" i="50" s="1"/>
  <c r="G81" i="50" s="1"/>
  <c r="I81" i="50" s="1"/>
  <c r="L80" i="37"/>
  <c r="BE82" i="50" s="1"/>
  <c r="G82" i="50" s="1"/>
  <c r="I82" i="50" s="1"/>
  <c r="L81" i="37"/>
  <c r="BE83" i="50" s="1"/>
  <c r="G83" i="50" s="1"/>
  <c r="I83" i="50" s="1"/>
  <c r="L82" i="37"/>
  <c r="BE84" i="50" s="1"/>
  <c r="G84" i="50" s="1"/>
  <c r="I84" i="50" s="1"/>
  <c r="L83" i="37"/>
  <c r="BE85" i="50" s="1"/>
  <c r="G85" i="50" s="1"/>
  <c r="I85" i="50" s="1"/>
  <c r="L84" i="37"/>
  <c r="BE86" i="50" s="1"/>
  <c r="G86" i="50" s="1"/>
  <c r="I86" i="50" s="1"/>
  <c r="L85" i="37"/>
  <c r="BE87" i="50" s="1"/>
  <c r="G87" i="50" s="1"/>
  <c r="I87" i="50" s="1"/>
  <c r="L86" i="37"/>
  <c r="BE88" i="50" s="1"/>
  <c r="G88" i="50" s="1"/>
  <c r="I88" i="50" s="1"/>
  <c r="L87" i="37"/>
  <c r="BE89" i="50" s="1"/>
  <c r="G89" i="50" s="1"/>
  <c r="I89" i="50" s="1"/>
  <c r="L92" i="37"/>
  <c r="BE94" i="50" s="1"/>
  <c r="G94" i="50" s="1"/>
  <c r="I94" i="50" s="1"/>
  <c r="L93" i="37"/>
  <c r="BE95" i="50" s="1"/>
  <c r="G95" i="50" s="1"/>
  <c r="I95" i="50" s="1"/>
  <c r="L94" i="37"/>
  <c r="BE96" i="50" s="1"/>
  <c r="G96" i="50" s="1"/>
  <c r="L95" i="37"/>
  <c r="BE97" i="50" s="1"/>
  <c r="G97" i="50" s="1"/>
  <c r="I97" i="50" s="1"/>
  <c r="L96" i="37"/>
  <c r="BE98" i="50" s="1"/>
  <c r="G98" i="50" s="1"/>
  <c r="I98" i="50" s="1"/>
  <c r="L97" i="37"/>
  <c r="BE99" i="50" s="1"/>
  <c r="G99" i="50" s="1"/>
  <c r="I99" i="50" s="1"/>
  <c r="L98" i="37"/>
  <c r="BE100" i="50" s="1"/>
  <c r="G100" i="50" s="1"/>
  <c r="I100" i="50" s="1"/>
  <c r="L99" i="37"/>
  <c r="BE101" i="50" s="1"/>
  <c r="G101" i="50" s="1"/>
  <c r="I101" i="50" s="1"/>
  <c r="L100" i="37"/>
  <c r="BE102" i="50" s="1"/>
  <c r="G102" i="50" s="1"/>
  <c r="I102" i="50" s="1"/>
  <c r="L101" i="37"/>
  <c r="BE103" i="50" s="1"/>
  <c r="G103" i="50" s="1"/>
  <c r="I103" i="50" s="1"/>
  <c r="L102" i="37"/>
  <c r="BE104" i="50" s="1"/>
  <c r="G104" i="50" s="1"/>
  <c r="I104" i="50" s="1"/>
  <c r="L103" i="37"/>
  <c r="BE105" i="50" s="1"/>
  <c r="G105" i="50" s="1"/>
  <c r="I105" i="50" s="1"/>
  <c r="L108" i="37"/>
  <c r="BE110" i="50" s="1"/>
  <c r="G110" i="50" s="1"/>
  <c r="I110" i="50" s="1"/>
  <c r="L109" i="37"/>
  <c r="BE111" i="50" s="1"/>
  <c r="G111" i="50" s="1"/>
  <c r="I111" i="50" s="1"/>
  <c r="K6" i="37"/>
  <c r="K7" i="37"/>
  <c r="K8" i="37"/>
  <c r="K9" i="37"/>
  <c r="K10" i="37"/>
  <c r="K11" i="37"/>
  <c r="K12" i="37"/>
  <c r="K13" i="37"/>
  <c r="K14" i="37"/>
  <c r="K15" i="37"/>
  <c r="K16" i="37"/>
  <c r="K17" i="37"/>
  <c r="K18" i="37"/>
  <c r="K19" i="37"/>
  <c r="K20" i="37"/>
  <c r="K21" i="37"/>
  <c r="O21" i="37" s="1"/>
  <c r="K22" i="37"/>
  <c r="K23" i="37"/>
  <c r="K24" i="37"/>
  <c r="K25" i="37"/>
  <c r="K26" i="37"/>
  <c r="K27" i="37"/>
  <c r="K28" i="37"/>
  <c r="K29" i="37"/>
  <c r="K30" i="37"/>
  <c r="K31" i="37"/>
  <c r="K32" i="37"/>
  <c r="K33" i="37"/>
  <c r="K34" i="37"/>
  <c r="K35" i="37"/>
  <c r="K36" i="37"/>
  <c r="K37" i="37"/>
  <c r="K38" i="37"/>
  <c r="K39" i="37"/>
  <c r="K40" i="37"/>
  <c r="K41" i="37"/>
  <c r="K42" i="37"/>
  <c r="K43" i="37"/>
  <c r="K44" i="37"/>
  <c r="K45" i="37"/>
  <c r="K46" i="37"/>
  <c r="K47" i="37"/>
  <c r="K48" i="37"/>
  <c r="K49" i="37"/>
  <c r="K50" i="37"/>
  <c r="K51" i="37"/>
  <c r="K53" i="37"/>
  <c r="K54" i="37"/>
  <c r="K55" i="37"/>
  <c r="K56" i="37"/>
  <c r="K57" i="37"/>
  <c r="K58" i="37"/>
  <c r="K59" i="37"/>
  <c r="K62" i="37"/>
  <c r="K63" i="37"/>
  <c r="K64" i="37"/>
  <c r="K65" i="37"/>
  <c r="K66" i="37"/>
  <c r="K67" i="37"/>
  <c r="K68" i="37"/>
  <c r="K69" i="37"/>
  <c r="K70" i="37"/>
  <c r="K71" i="37"/>
  <c r="K72" i="37"/>
  <c r="K73" i="37"/>
  <c r="K74" i="37"/>
  <c r="K75" i="37"/>
  <c r="K76" i="37"/>
  <c r="K77" i="37"/>
  <c r="K78" i="37"/>
  <c r="K79" i="37"/>
  <c r="K80" i="37"/>
  <c r="K81" i="37"/>
  <c r="K82" i="37"/>
  <c r="K83" i="37"/>
  <c r="K84" i="37"/>
  <c r="K85" i="37"/>
  <c r="K87" i="37"/>
  <c r="K92" i="37"/>
  <c r="K93" i="37"/>
  <c r="K94" i="37"/>
  <c r="K95" i="37"/>
  <c r="K96" i="37"/>
  <c r="K97" i="37"/>
  <c r="K98" i="37"/>
  <c r="K99" i="37"/>
  <c r="K100" i="37"/>
  <c r="K101" i="37"/>
  <c r="K102" i="37"/>
  <c r="K103" i="37"/>
  <c r="K108" i="37"/>
  <c r="K109" i="37"/>
  <c r="Q4" i="41"/>
  <c r="Q5" i="41"/>
  <c r="Q6" i="41"/>
  <c r="Q7" i="41"/>
  <c r="Q8" i="41"/>
  <c r="Q9" i="41"/>
  <c r="Q10" i="41"/>
  <c r="Q11" i="41"/>
  <c r="Q12" i="41"/>
  <c r="Q13" i="41"/>
  <c r="Q14" i="41"/>
  <c r="Q15" i="41"/>
  <c r="Q16" i="41"/>
  <c r="Q17" i="41"/>
  <c r="Q18" i="41"/>
  <c r="Q19" i="41"/>
  <c r="Q20" i="41"/>
  <c r="Q21" i="41"/>
  <c r="Q22" i="41"/>
  <c r="Q23" i="41"/>
  <c r="Q24" i="41"/>
  <c r="Q25" i="41"/>
  <c r="Q26" i="41"/>
  <c r="Q27" i="41"/>
  <c r="Q28" i="41"/>
  <c r="Q29" i="41"/>
  <c r="Q30" i="41"/>
  <c r="Q31" i="41"/>
  <c r="Q32" i="41"/>
  <c r="Q33" i="41"/>
  <c r="Q34" i="41"/>
  <c r="Q35" i="41"/>
  <c r="Q36" i="41"/>
  <c r="Q37" i="41"/>
  <c r="Q38" i="41"/>
  <c r="Q39" i="41"/>
  <c r="Q40" i="41"/>
  <c r="Q41" i="41"/>
  <c r="Q52" i="41"/>
  <c r="Q53" i="41"/>
  <c r="Q54" i="41"/>
  <c r="Q55" i="41"/>
  <c r="Q56" i="41"/>
  <c r="Q57" i="41"/>
  <c r="Q59" i="41"/>
  <c r="Q60" i="41"/>
  <c r="Q61" i="41"/>
  <c r="Q62" i="41"/>
  <c r="Q63" i="41"/>
  <c r="Q64" i="41"/>
  <c r="Q65" i="41"/>
  <c r="Q66" i="41"/>
  <c r="Q67" i="41"/>
  <c r="Q68" i="41"/>
  <c r="Q69" i="41"/>
  <c r="Q70" i="41"/>
  <c r="Q71" i="41"/>
  <c r="Q72" i="41"/>
  <c r="Q73" i="41"/>
  <c r="Q74" i="41"/>
  <c r="P4" i="41"/>
  <c r="R4" i="41" s="1"/>
  <c r="T4" i="41" s="1"/>
  <c r="P5" i="41"/>
  <c r="R5" i="41" s="1"/>
  <c r="P6" i="41"/>
  <c r="R6" i="41" s="1"/>
  <c r="P7" i="41"/>
  <c r="R7" i="41" s="1"/>
  <c r="P8" i="41"/>
  <c r="R8" i="41" s="1"/>
  <c r="P9" i="41"/>
  <c r="R9" i="41" s="1"/>
  <c r="P10" i="41"/>
  <c r="R10" i="41" s="1"/>
  <c r="P11" i="41"/>
  <c r="R11" i="41" s="1"/>
  <c r="P12" i="41"/>
  <c r="R12" i="41" s="1"/>
  <c r="P13" i="41"/>
  <c r="R13" i="41" s="1"/>
  <c r="P14" i="41"/>
  <c r="R14" i="41" s="1"/>
  <c r="P15" i="41"/>
  <c r="R15" i="41" s="1"/>
  <c r="P16" i="41"/>
  <c r="R16" i="41" s="1"/>
  <c r="P17" i="41"/>
  <c r="R17" i="41" s="1"/>
  <c r="P18" i="41"/>
  <c r="R18" i="41" s="1"/>
  <c r="P19" i="41"/>
  <c r="R19" i="41" s="1"/>
  <c r="P20" i="41"/>
  <c r="R20" i="41" s="1"/>
  <c r="P21" i="41"/>
  <c r="R21" i="41" s="1"/>
  <c r="P22" i="41"/>
  <c r="R22" i="41" s="1"/>
  <c r="P23" i="41"/>
  <c r="R23" i="41" s="1"/>
  <c r="P24" i="41"/>
  <c r="R24" i="41" s="1"/>
  <c r="P25" i="41"/>
  <c r="R25" i="41" s="1"/>
  <c r="P26" i="41"/>
  <c r="R26" i="41" s="1"/>
  <c r="P27" i="41"/>
  <c r="R27" i="41" s="1"/>
  <c r="P28" i="41"/>
  <c r="R28" i="41" s="1"/>
  <c r="P29" i="41"/>
  <c r="R29" i="41" s="1"/>
  <c r="P30" i="41"/>
  <c r="R30" i="41" s="1"/>
  <c r="P31" i="41"/>
  <c r="R31" i="41" s="1"/>
  <c r="P32" i="41"/>
  <c r="R32" i="41" s="1"/>
  <c r="P33" i="41"/>
  <c r="R33" i="41" s="1"/>
  <c r="P34" i="41"/>
  <c r="R34" i="41" s="1"/>
  <c r="P35" i="41"/>
  <c r="R35" i="41" s="1"/>
  <c r="P36" i="41"/>
  <c r="R36" i="41" s="1"/>
  <c r="P37" i="41"/>
  <c r="R37" i="41" s="1"/>
  <c r="P38" i="41"/>
  <c r="R38" i="41" s="1"/>
  <c r="P39" i="41"/>
  <c r="R39" i="41" s="1"/>
  <c r="P40" i="41"/>
  <c r="R40" i="41" s="1"/>
  <c r="P41" i="41"/>
  <c r="R41" i="41" s="1"/>
  <c r="P42" i="41"/>
  <c r="R42" i="41" s="1"/>
  <c r="P43" i="41"/>
  <c r="R43" i="41" s="1"/>
  <c r="P44" i="41"/>
  <c r="R44" i="41" s="1"/>
  <c r="P45" i="41"/>
  <c r="R45" i="41" s="1"/>
  <c r="P46" i="41"/>
  <c r="R46" i="41" s="1"/>
  <c r="P47" i="41"/>
  <c r="R47" i="41" s="1"/>
  <c r="P48" i="41"/>
  <c r="R48" i="41" s="1"/>
  <c r="P49" i="41"/>
  <c r="R49" i="41" s="1"/>
  <c r="P50" i="41"/>
  <c r="R50" i="41" s="1"/>
  <c r="P51" i="41"/>
  <c r="R51" i="41" s="1"/>
  <c r="P52" i="41"/>
  <c r="R52" i="41" s="1"/>
  <c r="P53" i="41"/>
  <c r="R53" i="41" s="1"/>
  <c r="P54" i="41"/>
  <c r="R54" i="41" s="1"/>
  <c r="P55" i="41"/>
  <c r="R55" i="41" s="1"/>
  <c r="P56" i="41"/>
  <c r="R56" i="41" s="1"/>
  <c r="P57" i="41"/>
  <c r="R57" i="41" s="1"/>
  <c r="P59" i="41"/>
  <c r="R59" i="41" s="1"/>
  <c r="P60" i="41"/>
  <c r="R60" i="41" s="1"/>
  <c r="P61" i="41"/>
  <c r="R61" i="41" s="1"/>
  <c r="P62" i="41"/>
  <c r="R62" i="41" s="1"/>
  <c r="P63" i="41"/>
  <c r="R63" i="41" s="1"/>
  <c r="P64" i="41"/>
  <c r="R64" i="41" s="1"/>
  <c r="P65" i="41"/>
  <c r="R65" i="41" s="1"/>
  <c r="P66" i="41"/>
  <c r="R66" i="41" s="1"/>
  <c r="P67" i="41"/>
  <c r="R67" i="41" s="1"/>
  <c r="P68" i="41"/>
  <c r="R68" i="41" s="1"/>
  <c r="P69" i="41"/>
  <c r="R69" i="41" s="1"/>
  <c r="P70" i="41"/>
  <c r="R70" i="41" s="1"/>
  <c r="P71" i="41"/>
  <c r="R71" i="41" s="1"/>
  <c r="P72" i="41"/>
  <c r="R72" i="41" s="1"/>
  <c r="P73" i="41"/>
  <c r="R73" i="41" s="1"/>
  <c r="P74" i="41"/>
  <c r="R74" i="41" s="1"/>
  <c r="I96" i="50" l="1"/>
  <c r="I41" i="50"/>
  <c r="BE22" i="50"/>
  <c r="G22" i="50" s="1"/>
  <c r="I22" i="50" s="1"/>
  <c r="N20" i="37"/>
  <c r="I47" i="50"/>
  <c r="X4" i="41"/>
  <c r="V4" i="41"/>
  <c r="O67" i="37"/>
  <c r="BH69" i="50" s="1"/>
  <c r="N69" i="50" s="1"/>
  <c r="P69" i="50" s="1"/>
  <c r="BD69" i="50"/>
  <c r="F69" i="50" s="1"/>
  <c r="H69" i="50" s="1"/>
  <c r="O25" i="37"/>
  <c r="BH27" i="50" s="1"/>
  <c r="N27" i="50" s="1"/>
  <c r="P27" i="50" s="1"/>
  <c r="BD27" i="50"/>
  <c r="F27" i="50" s="1"/>
  <c r="H27" i="50" s="1"/>
  <c r="O95" i="37"/>
  <c r="BH97" i="50" s="1"/>
  <c r="N97" i="50" s="1"/>
  <c r="P97" i="50" s="1"/>
  <c r="BD97" i="50"/>
  <c r="F97" i="50" s="1"/>
  <c r="H97" i="50" s="1"/>
  <c r="O82" i="37"/>
  <c r="BH84" i="50" s="1"/>
  <c r="N84" i="50" s="1"/>
  <c r="P84" i="50" s="1"/>
  <c r="BD84" i="50"/>
  <c r="F84" i="50" s="1"/>
  <c r="H84" i="50" s="1"/>
  <c r="O74" i="37"/>
  <c r="BH76" i="50" s="1"/>
  <c r="N76" i="50" s="1"/>
  <c r="P76" i="50" s="1"/>
  <c r="BD76" i="50"/>
  <c r="F76" i="50" s="1"/>
  <c r="H76" i="50" s="1"/>
  <c r="O66" i="37"/>
  <c r="BH68" i="50" s="1"/>
  <c r="N68" i="50" s="1"/>
  <c r="P68" i="50" s="1"/>
  <c r="BD68" i="50"/>
  <c r="F68" i="50" s="1"/>
  <c r="H68" i="50" s="1"/>
  <c r="O56" i="37"/>
  <c r="BH58" i="50" s="1"/>
  <c r="N58" i="50" s="1"/>
  <c r="P58" i="50" s="1"/>
  <c r="BD58" i="50"/>
  <c r="F58" i="50" s="1"/>
  <c r="H58" i="50" s="1"/>
  <c r="O48" i="37"/>
  <c r="BH50" i="50" s="1"/>
  <c r="N50" i="50" s="1"/>
  <c r="P50" i="50" s="1"/>
  <c r="BD50" i="50"/>
  <c r="F50" i="50" s="1"/>
  <c r="H50" i="50" s="1"/>
  <c r="O40" i="37"/>
  <c r="BH42" i="50" s="1"/>
  <c r="N42" i="50" s="1"/>
  <c r="P42" i="50" s="1"/>
  <c r="BD42" i="50"/>
  <c r="F42" i="50" s="1"/>
  <c r="H42" i="50" s="1"/>
  <c r="O32" i="37"/>
  <c r="BH34" i="50" s="1"/>
  <c r="N34" i="50" s="1"/>
  <c r="P34" i="50" s="1"/>
  <c r="BD34" i="50"/>
  <c r="F34" i="50" s="1"/>
  <c r="H34" i="50" s="1"/>
  <c r="O24" i="37"/>
  <c r="BH26" i="50" s="1"/>
  <c r="N26" i="50" s="1"/>
  <c r="P26" i="50" s="1"/>
  <c r="BD26" i="50"/>
  <c r="F26" i="50" s="1"/>
  <c r="H26" i="50" s="1"/>
  <c r="O16" i="37"/>
  <c r="BH18" i="50" s="1"/>
  <c r="N18" i="50" s="1"/>
  <c r="P18" i="50" s="1"/>
  <c r="BD18" i="50"/>
  <c r="F18" i="50" s="1"/>
  <c r="H18" i="50" s="1"/>
  <c r="O8" i="37"/>
  <c r="BH10" i="50" s="1"/>
  <c r="N10" i="50" s="1"/>
  <c r="P10" i="50" s="1"/>
  <c r="BD10" i="50"/>
  <c r="F10" i="50" s="1"/>
  <c r="H10" i="50" s="1"/>
  <c r="O102" i="37"/>
  <c r="BH104" i="50" s="1"/>
  <c r="N104" i="50" s="1"/>
  <c r="P104" i="50" s="1"/>
  <c r="BD104" i="50"/>
  <c r="F104" i="50" s="1"/>
  <c r="H104" i="50" s="1"/>
  <c r="O17" i="37"/>
  <c r="BH19" i="50" s="1"/>
  <c r="N19" i="50" s="1"/>
  <c r="P19" i="50" s="1"/>
  <c r="BD19" i="50"/>
  <c r="F19" i="50" s="1"/>
  <c r="H19" i="50" s="1"/>
  <c r="O81" i="37"/>
  <c r="BH83" i="50" s="1"/>
  <c r="N83" i="50" s="1"/>
  <c r="P83" i="50" s="1"/>
  <c r="BD83" i="50"/>
  <c r="F83" i="50" s="1"/>
  <c r="H83" i="50" s="1"/>
  <c r="O65" i="37"/>
  <c r="BH67" i="50" s="1"/>
  <c r="N67" i="50" s="1"/>
  <c r="P67" i="50" s="1"/>
  <c r="BD67" i="50"/>
  <c r="F67" i="50" s="1"/>
  <c r="H67" i="50" s="1"/>
  <c r="O55" i="37"/>
  <c r="BH57" i="50" s="1"/>
  <c r="N57" i="50" s="1"/>
  <c r="P57" i="50" s="1"/>
  <c r="BD57" i="50"/>
  <c r="F57" i="50" s="1"/>
  <c r="H57" i="50" s="1"/>
  <c r="O47" i="37"/>
  <c r="BH49" i="50" s="1"/>
  <c r="N49" i="50" s="1"/>
  <c r="P49" i="50" s="1"/>
  <c r="BD49" i="50"/>
  <c r="F49" i="50" s="1"/>
  <c r="H49" i="50" s="1"/>
  <c r="O39" i="37"/>
  <c r="BH41" i="50" s="1"/>
  <c r="N41" i="50" s="1"/>
  <c r="BD41" i="50"/>
  <c r="F41" i="50" s="1"/>
  <c r="O31" i="37"/>
  <c r="BH33" i="50" s="1"/>
  <c r="N33" i="50" s="1"/>
  <c r="P33" i="50" s="1"/>
  <c r="BD33" i="50"/>
  <c r="F33" i="50" s="1"/>
  <c r="H33" i="50" s="1"/>
  <c r="O23" i="37"/>
  <c r="BH25" i="50" s="1"/>
  <c r="N25" i="50" s="1"/>
  <c r="P25" i="50" s="1"/>
  <c r="BD25" i="50"/>
  <c r="F25" i="50" s="1"/>
  <c r="H25" i="50" s="1"/>
  <c r="O15" i="37"/>
  <c r="BH17" i="50" s="1"/>
  <c r="N17" i="50" s="1"/>
  <c r="P17" i="50" s="1"/>
  <c r="BD17" i="50"/>
  <c r="F17" i="50" s="1"/>
  <c r="H17" i="50" s="1"/>
  <c r="O7" i="37"/>
  <c r="BH9" i="50" s="1"/>
  <c r="N9" i="50" s="1"/>
  <c r="P9" i="50" s="1"/>
  <c r="BD9" i="50"/>
  <c r="F9" i="50" s="1"/>
  <c r="H9" i="50" s="1"/>
  <c r="O75" i="37"/>
  <c r="BH77" i="50" s="1"/>
  <c r="N77" i="50" s="1"/>
  <c r="P77" i="50" s="1"/>
  <c r="BD77" i="50"/>
  <c r="F77" i="50" s="1"/>
  <c r="H77" i="50" s="1"/>
  <c r="O57" i="37"/>
  <c r="BH59" i="50" s="1"/>
  <c r="N59" i="50" s="1"/>
  <c r="P59" i="50" s="1"/>
  <c r="BD59" i="50"/>
  <c r="F59" i="50" s="1"/>
  <c r="H59" i="50" s="1"/>
  <c r="O41" i="37"/>
  <c r="BH43" i="50" s="1"/>
  <c r="N43" i="50" s="1"/>
  <c r="P43" i="50" s="1"/>
  <c r="BD43" i="50"/>
  <c r="F43" i="50" s="1"/>
  <c r="H43" i="50" s="1"/>
  <c r="AH43" i="50" s="1"/>
  <c r="O9" i="37"/>
  <c r="BH11" i="50" s="1"/>
  <c r="N11" i="50" s="1"/>
  <c r="P11" i="50" s="1"/>
  <c r="BD11" i="50"/>
  <c r="F11" i="50" s="1"/>
  <c r="H11" i="50" s="1"/>
  <c r="O94" i="37"/>
  <c r="BH96" i="50" s="1"/>
  <c r="N96" i="50" s="1"/>
  <c r="P96" i="50" s="1"/>
  <c r="BD96" i="50"/>
  <c r="F96" i="50" s="1"/>
  <c r="H96" i="50" s="1"/>
  <c r="O80" i="37"/>
  <c r="BH82" i="50" s="1"/>
  <c r="N82" i="50" s="1"/>
  <c r="P82" i="50" s="1"/>
  <c r="BD82" i="50"/>
  <c r="F82" i="50" s="1"/>
  <c r="H82" i="50" s="1"/>
  <c r="O64" i="37"/>
  <c r="BH66" i="50" s="1"/>
  <c r="N66" i="50" s="1"/>
  <c r="P66" i="50" s="1"/>
  <c r="BD66" i="50"/>
  <c r="F66" i="50" s="1"/>
  <c r="H66" i="50" s="1"/>
  <c r="O46" i="37"/>
  <c r="BH48" i="50" s="1"/>
  <c r="N48" i="50" s="1"/>
  <c r="P48" i="50" s="1"/>
  <c r="BD48" i="50"/>
  <c r="F48" i="50" s="1"/>
  <c r="H48" i="50" s="1"/>
  <c r="O30" i="37"/>
  <c r="BH32" i="50" s="1"/>
  <c r="N32" i="50" s="1"/>
  <c r="P32" i="50" s="1"/>
  <c r="BD32" i="50"/>
  <c r="F32" i="50" s="1"/>
  <c r="H32" i="50" s="1"/>
  <c r="O22" i="37"/>
  <c r="BH24" i="50" s="1"/>
  <c r="N24" i="50" s="1"/>
  <c r="P24" i="50" s="1"/>
  <c r="BD24" i="50"/>
  <c r="F24" i="50" s="1"/>
  <c r="H24" i="50" s="1"/>
  <c r="O14" i="37"/>
  <c r="BH16" i="50" s="1"/>
  <c r="N16" i="50" s="1"/>
  <c r="P16" i="50" s="1"/>
  <c r="BD16" i="50"/>
  <c r="F16" i="50" s="1"/>
  <c r="H16" i="50" s="1"/>
  <c r="O6" i="37"/>
  <c r="BH8" i="50" s="1"/>
  <c r="N8" i="50" s="1"/>
  <c r="P8" i="50" s="1"/>
  <c r="BD8" i="50"/>
  <c r="F8" i="50" s="1"/>
  <c r="H8" i="50" s="1"/>
  <c r="O83" i="37"/>
  <c r="BH85" i="50" s="1"/>
  <c r="N85" i="50" s="1"/>
  <c r="P85" i="50" s="1"/>
  <c r="BD85" i="50"/>
  <c r="F85" i="50" s="1"/>
  <c r="H85" i="50" s="1"/>
  <c r="O49" i="37"/>
  <c r="BH51" i="50" s="1"/>
  <c r="N51" i="50" s="1"/>
  <c r="P51" i="50" s="1"/>
  <c r="BD51" i="50"/>
  <c r="F51" i="50" s="1"/>
  <c r="H51" i="50" s="1"/>
  <c r="O73" i="37"/>
  <c r="BH75" i="50" s="1"/>
  <c r="N75" i="50" s="1"/>
  <c r="P75" i="50" s="1"/>
  <c r="BD75" i="50"/>
  <c r="F75" i="50" s="1"/>
  <c r="H75" i="50" s="1"/>
  <c r="O101" i="37"/>
  <c r="BH103" i="50" s="1"/>
  <c r="N103" i="50" s="1"/>
  <c r="P103" i="50" s="1"/>
  <c r="BD103" i="50"/>
  <c r="F103" i="50" s="1"/>
  <c r="H103" i="50" s="1"/>
  <c r="O93" i="37"/>
  <c r="BH95" i="50" s="1"/>
  <c r="N95" i="50" s="1"/>
  <c r="P95" i="50" s="1"/>
  <c r="BD95" i="50"/>
  <c r="F95" i="50" s="1"/>
  <c r="H95" i="50" s="1"/>
  <c r="O72" i="37"/>
  <c r="BH74" i="50" s="1"/>
  <c r="N74" i="50" s="1"/>
  <c r="P74" i="50" s="1"/>
  <c r="BD74" i="50"/>
  <c r="F74" i="50" s="1"/>
  <c r="H74" i="50" s="1"/>
  <c r="O54" i="37"/>
  <c r="BH56" i="50" s="1"/>
  <c r="N56" i="50" s="1"/>
  <c r="P56" i="50" s="1"/>
  <c r="BD56" i="50"/>
  <c r="F56" i="50" s="1"/>
  <c r="H56" i="50" s="1"/>
  <c r="O38" i="37"/>
  <c r="BH40" i="50" s="1"/>
  <c r="N40" i="50" s="1"/>
  <c r="P40" i="50" s="1"/>
  <c r="BD40" i="50"/>
  <c r="F40" i="50" s="1"/>
  <c r="H40" i="50" s="1"/>
  <c r="O100" i="37"/>
  <c r="BH102" i="50" s="1"/>
  <c r="N102" i="50" s="1"/>
  <c r="P102" i="50" s="1"/>
  <c r="BD102" i="50"/>
  <c r="F102" i="50" s="1"/>
  <c r="H102" i="50" s="1"/>
  <c r="O92" i="37"/>
  <c r="BH94" i="50" s="1"/>
  <c r="N94" i="50" s="1"/>
  <c r="P94" i="50" s="1"/>
  <c r="BD94" i="50"/>
  <c r="F94" i="50" s="1"/>
  <c r="H94" i="50" s="1"/>
  <c r="O79" i="37"/>
  <c r="BH81" i="50" s="1"/>
  <c r="N81" i="50" s="1"/>
  <c r="P81" i="50" s="1"/>
  <c r="BD81" i="50"/>
  <c r="F81" i="50" s="1"/>
  <c r="H81" i="50" s="1"/>
  <c r="O71" i="37"/>
  <c r="BH73" i="50" s="1"/>
  <c r="N73" i="50" s="1"/>
  <c r="P73" i="50" s="1"/>
  <c r="BD73" i="50"/>
  <c r="F73" i="50" s="1"/>
  <c r="H73" i="50" s="1"/>
  <c r="O63" i="37"/>
  <c r="BH65" i="50" s="1"/>
  <c r="N65" i="50" s="1"/>
  <c r="P65" i="50" s="1"/>
  <c r="BD65" i="50"/>
  <c r="F65" i="50" s="1"/>
  <c r="H65" i="50" s="1"/>
  <c r="O53" i="37"/>
  <c r="BH55" i="50" s="1"/>
  <c r="N55" i="50" s="1"/>
  <c r="P55" i="50" s="1"/>
  <c r="BD55" i="50"/>
  <c r="F55" i="50" s="1"/>
  <c r="H55" i="50" s="1"/>
  <c r="O45" i="37"/>
  <c r="BH47" i="50" s="1"/>
  <c r="N47" i="50" s="1"/>
  <c r="P47" i="50" s="1"/>
  <c r="BD47" i="50"/>
  <c r="F47" i="50" s="1"/>
  <c r="H47" i="50" s="1"/>
  <c r="O37" i="37"/>
  <c r="BH39" i="50" s="1"/>
  <c r="N39" i="50" s="1"/>
  <c r="P39" i="50" s="1"/>
  <c r="BD39" i="50"/>
  <c r="F39" i="50" s="1"/>
  <c r="H39" i="50" s="1"/>
  <c r="O29" i="37"/>
  <c r="BH31" i="50" s="1"/>
  <c r="N31" i="50" s="1"/>
  <c r="P31" i="50" s="1"/>
  <c r="BD31" i="50"/>
  <c r="F31" i="50" s="1"/>
  <c r="H31" i="50" s="1"/>
  <c r="BH23" i="50"/>
  <c r="N23" i="50" s="1"/>
  <c r="P23" i="50" s="1"/>
  <c r="BD23" i="50"/>
  <c r="F23" i="50" s="1"/>
  <c r="H23" i="50" s="1"/>
  <c r="O13" i="37"/>
  <c r="BH15" i="50" s="1"/>
  <c r="N15" i="50" s="1"/>
  <c r="P15" i="50" s="1"/>
  <c r="BD15" i="50"/>
  <c r="F15" i="50" s="1"/>
  <c r="H15" i="50" s="1"/>
  <c r="BH7" i="50"/>
  <c r="N7" i="50" s="1"/>
  <c r="P7" i="50" s="1"/>
  <c r="BD7" i="50"/>
  <c r="F7" i="50" s="1"/>
  <c r="O109" i="37"/>
  <c r="BH111" i="50" s="1"/>
  <c r="N111" i="50" s="1"/>
  <c r="P111" i="50" s="1"/>
  <c r="BD111" i="50"/>
  <c r="F111" i="50" s="1"/>
  <c r="H111" i="50" s="1"/>
  <c r="O99" i="37"/>
  <c r="BH101" i="50" s="1"/>
  <c r="N101" i="50" s="1"/>
  <c r="P101" i="50" s="1"/>
  <c r="BD101" i="50"/>
  <c r="F101" i="50" s="1"/>
  <c r="H101" i="50" s="1"/>
  <c r="O87" i="37"/>
  <c r="BH89" i="50" s="1"/>
  <c r="N89" i="50" s="1"/>
  <c r="P89" i="50" s="1"/>
  <c r="BD89" i="50"/>
  <c r="F89" i="50" s="1"/>
  <c r="H89" i="50" s="1"/>
  <c r="O78" i="37"/>
  <c r="BH80" i="50" s="1"/>
  <c r="N80" i="50" s="1"/>
  <c r="P80" i="50" s="1"/>
  <c r="BD80" i="50"/>
  <c r="F80" i="50" s="1"/>
  <c r="H80" i="50" s="1"/>
  <c r="O70" i="37"/>
  <c r="BH72" i="50" s="1"/>
  <c r="N72" i="50" s="1"/>
  <c r="P72" i="50" s="1"/>
  <c r="BD72" i="50"/>
  <c r="F72" i="50" s="1"/>
  <c r="H72" i="50" s="1"/>
  <c r="O62" i="37"/>
  <c r="BH64" i="50" s="1"/>
  <c r="N64" i="50" s="1"/>
  <c r="P64" i="50" s="1"/>
  <c r="BD64" i="50"/>
  <c r="F64" i="50" s="1"/>
  <c r="H64" i="50" s="1"/>
  <c r="O52" i="37"/>
  <c r="BH54" i="50" s="1"/>
  <c r="N54" i="50" s="1"/>
  <c r="BD54" i="50"/>
  <c r="F54" i="50" s="1"/>
  <c r="H54" i="50" s="1"/>
  <c r="O44" i="37"/>
  <c r="BH46" i="50" s="1"/>
  <c r="N46" i="50" s="1"/>
  <c r="P46" i="50" s="1"/>
  <c r="BD46" i="50"/>
  <c r="F46" i="50" s="1"/>
  <c r="H46" i="50" s="1"/>
  <c r="O36" i="37"/>
  <c r="BH38" i="50" s="1"/>
  <c r="N38" i="50" s="1"/>
  <c r="P38" i="50" s="1"/>
  <c r="BD38" i="50"/>
  <c r="F38" i="50" s="1"/>
  <c r="H38" i="50" s="1"/>
  <c r="O28" i="37"/>
  <c r="BH30" i="50" s="1"/>
  <c r="N30" i="50" s="1"/>
  <c r="P30" i="50" s="1"/>
  <c r="BD30" i="50"/>
  <c r="F30" i="50" s="1"/>
  <c r="H30" i="50" s="1"/>
  <c r="O20" i="37"/>
  <c r="BH22" i="50" s="1"/>
  <c r="N22" i="50" s="1"/>
  <c r="P22" i="50" s="1"/>
  <c r="BD22" i="50"/>
  <c r="F22" i="50" s="1"/>
  <c r="H22" i="50" s="1"/>
  <c r="O12" i="37"/>
  <c r="BH14" i="50" s="1"/>
  <c r="N14" i="50" s="1"/>
  <c r="P14" i="50" s="1"/>
  <c r="BD14" i="50"/>
  <c r="F14" i="50" s="1"/>
  <c r="H14" i="50" s="1"/>
  <c r="P78" i="37"/>
  <c r="BI80" i="50" s="1"/>
  <c r="O80" i="50" s="1"/>
  <c r="Q80" i="50" s="1"/>
  <c r="BE80" i="50"/>
  <c r="G80" i="50" s="1"/>
  <c r="I80" i="50" s="1"/>
  <c r="O96" i="37"/>
  <c r="BH98" i="50" s="1"/>
  <c r="N98" i="50" s="1"/>
  <c r="P98" i="50" s="1"/>
  <c r="BD98" i="50"/>
  <c r="F98" i="50" s="1"/>
  <c r="H98" i="50" s="1"/>
  <c r="O33" i="37"/>
  <c r="BH35" i="50" s="1"/>
  <c r="N35" i="50" s="1"/>
  <c r="P35" i="50" s="1"/>
  <c r="BD35" i="50"/>
  <c r="F35" i="50" s="1"/>
  <c r="H35" i="50" s="1"/>
  <c r="O77" i="37"/>
  <c r="BH79" i="50" s="1"/>
  <c r="N79" i="50" s="1"/>
  <c r="P79" i="50" s="1"/>
  <c r="BD79" i="50"/>
  <c r="F79" i="50" s="1"/>
  <c r="H79" i="50" s="1"/>
  <c r="O69" i="37"/>
  <c r="BH71" i="50" s="1"/>
  <c r="N71" i="50" s="1"/>
  <c r="P71" i="50" s="1"/>
  <c r="BD71" i="50"/>
  <c r="F71" i="50" s="1"/>
  <c r="H71" i="50" s="1"/>
  <c r="O59" i="37"/>
  <c r="BH61" i="50" s="1"/>
  <c r="N61" i="50" s="1"/>
  <c r="P61" i="50" s="1"/>
  <c r="BD61" i="50"/>
  <c r="F61" i="50" s="1"/>
  <c r="H61" i="50" s="1"/>
  <c r="O51" i="37"/>
  <c r="BH53" i="50" s="1"/>
  <c r="N53" i="50" s="1"/>
  <c r="P53" i="50" s="1"/>
  <c r="BD53" i="50"/>
  <c r="F53" i="50" s="1"/>
  <c r="H53" i="50" s="1"/>
  <c r="O43" i="37"/>
  <c r="BH45" i="50" s="1"/>
  <c r="N45" i="50" s="1"/>
  <c r="P45" i="50" s="1"/>
  <c r="BD45" i="50"/>
  <c r="F45" i="50" s="1"/>
  <c r="H45" i="50" s="1"/>
  <c r="AH45" i="50" s="1"/>
  <c r="O35" i="37"/>
  <c r="BH37" i="50" s="1"/>
  <c r="N37" i="50" s="1"/>
  <c r="P37" i="50" s="1"/>
  <c r="BD37" i="50"/>
  <c r="F37" i="50" s="1"/>
  <c r="H37" i="50" s="1"/>
  <c r="O27" i="37"/>
  <c r="BH29" i="50" s="1"/>
  <c r="N29" i="50" s="1"/>
  <c r="P29" i="50" s="1"/>
  <c r="BD29" i="50"/>
  <c r="F29" i="50" s="1"/>
  <c r="H29" i="50" s="1"/>
  <c r="O19" i="37"/>
  <c r="BH21" i="50" s="1"/>
  <c r="N21" i="50" s="1"/>
  <c r="P21" i="50" s="1"/>
  <c r="BD21" i="50"/>
  <c r="F21" i="50" s="1"/>
  <c r="H21" i="50" s="1"/>
  <c r="O11" i="37"/>
  <c r="BH13" i="50" s="1"/>
  <c r="N13" i="50" s="1"/>
  <c r="P13" i="50" s="1"/>
  <c r="BD13" i="50"/>
  <c r="F13" i="50" s="1"/>
  <c r="H13" i="50" s="1"/>
  <c r="O108" i="37"/>
  <c r="BH110" i="50" s="1"/>
  <c r="N110" i="50" s="1"/>
  <c r="P110" i="50" s="1"/>
  <c r="BD110" i="50"/>
  <c r="F110" i="50" s="1"/>
  <c r="H110" i="50" s="1"/>
  <c r="O98" i="37"/>
  <c r="BH100" i="50" s="1"/>
  <c r="N100" i="50" s="1"/>
  <c r="P100" i="50" s="1"/>
  <c r="BD100" i="50"/>
  <c r="F100" i="50" s="1"/>
  <c r="H100" i="50" s="1"/>
  <c r="O85" i="37"/>
  <c r="BH87" i="50" s="1"/>
  <c r="N87" i="50" s="1"/>
  <c r="P87" i="50" s="1"/>
  <c r="BD87" i="50"/>
  <c r="F87" i="50" s="1"/>
  <c r="H87" i="50" s="1"/>
  <c r="O103" i="37"/>
  <c r="BH105" i="50" s="1"/>
  <c r="N105" i="50" s="1"/>
  <c r="P105" i="50" s="1"/>
  <c r="BD105" i="50"/>
  <c r="F105" i="50" s="1"/>
  <c r="H105" i="50" s="1"/>
  <c r="O97" i="37"/>
  <c r="BH99" i="50" s="1"/>
  <c r="N99" i="50" s="1"/>
  <c r="P99" i="50" s="1"/>
  <c r="BD99" i="50"/>
  <c r="F99" i="50" s="1"/>
  <c r="H99" i="50" s="1"/>
  <c r="O84" i="37"/>
  <c r="BH86" i="50" s="1"/>
  <c r="N86" i="50" s="1"/>
  <c r="P86" i="50" s="1"/>
  <c r="BD86" i="50"/>
  <c r="F86" i="50" s="1"/>
  <c r="H86" i="50" s="1"/>
  <c r="O76" i="37"/>
  <c r="BH78" i="50" s="1"/>
  <c r="N78" i="50" s="1"/>
  <c r="P78" i="50" s="1"/>
  <c r="BD78" i="50"/>
  <c r="F78" i="50" s="1"/>
  <c r="H78" i="50" s="1"/>
  <c r="O68" i="37"/>
  <c r="BH70" i="50" s="1"/>
  <c r="N70" i="50" s="1"/>
  <c r="P70" i="50" s="1"/>
  <c r="BD70" i="50"/>
  <c r="F70" i="50" s="1"/>
  <c r="H70" i="50" s="1"/>
  <c r="O58" i="37"/>
  <c r="BH60" i="50" s="1"/>
  <c r="N60" i="50" s="1"/>
  <c r="P60" i="50" s="1"/>
  <c r="BD60" i="50"/>
  <c r="F60" i="50" s="1"/>
  <c r="H60" i="50" s="1"/>
  <c r="O50" i="37"/>
  <c r="BH52" i="50" s="1"/>
  <c r="N52" i="50" s="1"/>
  <c r="P52" i="50" s="1"/>
  <c r="BD52" i="50"/>
  <c r="F52" i="50" s="1"/>
  <c r="H52" i="50" s="1"/>
  <c r="O42" i="37"/>
  <c r="BH44" i="50" s="1"/>
  <c r="N44" i="50" s="1"/>
  <c r="P44" i="50" s="1"/>
  <c r="BD44" i="50"/>
  <c r="F44" i="50" s="1"/>
  <c r="H44" i="50" s="1"/>
  <c r="O34" i="37"/>
  <c r="BH36" i="50" s="1"/>
  <c r="N36" i="50" s="1"/>
  <c r="P36" i="50" s="1"/>
  <c r="BD36" i="50"/>
  <c r="F36" i="50" s="1"/>
  <c r="H36" i="50" s="1"/>
  <c r="O26" i="37"/>
  <c r="BH28" i="50" s="1"/>
  <c r="N28" i="50" s="1"/>
  <c r="P28" i="50" s="1"/>
  <c r="BD28" i="50"/>
  <c r="F28" i="50" s="1"/>
  <c r="H28" i="50" s="1"/>
  <c r="O18" i="37"/>
  <c r="BH20" i="50" s="1"/>
  <c r="N20" i="50" s="1"/>
  <c r="P20" i="50" s="1"/>
  <c r="BD20" i="50"/>
  <c r="F20" i="50" s="1"/>
  <c r="H20" i="50" s="1"/>
  <c r="O10" i="37"/>
  <c r="BH12" i="50" s="1"/>
  <c r="N12" i="50" s="1"/>
  <c r="P12" i="50" s="1"/>
  <c r="BD12" i="50"/>
  <c r="F12" i="50" s="1"/>
  <c r="H12" i="50" s="1"/>
  <c r="M58" i="37"/>
  <c r="BF60" i="50" s="1"/>
  <c r="J60" i="50" s="1"/>
  <c r="L60" i="50" s="1"/>
  <c r="M9" i="37"/>
  <c r="BF11" i="50" s="1"/>
  <c r="J11" i="50" s="1"/>
  <c r="L11" i="50" s="1"/>
  <c r="P95" i="37"/>
  <c r="BI97" i="50" s="1"/>
  <c r="O97" i="50" s="1"/>
  <c r="Q97" i="50" s="1"/>
  <c r="N95" i="37"/>
  <c r="BG97" i="50" s="1"/>
  <c r="K97" i="50" s="1"/>
  <c r="M97" i="50" s="1"/>
  <c r="N75" i="37"/>
  <c r="BG77" i="50" s="1"/>
  <c r="K77" i="50" s="1"/>
  <c r="M77" i="50" s="1"/>
  <c r="P75" i="37"/>
  <c r="BI77" i="50" s="1"/>
  <c r="O77" i="50" s="1"/>
  <c r="Q77" i="50" s="1"/>
  <c r="N41" i="37"/>
  <c r="BG43" i="50" s="1"/>
  <c r="K43" i="50" s="1"/>
  <c r="M43" i="50" s="1"/>
  <c r="P41" i="37"/>
  <c r="BI43" i="50" s="1"/>
  <c r="O43" i="50" s="1"/>
  <c r="Q43" i="50" s="1"/>
  <c r="N9" i="37"/>
  <c r="BG11" i="50" s="1"/>
  <c r="K11" i="50" s="1"/>
  <c r="M11" i="50" s="1"/>
  <c r="P9" i="37"/>
  <c r="BI11" i="50" s="1"/>
  <c r="O11" i="50" s="1"/>
  <c r="Q11" i="50" s="1"/>
  <c r="M94" i="37"/>
  <c r="BF96" i="50" s="1"/>
  <c r="J96" i="50" s="1"/>
  <c r="L96" i="50" s="1"/>
  <c r="M82" i="37"/>
  <c r="BF84" i="50" s="1"/>
  <c r="J84" i="50" s="1"/>
  <c r="L84" i="50" s="1"/>
  <c r="M66" i="37"/>
  <c r="BF68" i="50" s="1"/>
  <c r="J68" i="50" s="1"/>
  <c r="L68" i="50" s="1"/>
  <c r="M48" i="37"/>
  <c r="BF50" i="50" s="1"/>
  <c r="J50" i="50" s="1"/>
  <c r="L50" i="50" s="1"/>
  <c r="M32" i="37"/>
  <c r="BF34" i="50" s="1"/>
  <c r="J34" i="50" s="1"/>
  <c r="L34" i="50" s="1"/>
  <c r="M16" i="37"/>
  <c r="BF18" i="50" s="1"/>
  <c r="J18" i="50" s="1"/>
  <c r="L18" i="50" s="1"/>
  <c r="P74" i="37"/>
  <c r="BI76" i="50" s="1"/>
  <c r="O76" i="50" s="1"/>
  <c r="Q76" i="50" s="1"/>
  <c r="N74" i="37"/>
  <c r="BG76" i="50" s="1"/>
  <c r="K76" i="50" s="1"/>
  <c r="M76" i="50" s="1"/>
  <c r="P56" i="37"/>
  <c r="BI58" i="50" s="1"/>
  <c r="O58" i="50" s="1"/>
  <c r="Q58" i="50" s="1"/>
  <c r="N56" i="37"/>
  <c r="BG58" i="50" s="1"/>
  <c r="K58" i="50" s="1"/>
  <c r="M58" i="50" s="1"/>
  <c r="P40" i="37"/>
  <c r="BI42" i="50" s="1"/>
  <c r="O42" i="50" s="1"/>
  <c r="Q42" i="50" s="1"/>
  <c r="N40" i="37"/>
  <c r="BG42" i="50" s="1"/>
  <c r="K42" i="50" s="1"/>
  <c r="M42" i="50" s="1"/>
  <c r="P24" i="37"/>
  <c r="BI26" i="50" s="1"/>
  <c r="O26" i="50" s="1"/>
  <c r="Q26" i="50" s="1"/>
  <c r="N24" i="37"/>
  <c r="BG26" i="50" s="1"/>
  <c r="K26" i="50" s="1"/>
  <c r="M26" i="50" s="1"/>
  <c r="P8" i="37"/>
  <c r="BI10" i="50" s="1"/>
  <c r="O10" i="50" s="1"/>
  <c r="Q10" i="50" s="1"/>
  <c r="N8" i="37"/>
  <c r="BG10" i="50" s="1"/>
  <c r="K10" i="50" s="1"/>
  <c r="M10" i="50" s="1"/>
  <c r="M101" i="37"/>
  <c r="BF103" i="50" s="1"/>
  <c r="J103" i="50" s="1"/>
  <c r="L103" i="50" s="1"/>
  <c r="M93" i="37"/>
  <c r="BF95" i="50" s="1"/>
  <c r="J95" i="50" s="1"/>
  <c r="L95" i="50" s="1"/>
  <c r="M81" i="37"/>
  <c r="BF83" i="50" s="1"/>
  <c r="J83" i="50" s="1"/>
  <c r="L83" i="50" s="1"/>
  <c r="M73" i="37"/>
  <c r="BF75" i="50" s="1"/>
  <c r="J75" i="50" s="1"/>
  <c r="L75" i="50" s="1"/>
  <c r="M65" i="37"/>
  <c r="BF67" i="50" s="1"/>
  <c r="J67" i="50" s="1"/>
  <c r="L67" i="50" s="1"/>
  <c r="M55" i="37"/>
  <c r="BF57" i="50" s="1"/>
  <c r="J57" i="50" s="1"/>
  <c r="L57" i="50" s="1"/>
  <c r="M47" i="37"/>
  <c r="BF49" i="50" s="1"/>
  <c r="J49" i="50" s="1"/>
  <c r="L49" i="50" s="1"/>
  <c r="M39" i="37"/>
  <c r="BF41" i="50" s="1"/>
  <c r="J41" i="50" s="1"/>
  <c r="L41" i="50" s="1"/>
  <c r="M31" i="37"/>
  <c r="BF33" i="50" s="1"/>
  <c r="J33" i="50" s="1"/>
  <c r="L33" i="50" s="1"/>
  <c r="M23" i="37"/>
  <c r="BF25" i="50" s="1"/>
  <c r="J25" i="50" s="1"/>
  <c r="L25" i="50" s="1"/>
  <c r="M7" i="37"/>
  <c r="BF9" i="50" s="1"/>
  <c r="J9" i="50" s="1"/>
  <c r="L9" i="50" s="1"/>
  <c r="N101" i="37"/>
  <c r="BG103" i="50" s="1"/>
  <c r="K103" i="50" s="1"/>
  <c r="M103" i="50" s="1"/>
  <c r="P101" i="37"/>
  <c r="BI103" i="50" s="1"/>
  <c r="O103" i="50" s="1"/>
  <c r="Q103" i="50" s="1"/>
  <c r="P93" i="37"/>
  <c r="BI95" i="50" s="1"/>
  <c r="O95" i="50" s="1"/>
  <c r="Q95" i="50" s="1"/>
  <c r="N93" i="37"/>
  <c r="BG95" i="50" s="1"/>
  <c r="K95" i="50" s="1"/>
  <c r="M95" i="50" s="1"/>
  <c r="P81" i="37"/>
  <c r="BI83" i="50" s="1"/>
  <c r="O83" i="50" s="1"/>
  <c r="Q83" i="50" s="1"/>
  <c r="N81" i="37"/>
  <c r="BG83" i="50" s="1"/>
  <c r="K83" i="50" s="1"/>
  <c r="M83" i="50" s="1"/>
  <c r="N73" i="37"/>
  <c r="BG75" i="50" s="1"/>
  <c r="K75" i="50" s="1"/>
  <c r="M75" i="50" s="1"/>
  <c r="P73" i="37"/>
  <c r="BI75" i="50" s="1"/>
  <c r="O75" i="50" s="1"/>
  <c r="Q75" i="50" s="1"/>
  <c r="P65" i="37"/>
  <c r="BI67" i="50" s="1"/>
  <c r="O67" i="50" s="1"/>
  <c r="Q67" i="50" s="1"/>
  <c r="N65" i="37"/>
  <c r="BG67" i="50" s="1"/>
  <c r="K67" i="50" s="1"/>
  <c r="M67" i="50" s="1"/>
  <c r="P55" i="37"/>
  <c r="BI57" i="50" s="1"/>
  <c r="O57" i="50" s="1"/>
  <c r="Q57" i="50" s="1"/>
  <c r="N55" i="37"/>
  <c r="BG57" i="50" s="1"/>
  <c r="K57" i="50" s="1"/>
  <c r="M57" i="50" s="1"/>
  <c r="N47" i="37"/>
  <c r="BG49" i="50" s="1"/>
  <c r="K49" i="50" s="1"/>
  <c r="M49" i="50" s="1"/>
  <c r="P47" i="37"/>
  <c r="BI49" i="50" s="1"/>
  <c r="O49" i="50" s="1"/>
  <c r="Q49" i="50" s="1"/>
  <c r="N39" i="37"/>
  <c r="BG41" i="50" s="1"/>
  <c r="K41" i="50" s="1"/>
  <c r="P39" i="37"/>
  <c r="BI41" i="50" s="1"/>
  <c r="O41" i="50" s="1"/>
  <c r="P31" i="37"/>
  <c r="BI33" i="50" s="1"/>
  <c r="O33" i="50" s="1"/>
  <c r="Q33" i="50" s="1"/>
  <c r="N31" i="37"/>
  <c r="BG33" i="50" s="1"/>
  <c r="K33" i="50" s="1"/>
  <c r="M33" i="50" s="1"/>
  <c r="P23" i="37"/>
  <c r="BI25" i="50" s="1"/>
  <c r="O25" i="50" s="1"/>
  <c r="Q25" i="50" s="1"/>
  <c r="N23" i="37"/>
  <c r="BG25" i="50" s="1"/>
  <c r="K25" i="50" s="1"/>
  <c r="M25" i="50" s="1"/>
  <c r="N15" i="37"/>
  <c r="BG17" i="50" s="1"/>
  <c r="K17" i="50" s="1"/>
  <c r="M17" i="50" s="1"/>
  <c r="P15" i="37"/>
  <c r="BI17" i="50" s="1"/>
  <c r="O17" i="50" s="1"/>
  <c r="Q17" i="50" s="1"/>
  <c r="N7" i="37"/>
  <c r="BG9" i="50" s="1"/>
  <c r="K9" i="50" s="1"/>
  <c r="M9" i="50" s="1"/>
  <c r="P7" i="37"/>
  <c r="BI9" i="50" s="1"/>
  <c r="O9" i="50" s="1"/>
  <c r="Q9" i="50" s="1"/>
  <c r="M102" i="37"/>
  <c r="BF104" i="50" s="1"/>
  <c r="J104" i="50" s="1"/>
  <c r="L104" i="50" s="1"/>
  <c r="M68" i="37"/>
  <c r="BF70" i="50" s="1"/>
  <c r="J70" i="50" s="1"/>
  <c r="L70" i="50" s="1"/>
  <c r="M95" i="37"/>
  <c r="BF97" i="50" s="1"/>
  <c r="J97" i="50" s="1"/>
  <c r="L97" i="50" s="1"/>
  <c r="M75" i="37"/>
  <c r="BF77" i="50" s="1"/>
  <c r="J77" i="50" s="1"/>
  <c r="L77" i="50" s="1"/>
  <c r="M33" i="37"/>
  <c r="BF35" i="50" s="1"/>
  <c r="J35" i="50" s="1"/>
  <c r="L35" i="50" s="1"/>
  <c r="M25" i="37"/>
  <c r="BF27" i="50" s="1"/>
  <c r="J27" i="50" s="1"/>
  <c r="L27" i="50" s="1"/>
  <c r="N57" i="37"/>
  <c r="BG59" i="50" s="1"/>
  <c r="K59" i="50" s="1"/>
  <c r="M59" i="50" s="1"/>
  <c r="P57" i="37"/>
  <c r="BI59" i="50" s="1"/>
  <c r="O59" i="50" s="1"/>
  <c r="Q59" i="50" s="1"/>
  <c r="P25" i="37"/>
  <c r="BI27" i="50" s="1"/>
  <c r="O27" i="50" s="1"/>
  <c r="Q27" i="50" s="1"/>
  <c r="N25" i="37"/>
  <c r="BG27" i="50" s="1"/>
  <c r="K27" i="50" s="1"/>
  <c r="M27" i="50" s="1"/>
  <c r="M74" i="37"/>
  <c r="BF76" i="50" s="1"/>
  <c r="J76" i="50" s="1"/>
  <c r="L76" i="50" s="1"/>
  <c r="M56" i="37"/>
  <c r="BF58" i="50" s="1"/>
  <c r="J58" i="50" s="1"/>
  <c r="L58" i="50" s="1"/>
  <c r="M40" i="37"/>
  <c r="BF42" i="50" s="1"/>
  <c r="J42" i="50" s="1"/>
  <c r="L42" i="50" s="1"/>
  <c r="M24" i="37"/>
  <c r="BF26" i="50" s="1"/>
  <c r="J26" i="50" s="1"/>
  <c r="L26" i="50" s="1"/>
  <c r="M8" i="37"/>
  <c r="BF10" i="50" s="1"/>
  <c r="J10" i="50" s="1"/>
  <c r="L10" i="50" s="1"/>
  <c r="P94" i="37"/>
  <c r="BI96" i="50" s="1"/>
  <c r="O96" i="50" s="1"/>
  <c r="Q96" i="50" s="1"/>
  <c r="N94" i="37"/>
  <c r="BG96" i="50" s="1"/>
  <c r="K96" i="50" s="1"/>
  <c r="M96" i="50" s="1"/>
  <c r="P82" i="37"/>
  <c r="BI84" i="50" s="1"/>
  <c r="O84" i="50" s="1"/>
  <c r="Q84" i="50" s="1"/>
  <c r="N82" i="37"/>
  <c r="BG84" i="50" s="1"/>
  <c r="K84" i="50" s="1"/>
  <c r="M84" i="50" s="1"/>
  <c r="P66" i="37"/>
  <c r="BI68" i="50" s="1"/>
  <c r="O68" i="50" s="1"/>
  <c r="Q68" i="50" s="1"/>
  <c r="N66" i="37"/>
  <c r="BG68" i="50" s="1"/>
  <c r="K68" i="50" s="1"/>
  <c r="M68" i="50" s="1"/>
  <c r="P48" i="37"/>
  <c r="BI50" i="50" s="1"/>
  <c r="O50" i="50" s="1"/>
  <c r="Q50" i="50" s="1"/>
  <c r="N48" i="37"/>
  <c r="BG50" i="50" s="1"/>
  <c r="K50" i="50" s="1"/>
  <c r="M50" i="50" s="1"/>
  <c r="P32" i="37"/>
  <c r="BI34" i="50" s="1"/>
  <c r="O34" i="50" s="1"/>
  <c r="Q34" i="50" s="1"/>
  <c r="N32" i="37"/>
  <c r="BG34" i="50" s="1"/>
  <c r="K34" i="50" s="1"/>
  <c r="M34" i="50" s="1"/>
  <c r="P16" i="37"/>
  <c r="BI18" i="50" s="1"/>
  <c r="O18" i="50" s="1"/>
  <c r="Q18" i="50" s="1"/>
  <c r="N16" i="37"/>
  <c r="BG18" i="50" s="1"/>
  <c r="K18" i="50" s="1"/>
  <c r="M18" i="50" s="1"/>
  <c r="M100" i="37"/>
  <c r="BF102" i="50" s="1"/>
  <c r="J102" i="50" s="1"/>
  <c r="L102" i="50" s="1"/>
  <c r="M92" i="37"/>
  <c r="BF94" i="50" s="1"/>
  <c r="J94" i="50" s="1"/>
  <c r="L94" i="50" s="1"/>
  <c r="M80" i="37"/>
  <c r="BF82" i="50" s="1"/>
  <c r="J82" i="50" s="1"/>
  <c r="L82" i="50" s="1"/>
  <c r="M72" i="37"/>
  <c r="BF74" i="50" s="1"/>
  <c r="J74" i="50" s="1"/>
  <c r="L74" i="50" s="1"/>
  <c r="M64" i="37"/>
  <c r="BF66" i="50" s="1"/>
  <c r="J66" i="50" s="1"/>
  <c r="L66" i="50" s="1"/>
  <c r="M54" i="37"/>
  <c r="BF56" i="50" s="1"/>
  <c r="J56" i="50" s="1"/>
  <c r="L56" i="50" s="1"/>
  <c r="M46" i="37"/>
  <c r="BF48" i="50" s="1"/>
  <c r="J48" i="50" s="1"/>
  <c r="L48" i="50" s="1"/>
  <c r="M38" i="37"/>
  <c r="BF40" i="50" s="1"/>
  <c r="J40" i="50" s="1"/>
  <c r="L40" i="50" s="1"/>
  <c r="M30" i="37"/>
  <c r="BF32" i="50" s="1"/>
  <c r="J32" i="50" s="1"/>
  <c r="L32" i="50" s="1"/>
  <c r="M22" i="37"/>
  <c r="BF24" i="50" s="1"/>
  <c r="J24" i="50" s="1"/>
  <c r="L24" i="50" s="1"/>
  <c r="M14" i="37"/>
  <c r="BF16" i="50" s="1"/>
  <c r="J16" i="50" s="1"/>
  <c r="L16" i="50" s="1"/>
  <c r="M6" i="37"/>
  <c r="BF8" i="50" s="1"/>
  <c r="J8" i="50" s="1"/>
  <c r="L8" i="50" s="1"/>
  <c r="N100" i="37"/>
  <c r="BG102" i="50" s="1"/>
  <c r="K102" i="50" s="1"/>
  <c r="M102" i="50" s="1"/>
  <c r="P100" i="37"/>
  <c r="BI102" i="50" s="1"/>
  <c r="O102" i="50" s="1"/>
  <c r="Q102" i="50" s="1"/>
  <c r="N92" i="37"/>
  <c r="BG94" i="50" s="1"/>
  <c r="K94" i="50" s="1"/>
  <c r="M94" i="50" s="1"/>
  <c r="P92" i="37"/>
  <c r="BI94" i="50" s="1"/>
  <c r="O94" i="50" s="1"/>
  <c r="Q94" i="50" s="1"/>
  <c r="P80" i="37"/>
  <c r="BI82" i="50" s="1"/>
  <c r="O82" i="50" s="1"/>
  <c r="Q82" i="50" s="1"/>
  <c r="N80" i="37"/>
  <c r="BG82" i="50" s="1"/>
  <c r="K82" i="50" s="1"/>
  <c r="M82" i="50" s="1"/>
  <c r="N72" i="37"/>
  <c r="BG74" i="50" s="1"/>
  <c r="K74" i="50" s="1"/>
  <c r="M74" i="50" s="1"/>
  <c r="P72" i="37"/>
  <c r="BI74" i="50" s="1"/>
  <c r="O74" i="50" s="1"/>
  <c r="Q74" i="50" s="1"/>
  <c r="P64" i="37"/>
  <c r="BI66" i="50" s="1"/>
  <c r="O66" i="50" s="1"/>
  <c r="Q66" i="50" s="1"/>
  <c r="N64" i="37"/>
  <c r="BG66" i="50" s="1"/>
  <c r="K66" i="50" s="1"/>
  <c r="M66" i="50" s="1"/>
  <c r="P54" i="37"/>
  <c r="BI56" i="50" s="1"/>
  <c r="O56" i="50" s="1"/>
  <c r="Q56" i="50" s="1"/>
  <c r="N54" i="37"/>
  <c r="BG56" i="50" s="1"/>
  <c r="K56" i="50" s="1"/>
  <c r="M56" i="50" s="1"/>
  <c r="P46" i="37"/>
  <c r="BI48" i="50" s="1"/>
  <c r="O48" i="50" s="1"/>
  <c r="Q48" i="50" s="1"/>
  <c r="N46" i="37"/>
  <c r="BG48" i="50" s="1"/>
  <c r="K48" i="50" s="1"/>
  <c r="M48" i="50" s="1"/>
  <c r="N38" i="37"/>
  <c r="BG40" i="50" s="1"/>
  <c r="K40" i="50" s="1"/>
  <c r="M40" i="50" s="1"/>
  <c r="P38" i="37"/>
  <c r="BI40" i="50" s="1"/>
  <c r="O40" i="50" s="1"/>
  <c r="Q40" i="50" s="1"/>
  <c r="N30" i="37"/>
  <c r="BG32" i="50" s="1"/>
  <c r="K32" i="50" s="1"/>
  <c r="M32" i="50" s="1"/>
  <c r="P30" i="37"/>
  <c r="BI32" i="50" s="1"/>
  <c r="O32" i="50" s="1"/>
  <c r="Q32" i="50" s="1"/>
  <c r="P22" i="37"/>
  <c r="BI24" i="50" s="1"/>
  <c r="O24" i="50" s="1"/>
  <c r="Q24" i="50" s="1"/>
  <c r="N22" i="37"/>
  <c r="BG24" i="50" s="1"/>
  <c r="K24" i="50" s="1"/>
  <c r="M24" i="50" s="1"/>
  <c r="P14" i="37"/>
  <c r="BI16" i="50" s="1"/>
  <c r="O16" i="50" s="1"/>
  <c r="Q16" i="50" s="1"/>
  <c r="N14" i="37"/>
  <c r="BG16" i="50" s="1"/>
  <c r="K16" i="50" s="1"/>
  <c r="M16" i="50" s="1"/>
  <c r="N6" i="37"/>
  <c r="BG8" i="50" s="1"/>
  <c r="K8" i="50" s="1"/>
  <c r="M8" i="50" s="1"/>
  <c r="P6" i="37"/>
  <c r="BI8" i="50" s="1"/>
  <c r="O8" i="50" s="1"/>
  <c r="Q8" i="50" s="1"/>
  <c r="M84" i="37"/>
  <c r="BF86" i="50" s="1"/>
  <c r="J86" i="50" s="1"/>
  <c r="L86" i="50" s="1"/>
  <c r="M67" i="37"/>
  <c r="BF69" i="50" s="1"/>
  <c r="J69" i="50" s="1"/>
  <c r="L69" i="50" s="1"/>
  <c r="P67" i="37"/>
  <c r="BI69" i="50" s="1"/>
  <c r="O69" i="50" s="1"/>
  <c r="Q69" i="50" s="1"/>
  <c r="N67" i="37"/>
  <c r="BG69" i="50" s="1"/>
  <c r="K69" i="50" s="1"/>
  <c r="M69" i="50" s="1"/>
  <c r="M76" i="37"/>
  <c r="BF78" i="50" s="1"/>
  <c r="J78" i="50" s="1"/>
  <c r="L78" i="50" s="1"/>
  <c r="M57" i="37"/>
  <c r="BF59" i="50" s="1"/>
  <c r="J59" i="50" s="1"/>
  <c r="L59" i="50" s="1"/>
  <c r="P33" i="37"/>
  <c r="BI35" i="50" s="1"/>
  <c r="O35" i="50" s="1"/>
  <c r="Q35" i="50" s="1"/>
  <c r="N33" i="37"/>
  <c r="BG35" i="50" s="1"/>
  <c r="K35" i="50" s="1"/>
  <c r="M35" i="50" s="1"/>
  <c r="M99" i="37"/>
  <c r="BF101" i="50" s="1"/>
  <c r="J101" i="50" s="1"/>
  <c r="L101" i="50" s="1"/>
  <c r="M71" i="37"/>
  <c r="BF73" i="50" s="1"/>
  <c r="J73" i="50" s="1"/>
  <c r="L73" i="50" s="1"/>
  <c r="M63" i="37"/>
  <c r="BF65" i="50" s="1"/>
  <c r="J65" i="50" s="1"/>
  <c r="L65" i="50" s="1"/>
  <c r="M45" i="37"/>
  <c r="BF47" i="50" s="1"/>
  <c r="J47" i="50" s="1"/>
  <c r="L47" i="50" s="1"/>
  <c r="M29" i="37"/>
  <c r="BF31" i="50" s="1"/>
  <c r="J31" i="50" s="1"/>
  <c r="L31" i="50" s="1"/>
  <c r="M13" i="37"/>
  <c r="BF15" i="50" s="1"/>
  <c r="J15" i="50" s="1"/>
  <c r="L15" i="50" s="1"/>
  <c r="P109" i="37"/>
  <c r="BI111" i="50" s="1"/>
  <c r="O111" i="50" s="1"/>
  <c r="Q111" i="50" s="1"/>
  <c r="N109" i="37"/>
  <c r="BG111" i="50" s="1"/>
  <c r="K111" i="50" s="1"/>
  <c r="M111" i="50" s="1"/>
  <c r="P87" i="37"/>
  <c r="BI89" i="50" s="1"/>
  <c r="O89" i="50" s="1"/>
  <c r="Q89" i="50" s="1"/>
  <c r="N87" i="37"/>
  <c r="BG89" i="50" s="1"/>
  <c r="K89" i="50" s="1"/>
  <c r="M89" i="50" s="1"/>
  <c r="P79" i="37"/>
  <c r="BI81" i="50" s="1"/>
  <c r="O81" i="50" s="1"/>
  <c r="Q81" i="50" s="1"/>
  <c r="N79" i="37"/>
  <c r="BG81" i="50" s="1"/>
  <c r="K81" i="50" s="1"/>
  <c r="M81" i="50" s="1"/>
  <c r="P63" i="37"/>
  <c r="BI65" i="50" s="1"/>
  <c r="O65" i="50" s="1"/>
  <c r="Q65" i="50" s="1"/>
  <c r="N63" i="37"/>
  <c r="BG65" i="50" s="1"/>
  <c r="K65" i="50" s="1"/>
  <c r="M65" i="50" s="1"/>
  <c r="P45" i="37"/>
  <c r="BI47" i="50" s="1"/>
  <c r="O47" i="50" s="1"/>
  <c r="N45" i="37"/>
  <c r="BG47" i="50" s="1"/>
  <c r="K47" i="50" s="1"/>
  <c r="P29" i="37"/>
  <c r="BI31" i="50" s="1"/>
  <c r="O31" i="50" s="1"/>
  <c r="Q31" i="50" s="1"/>
  <c r="N29" i="37"/>
  <c r="BG31" i="50" s="1"/>
  <c r="K31" i="50" s="1"/>
  <c r="M31" i="50" s="1"/>
  <c r="P13" i="37"/>
  <c r="BI15" i="50" s="1"/>
  <c r="O15" i="50" s="1"/>
  <c r="Q15" i="50" s="1"/>
  <c r="N13" i="37"/>
  <c r="BG15" i="50" s="1"/>
  <c r="K15" i="50" s="1"/>
  <c r="M15" i="50" s="1"/>
  <c r="M108" i="37"/>
  <c r="BF110" i="50" s="1"/>
  <c r="J110" i="50" s="1"/>
  <c r="L110" i="50" s="1"/>
  <c r="M98" i="37"/>
  <c r="BF100" i="50" s="1"/>
  <c r="J100" i="50" s="1"/>
  <c r="L100" i="50" s="1"/>
  <c r="M78" i="37"/>
  <c r="BF80" i="50" s="1"/>
  <c r="J80" i="50" s="1"/>
  <c r="L80" i="50" s="1"/>
  <c r="M70" i="37"/>
  <c r="BF72" i="50" s="1"/>
  <c r="J72" i="50" s="1"/>
  <c r="L72" i="50" s="1"/>
  <c r="M62" i="37"/>
  <c r="BF64" i="50" s="1"/>
  <c r="J64" i="50" s="1"/>
  <c r="L64" i="50" s="1"/>
  <c r="BF54" i="50"/>
  <c r="J54" i="50" s="1"/>
  <c r="L54" i="50" s="1"/>
  <c r="M44" i="37"/>
  <c r="BF46" i="50" s="1"/>
  <c r="J46" i="50" s="1"/>
  <c r="L46" i="50" s="1"/>
  <c r="M36" i="37"/>
  <c r="BF38" i="50" s="1"/>
  <c r="J38" i="50" s="1"/>
  <c r="L38" i="50" s="1"/>
  <c r="M28" i="37"/>
  <c r="BF30" i="50" s="1"/>
  <c r="J30" i="50" s="1"/>
  <c r="L30" i="50" s="1"/>
  <c r="M20" i="37"/>
  <c r="BF22" i="50" s="1"/>
  <c r="J22" i="50" s="1"/>
  <c r="L22" i="50" s="1"/>
  <c r="M12" i="37"/>
  <c r="BF14" i="50" s="1"/>
  <c r="J14" i="50" s="1"/>
  <c r="L14" i="50" s="1"/>
  <c r="P108" i="37"/>
  <c r="BI110" i="50" s="1"/>
  <c r="O110" i="50" s="1"/>
  <c r="Q110" i="50" s="1"/>
  <c r="N108" i="37"/>
  <c r="BG110" i="50" s="1"/>
  <c r="K110" i="50" s="1"/>
  <c r="M110" i="50" s="1"/>
  <c r="P98" i="37"/>
  <c r="BI100" i="50" s="1"/>
  <c r="O100" i="50" s="1"/>
  <c r="Q100" i="50" s="1"/>
  <c r="N98" i="37"/>
  <c r="BG100" i="50" s="1"/>
  <c r="K100" i="50" s="1"/>
  <c r="M100" i="50" s="1"/>
  <c r="P86" i="37"/>
  <c r="BI88" i="50" s="1"/>
  <c r="O88" i="50" s="1"/>
  <c r="Q88" i="50" s="1"/>
  <c r="N86" i="37"/>
  <c r="BG88" i="50" s="1"/>
  <c r="K88" i="50" s="1"/>
  <c r="M88" i="50" s="1"/>
  <c r="N78" i="37"/>
  <c r="BG80" i="50" s="1"/>
  <c r="K80" i="50" s="1"/>
  <c r="M80" i="50" s="1"/>
  <c r="N70" i="37"/>
  <c r="BG72" i="50" s="1"/>
  <c r="K72" i="50" s="1"/>
  <c r="M72" i="50" s="1"/>
  <c r="P70" i="37"/>
  <c r="BI72" i="50" s="1"/>
  <c r="O72" i="50" s="1"/>
  <c r="Q72" i="50" s="1"/>
  <c r="N62" i="37"/>
  <c r="BG64" i="50" s="1"/>
  <c r="K64" i="50" s="1"/>
  <c r="M64" i="50" s="1"/>
  <c r="P62" i="37"/>
  <c r="BI64" i="50" s="1"/>
  <c r="O64" i="50" s="1"/>
  <c r="Q64" i="50" s="1"/>
  <c r="P52" i="37"/>
  <c r="BI54" i="50" s="1"/>
  <c r="O54" i="50" s="1"/>
  <c r="Q54" i="50" s="1"/>
  <c r="BG54" i="50"/>
  <c r="K54" i="50" s="1"/>
  <c r="M54" i="50" s="1"/>
  <c r="P44" i="37"/>
  <c r="BI46" i="50" s="1"/>
  <c r="O46" i="50" s="1"/>
  <c r="Q46" i="50" s="1"/>
  <c r="N44" i="37"/>
  <c r="BG46" i="50" s="1"/>
  <c r="K46" i="50" s="1"/>
  <c r="M46" i="50" s="1"/>
  <c r="N36" i="37"/>
  <c r="BG38" i="50" s="1"/>
  <c r="K38" i="50" s="1"/>
  <c r="M38" i="50" s="1"/>
  <c r="P36" i="37"/>
  <c r="BI38" i="50" s="1"/>
  <c r="O38" i="50" s="1"/>
  <c r="Q38" i="50" s="1"/>
  <c r="N28" i="37"/>
  <c r="BG30" i="50" s="1"/>
  <c r="K30" i="50" s="1"/>
  <c r="M30" i="50" s="1"/>
  <c r="P28" i="37"/>
  <c r="BI30" i="50" s="1"/>
  <c r="O30" i="50" s="1"/>
  <c r="Q30" i="50" s="1"/>
  <c r="P20" i="37"/>
  <c r="BI22" i="50" s="1"/>
  <c r="O22" i="50" s="1"/>
  <c r="Q22" i="50" s="1"/>
  <c r="BG22" i="50"/>
  <c r="K22" i="50" s="1"/>
  <c r="M22" i="50" s="1"/>
  <c r="P12" i="37"/>
  <c r="BI14" i="50" s="1"/>
  <c r="O14" i="50" s="1"/>
  <c r="Q14" i="50" s="1"/>
  <c r="N12" i="37"/>
  <c r="BG14" i="50" s="1"/>
  <c r="K14" i="50" s="1"/>
  <c r="M14" i="50" s="1"/>
  <c r="M96" i="37"/>
  <c r="BF98" i="50" s="1"/>
  <c r="J98" i="50" s="1"/>
  <c r="L98" i="50" s="1"/>
  <c r="M83" i="37"/>
  <c r="BF85" i="50" s="1"/>
  <c r="J85" i="50" s="1"/>
  <c r="L85" i="50" s="1"/>
  <c r="M41" i="37"/>
  <c r="BF43" i="50" s="1"/>
  <c r="J43" i="50" s="1"/>
  <c r="L43" i="50" s="1"/>
  <c r="N83" i="37"/>
  <c r="BG85" i="50" s="1"/>
  <c r="K85" i="50" s="1"/>
  <c r="M85" i="50" s="1"/>
  <c r="P83" i="37"/>
  <c r="BI85" i="50" s="1"/>
  <c r="O85" i="50" s="1"/>
  <c r="Q85" i="50" s="1"/>
  <c r="N49" i="37"/>
  <c r="BG51" i="50" s="1"/>
  <c r="K51" i="50" s="1"/>
  <c r="M51" i="50" s="1"/>
  <c r="P49" i="37"/>
  <c r="BI51" i="50" s="1"/>
  <c r="O51" i="50" s="1"/>
  <c r="Q51" i="50" s="1"/>
  <c r="N17" i="37"/>
  <c r="BG19" i="50" s="1"/>
  <c r="K19" i="50" s="1"/>
  <c r="M19" i="50" s="1"/>
  <c r="P17" i="37"/>
  <c r="BI19" i="50" s="1"/>
  <c r="O19" i="50" s="1"/>
  <c r="Q19" i="50" s="1"/>
  <c r="M109" i="37"/>
  <c r="BF111" i="50" s="1"/>
  <c r="J111" i="50" s="1"/>
  <c r="L111" i="50" s="1"/>
  <c r="M87" i="37"/>
  <c r="BF89" i="50" s="1"/>
  <c r="J89" i="50" s="1"/>
  <c r="L89" i="50" s="1"/>
  <c r="M79" i="37"/>
  <c r="BF81" i="50" s="1"/>
  <c r="J81" i="50" s="1"/>
  <c r="L81" i="50" s="1"/>
  <c r="M53" i="37"/>
  <c r="BF55" i="50" s="1"/>
  <c r="J55" i="50" s="1"/>
  <c r="L55" i="50" s="1"/>
  <c r="M37" i="37"/>
  <c r="BF39" i="50" s="1"/>
  <c r="J39" i="50" s="1"/>
  <c r="L39" i="50" s="1"/>
  <c r="M21" i="37"/>
  <c r="BF23" i="50" s="1"/>
  <c r="J23" i="50" s="1"/>
  <c r="L23" i="50" s="1"/>
  <c r="P99" i="37"/>
  <c r="BI101" i="50" s="1"/>
  <c r="O101" i="50" s="1"/>
  <c r="Q101" i="50" s="1"/>
  <c r="N99" i="37"/>
  <c r="BG101" i="50" s="1"/>
  <c r="K101" i="50" s="1"/>
  <c r="M101" i="50" s="1"/>
  <c r="P71" i="37"/>
  <c r="BI73" i="50" s="1"/>
  <c r="O73" i="50" s="1"/>
  <c r="Q73" i="50" s="1"/>
  <c r="N71" i="37"/>
  <c r="BG73" i="50" s="1"/>
  <c r="K73" i="50" s="1"/>
  <c r="M73" i="50" s="1"/>
  <c r="P53" i="37"/>
  <c r="BI55" i="50" s="1"/>
  <c r="O55" i="50" s="1"/>
  <c r="Q55" i="50" s="1"/>
  <c r="N53" i="37"/>
  <c r="BG55" i="50" s="1"/>
  <c r="K55" i="50" s="1"/>
  <c r="M55" i="50" s="1"/>
  <c r="P37" i="37"/>
  <c r="BI39" i="50" s="1"/>
  <c r="O39" i="50" s="1"/>
  <c r="Q39" i="50" s="1"/>
  <c r="N37" i="37"/>
  <c r="BG39" i="50" s="1"/>
  <c r="K39" i="50" s="1"/>
  <c r="M39" i="50" s="1"/>
  <c r="P21" i="37"/>
  <c r="BI23" i="50" s="1"/>
  <c r="O23" i="50" s="1"/>
  <c r="Q23" i="50" s="1"/>
  <c r="N21" i="37"/>
  <c r="BG23" i="50" s="1"/>
  <c r="K23" i="50" s="1"/>
  <c r="M23" i="50" s="1"/>
  <c r="BF7" i="50"/>
  <c r="J7" i="50" s="1"/>
  <c r="L7" i="50" s="1"/>
  <c r="M103" i="37"/>
  <c r="BF105" i="50" s="1"/>
  <c r="J105" i="50" s="1"/>
  <c r="L105" i="50" s="1"/>
  <c r="M97" i="37"/>
  <c r="BF99" i="50" s="1"/>
  <c r="J99" i="50" s="1"/>
  <c r="L99" i="50" s="1"/>
  <c r="M77" i="37"/>
  <c r="BF79" i="50" s="1"/>
  <c r="J79" i="50" s="1"/>
  <c r="L79" i="50" s="1"/>
  <c r="M69" i="37"/>
  <c r="BF71" i="50" s="1"/>
  <c r="J71" i="50" s="1"/>
  <c r="L71" i="50" s="1"/>
  <c r="M59" i="37"/>
  <c r="BF61" i="50" s="1"/>
  <c r="J61" i="50" s="1"/>
  <c r="L61" i="50" s="1"/>
  <c r="M51" i="37"/>
  <c r="BF53" i="50" s="1"/>
  <c r="J53" i="50" s="1"/>
  <c r="L53" i="50" s="1"/>
  <c r="M43" i="37"/>
  <c r="BF45" i="50" s="1"/>
  <c r="J45" i="50" s="1"/>
  <c r="L45" i="50" s="1"/>
  <c r="M35" i="37"/>
  <c r="BF37" i="50" s="1"/>
  <c r="J37" i="50" s="1"/>
  <c r="L37" i="50" s="1"/>
  <c r="M27" i="37"/>
  <c r="BF29" i="50" s="1"/>
  <c r="J29" i="50" s="1"/>
  <c r="L29" i="50" s="1"/>
  <c r="M19" i="37"/>
  <c r="BF21" i="50" s="1"/>
  <c r="J21" i="50" s="1"/>
  <c r="L21" i="50" s="1"/>
  <c r="M11" i="37"/>
  <c r="BF13" i="50" s="1"/>
  <c r="J13" i="50" s="1"/>
  <c r="L13" i="50" s="1"/>
  <c r="P103" i="37"/>
  <c r="BI105" i="50" s="1"/>
  <c r="O105" i="50" s="1"/>
  <c r="Q105" i="50" s="1"/>
  <c r="N103" i="37"/>
  <c r="BG105" i="50" s="1"/>
  <c r="K105" i="50" s="1"/>
  <c r="M105" i="50" s="1"/>
  <c r="P97" i="37"/>
  <c r="BI99" i="50" s="1"/>
  <c r="O99" i="50" s="1"/>
  <c r="Q99" i="50" s="1"/>
  <c r="N97" i="37"/>
  <c r="BG99" i="50" s="1"/>
  <c r="K99" i="50" s="1"/>
  <c r="M99" i="50" s="1"/>
  <c r="P85" i="37"/>
  <c r="BI87" i="50" s="1"/>
  <c r="O87" i="50" s="1"/>
  <c r="Q87" i="50" s="1"/>
  <c r="N85" i="37"/>
  <c r="BG87" i="50" s="1"/>
  <c r="K87" i="50" s="1"/>
  <c r="M87" i="50" s="1"/>
  <c r="N77" i="37"/>
  <c r="BG79" i="50" s="1"/>
  <c r="K79" i="50" s="1"/>
  <c r="M79" i="50" s="1"/>
  <c r="P77" i="37"/>
  <c r="BI79" i="50" s="1"/>
  <c r="O79" i="50" s="1"/>
  <c r="Q79" i="50" s="1"/>
  <c r="N69" i="37"/>
  <c r="BG71" i="50" s="1"/>
  <c r="K71" i="50" s="1"/>
  <c r="M71" i="50" s="1"/>
  <c r="P69" i="37"/>
  <c r="BI71" i="50" s="1"/>
  <c r="O71" i="50" s="1"/>
  <c r="Q71" i="50" s="1"/>
  <c r="N59" i="37"/>
  <c r="BG61" i="50" s="1"/>
  <c r="K61" i="50" s="1"/>
  <c r="M61" i="50" s="1"/>
  <c r="P59" i="37"/>
  <c r="BI61" i="50" s="1"/>
  <c r="O61" i="50" s="1"/>
  <c r="Q61" i="50" s="1"/>
  <c r="N51" i="37"/>
  <c r="BG53" i="50" s="1"/>
  <c r="K53" i="50" s="1"/>
  <c r="M53" i="50" s="1"/>
  <c r="P51" i="37"/>
  <c r="BI53" i="50" s="1"/>
  <c r="O53" i="50" s="1"/>
  <c r="Q53" i="50" s="1"/>
  <c r="P43" i="37"/>
  <c r="BI45" i="50" s="1"/>
  <c r="O45" i="50" s="1"/>
  <c r="Q45" i="50" s="1"/>
  <c r="N43" i="37"/>
  <c r="BG45" i="50" s="1"/>
  <c r="K45" i="50" s="1"/>
  <c r="M45" i="50" s="1"/>
  <c r="P35" i="37"/>
  <c r="BI37" i="50" s="1"/>
  <c r="O37" i="50" s="1"/>
  <c r="Q37" i="50" s="1"/>
  <c r="N35" i="37"/>
  <c r="BG37" i="50" s="1"/>
  <c r="K37" i="50" s="1"/>
  <c r="M37" i="50" s="1"/>
  <c r="N27" i="37"/>
  <c r="BG29" i="50" s="1"/>
  <c r="K29" i="50" s="1"/>
  <c r="M29" i="50" s="1"/>
  <c r="P27" i="37"/>
  <c r="BI29" i="50" s="1"/>
  <c r="O29" i="50" s="1"/>
  <c r="Q29" i="50" s="1"/>
  <c r="N19" i="37"/>
  <c r="BG21" i="50" s="1"/>
  <c r="K21" i="50" s="1"/>
  <c r="M21" i="50" s="1"/>
  <c r="P19" i="37"/>
  <c r="BI21" i="50" s="1"/>
  <c r="O21" i="50" s="1"/>
  <c r="Q21" i="50" s="1"/>
  <c r="P11" i="37"/>
  <c r="BI13" i="50" s="1"/>
  <c r="O13" i="50" s="1"/>
  <c r="Q13" i="50" s="1"/>
  <c r="N11" i="37"/>
  <c r="BG13" i="50" s="1"/>
  <c r="M42" i="37"/>
  <c r="BF44" i="50" s="1"/>
  <c r="J44" i="50" s="1"/>
  <c r="L44" i="50" s="1"/>
  <c r="M34" i="37"/>
  <c r="BF36" i="50" s="1"/>
  <c r="J36" i="50" s="1"/>
  <c r="L36" i="50" s="1"/>
  <c r="M26" i="37"/>
  <c r="BF28" i="50" s="1"/>
  <c r="J28" i="50" s="1"/>
  <c r="L28" i="50" s="1"/>
  <c r="M18" i="37"/>
  <c r="BF20" i="50" s="1"/>
  <c r="J20" i="50" s="1"/>
  <c r="L20" i="50" s="1"/>
  <c r="M10" i="37"/>
  <c r="BF12" i="50" s="1"/>
  <c r="J12" i="50" s="1"/>
  <c r="L12" i="50" s="1"/>
  <c r="P102" i="37"/>
  <c r="BI104" i="50" s="1"/>
  <c r="O104" i="50" s="1"/>
  <c r="Q104" i="50" s="1"/>
  <c r="N102" i="37"/>
  <c r="BG104" i="50" s="1"/>
  <c r="K104" i="50" s="1"/>
  <c r="M104" i="50" s="1"/>
  <c r="P96" i="37"/>
  <c r="BI98" i="50" s="1"/>
  <c r="O98" i="50" s="1"/>
  <c r="Q98" i="50" s="1"/>
  <c r="N96" i="37"/>
  <c r="BG98" i="50" s="1"/>
  <c r="K98" i="50" s="1"/>
  <c r="M98" i="50" s="1"/>
  <c r="N84" i="37"/>
  <c r="BG86" i="50" s="1"/>
  <c r="K86" i="50" s="1"/>
  <c r="M86" i="50" s="1"/>
  <c r="P84" i="37"/>
  <c r="BI86" i="50" s="1"/>
  <c r="O86" i="50" s="1"/>
  <c r="Q86" i="50" s="1"/>
  <c r="P76" i="37"/>
  <c r="BI78" i="50" s="1"/>
  <c r="O78" i="50" s="1"/>
  <c r="Q78" i="50" s="1"/>
  <c r="N76" i="37"/>
  <c r="BG78" i="50" s="1"/>
  <c r="K78" i="50" s="1"/>
  <c r="M78" i="50" s="1"/>
  <c r="N68" i="37"/>
  <c r="BG70" i="50" s="1"/>
  <c r="K70" i="50" s="1"/>
  <c r="M70" i="50" s="1"/>
  <c r="P68" i="37"/>
  <c r="BI70" i="50" s="1"/>
  <c r="O70" i="50" s="1"/>
  <c r="Q70" i="50" s="1"/>
  <c r="P58" i="37"/>
  <c r="BI60" i="50" s="1"/>
  <c r="O60" i="50" s="1"/>
  <c r="Q60" i="50" s="1"/>
  <c r="N58" i="37"/>
  <c r="BG60" i="50" s="1"/>
  <c r="K60" i="50" s="1"/>
  <c r="M60" i="50" s="1"/>
  <c r="N50" i="37"/>
  <c r="BG52" i="50" s="1"/>
  <c r="K52" i="50" s="1"/>
  <c r="M52" i="50" s="1"/>
  <c r="P50" i="37"/>
  <c r="BI52" i="50" s="1"/>
  <c r="O52" i="50" s="1"/>
  <c r="Q52" i="50" s="1"/>
  <c r="P42" i="37"/>
  <c r="BI44" i="50" s="1"/>
  <c r="O44" i="50" s="1"/>
  <c r="Q44" i="50" s="1"/>
  <c r="N42" i="37"/>
  <c r="BG44" i="50" s="1"/>
  <c r="K44" i="50" s="1"/>
  <c r="M44" i="50" s="1"/>
  <c r="P34" i="37"/>
  <c r="BI36" i="50" s="1"/>
  <c r="O36" i="50" s="1"/>
  <c r="Q36" i="50" s="1"/>
  <c r="N34" i="37"/>
  <c r="BG36" i="50" s="1"/>
  <c r="K36" i="50" s="1"/>
  <c r="M36" i="50" s="1"/>
  <c r="N26" i="37"/>
  <c r="BG28" i="50" s="1"/>
  <c r="K28" i="50" s="1"/>
  <c r="M28" i="50" s="1"/>
  <c r="P26" i="37"/>
  <c r="BI28" i="50" s="1"/>
  <c r="O28" i="50" s="1"/>
  <c r="Q28" i="50" s="1"/>
  <c r="N18" i="37"/>
  <c r="BG20" i="50" s="1"/>
  <c r="K20" i="50" s="1"/>
  <c r="M20" i="50" s="1"/>
  <c r="P18" i="37"/>
  <c r="BI20" i="50" s="1"/>
  <c r="O20" i="50" s="1"/>
  <c r="Q20" i="50" s="1"/>
  <c r="P10" i="37"/>
  <c r="BI12" i="50" s="1"/>
  <c r="O12" i="50" s="1"/>
  <c r="Q12" i="50" s="1"/>
  <c r="N10" i="37"/>
  <c r="BG12" i="50" s="1"/>
  <c r="K12" i="50" s="1"/>
  <c r="M12" i="50" s="1"/>
  <c r="M50" i="37"/>
  <c r="BF52" i="50" s="1"/>
  <c r="J52" i="50" s="1"/>
  <c r="L52" i="50" s="1"/>
  <c r="M49" i="37"/>
  <c r="BF51" i="50" s="1"/>
  <c r="J51" i="50" s="1"/>
  <c r="L51" i="50" s="1"/>
  <c r="M17" i="37"/>
  <c r="BF19" i="50" s="1"/>
  <c r="J19" i="50" s="1"/>
  <c r="L19" i="50" s="1"/>
  <c r="M85" i="37"/>
  <c r="BF87" i="50" s="1"/>
  <c r="J87" i="50" s="1"/>
  <c r="L87" i="50" s="1"/>
  <c r="M15" i="37"/>
  <c r="BF17" i="50" s="1"/>
  <c r="J17" i="50" s="1"/>
  <c r="L17" i="50" s="1"/>
  <c r="U16" i="40"/>
  <c r="P41" i="50" l="1"/>
  <c r="Q41" i="50"/>
  <c r="M41" i="50"/>
  <c r="H41" i="50"/>
  <c r="M47" i="50"/>
  <c r="Q47" i="50"/>
  <c r="H7" i="50"/>
  <c r="K13" i="50"/>
  <c r="M13" i="50" s="1"/>
  <c r="P54" i="50"/>
  <c r="BO7" i="50"/>
  <c r="S7" i="50" s="1"/>
  <c r="BS7" i="50"/>
  <c r="H39" i="47"/>
  <c r="H35" i="47"/>
  <c r="H31" i="47"/>
  <c r="H27" i="47"/>
  <c r="H23" i="47"/>
  <c r="H19" i="47"/>
  <c r="I39" i="47"/>
  <c r="I31" i="47"/>
  <c r="I23" i="47"/>
  <c r="H23" i="40"/>
  <c r="H21" i="40"/>
  <c r="H19" i="40"/>
  <c r="D26" i="31"/>
  <c r="D21" i="31"/>
  <c r="D16" i="31"/>
  <c r="N6" i="47"/>
  <c r="N7" i="47"/>
  <c r="O6" i="47"/>
  <c r="N14" i="35" a="1"/>
  <c r="N14" i="35" s="1"/>
  <c r="M14" i="35" a="1"/>
  <c r="M14" i="35" s="1"/>
  <c r="L14" i="35" a="1"/>
  <c r="L14" i="35" s="1"/>
  <c r="R10" i="40"/>
  <c r="H10" i="40"/>
  <c r="K10" i="40"/>
  <c r="J11" i="40"/>
  <c r="J10" i="40"/>
  <c r="K16" i="40"/>
  <c r="Y25" i="31"/>
  <c r="X25" i="31"/>
  <c r="W25" i="31"/>
  <c r="V25" i="31"/>
  <c r="Y20" i="31"/>
  <c r="X20" i="31"/>
  <c r="W20" i="31"/>
  <c r="V20" i="31"/>
  <c r="Y15" i="31"/>
  <c r="X15" i="31"/>
  <c r="W15" i="31"/>
  <c r="V15" i="31"/>
  <c r="P24" i="31"/>
  <c r="P19" i="31"/>
  <c r="P25" i="31"/>
  <c r="O25" i="31"/>
  <c r="P20" i="31"/>
  <c r="O20" i="31"/>
  <c r="P15" i="31"/>
  <c r="O15" i="31"/>
  <c r="H25" i="31"/>
  <c r="G25" i="31"/>
  <c r="H20" i="31"/>
  <c r="G20" i="31"/>
  <c r="H15" i="31"/>
  <c r="G15" i="31"/>
  <c r="P14" i="31"/>
  <c r="E10" i="31"/>
  <c r="G16" i="31" s="1"/>
  <c r="H16" i="31" s="1"/>
  <c r="H24" i="31"/>
  <c r="H19" i="31"/>
  <c r="H14" i="31"/>
  <c r="E11" i="31"/>
  <c r="G17" i="31" s="1"/>
  <c r="H17" i="31" s="1"/>
  <c r="F10" i="31"/>
  <c r="G21" i="31" s="1"/>
  <c r="U7" i="50" l="1"/>
  <c r="AH14" i="50"/>
  <c r="AH11" i="50"/>
  <c r="AH10" i="50"/>
  <c r="AH13" i="50"/>
  <c r="AH12" i="50"/>
  <c r="AH9" i="50"/>
  <c r="AH8" i="50"/>
  <c r="AF13" i="50"/>
  <c r="AF11" i="50"/>
  <c r="AF12" i="50"/>
  <c r="AF8" i="50"/>
  <c r="AF14" i="50"/>
  <c r="AF9" i="50"/>
  <c r="AF10" i="50"/>
  <c r="AC7" i="50"/>
  <c r="AA7" i="50"/>
  <c r="T10" i="40"/>
  <c r="V10" i="40"/>
  <c r="K20" i="40"/>
  <c r="K21" i="40"/>
  <c r="K19" i="40"/>
  <c r="AP8" i="50" l="1"/>
  <c r="AP9" i="50"/>
  <c r="AP11" i="50"/>
  <c r="AN10" i="50"/>
  <c r="AN13" i="50"/>
  <c r="AP14" i="50"/>
  <c r="AN8" i="50"/>
  <c r="AN12" i="50"/>
  <c r="AN14" i="50"/>
  <c r="AP13" i="50"/>
  <c r="AP10" i="50"/>
  <c r="AP12" i="50"/>
  <c r="AN9" i="50"/>
  <c r="AN11" i="50"/>
  <c r="O7" i="47"/>
  <c r="K11" i="40"/>
  <c r="F11" i="31"/>
  <c r="P7" i="47"/>
  <c r="L11" i="40"/>
  <c r="G11" i="31"/>
  <c r="P6" i="47"/>
  <c r="L10" i="40"/>
  <c r="G10" i="31"/>
  <c r="G26" i="31" s="1"/>
  <c r="M4" i="41"/>
  <c r="M5" i="41"/>
  <c r="M6" i="41"/>
  <c r="M7" i="41"/>
  <c r="M8" i="41"/>
  <c r="M9" i="41"/>
  <c r="M10" i="41"/>
  <c r="M11" i="41"/>
  <c r="M12" i="41"/>
  <c r="M13" i="41"/>
  <c r="M14" i="41"/>
  <c r="M15" i="41"/>
  <c r="M16" i="41"/>
  <c r="M17" i="41"/>
  <c r="M18" i="41"/>
  <c r="M19" i="41"/>
  <c r="M20" i="41"/>
  <c r="M21" i="41"/>
  <c r="M22" i="41"/>
  <c r="M23" i="41"/>
  <c r="M24" i="41"/>
  <c r="M25" i="41"/>
  <c r="M26" i="41"/>
  <c r="M27" i="41"/>
  <c r="M28" i="41"/>
  <c r="M29" i="41"/>
  <c r="M30" i="41"/>
  <c r="M31" i="41"/>
  <c r="M32" i="41"/>
  <c r="M33" i="41"/>
  <c r="M34" i="41"/>
  <c r="M35" i="41"/>
  <c r="M36" i="41"/>
  <c r="M37" i="41"/>
  <c r="M38" i="41"/>
  <c r="M39" i="41"/>
  <c r="M40" i="41"/>
  <c r="M41" i="41"/>
  <c r="M42" i="41"/>
  <c r="M43" i="41"/>
  <c r="M44" i="41"/>
  <c r="M45" i="41"/>
  <c r="M46" i="41"/>
  <c r="M47" i="41"/>
  <c r="M48" i="41"/>
  <c r="M49" i="41"/>
  <c r="M50" i="41"/>
  <c r="M51" i="41"/>
  <c r="M52" i="41"/>
  <c r="M53" i="41"/>
  <c r="M54" i="41"/>
  <c r="M55" i="41"/>
  <c r="M56" i="41"/>
  <c r="M57" i="41"/>
  <c r="M59" i="41"/>
  <c r="M60" i="41"/>
  <c r="M61" i="41"/>
  <c r="M62" i="41"/>
  <c r="M63" i="41"/>
  <c r="M64" i="41"/>
  <c r="M65" i="41"/>
  <c r="M66" i="41"/>
  <c r="M67" i="41"/>
  <c r="M68" i="41"/>
  <c r="M69" i="41"/>
  <c r="M70" i="41"/>
  <c r="M71" i="41"/>
  <c r="M72" i="41"/>
  <c r="M73" i="41"/>
  <c r="M74" i="41"/>
  <c r="T5" i="41"/>
  <c r="T6" i="41"/>
  <c r="V6" i="41" s="1"/>
  <c r="T7" i="41"/>
  <c r="X7" i="41" s="1"/>
  <c r="T8" i="41"/>
  <c r="V8" i="41" s="1"/>
  <c r="T9" i="41"/>
  <c r="T10" i="41"/>
  <c r="T11" i="41"/>
  <c r="T12" i="41"/>
  <c r="T13" i="41"/>
  <c r="T14" i="41"/>
  <c r="T15" i="41"/>
  <c r="T16" i="41"/>
  <c r="T17" i="41"/>
  <c r="T18" i="41"/>
  <c r="T19" i="41"/>
  <c r="T20" i="41"/>
  <c r="T21" i="41"/>
  <c r="T22" i="41"/>
  <c r="T23" i="41"/>
  <c r="T24" i="41"/>
  <c r="T25" i="41"/>
  <c r="T26" i="41"/>
  <c r="V26" i="41" s="1"/>
  <c r="T27" i="41"/>
  <c r="T28" i="41"/>
  <c r="T29" i="41"/>
  <c r="T30" i="41"/>
  <c r="T31" i="41"/>
  <c r="T32" i="41"/>
  <c r="T33" i="41"/>
  <c r="T34" i="41"/>
  <c r="T35" i="41"/>
  <c r="T36" i="41"/>
  <c r="T37" i="41"/>
  <c r="T38" i="41"/>
  <c r="T39" i="41"/>
  <c r="T40" i="41"/>
  <c r="T41" i="41"/>
  <c r="T42" i="41"/>
  <c r="T43" i="41"/>
  <c r="T44" i="41"/>
  <c r="V44" i="41" s="1"/>
  <c r="T45" i="41"/>
  <c r="T46" i="41"/>
  <c r="T52" i="41"/>
  <c r="T53" i="41"/>
  <c r="V53" i="41" s="1"/>
  <c r="T54" i="41"/>
  <c r="T55" i="41"/>
  <c r="T56" i="41"/>
  <c r="V56" i="41" s="1"/>
  <c r="T57" i="41"/>
  <c r="T59" i="41"/>
  <c r="T60" i="41"/>
  <c r="V60" i="41" s="1"/>
  <c r="T61" i="41"/>
  <c r="T62" i="41"/>
  <c r="V62" i="41" s="1"/>
  <c r="T63" i="41"/>
  <c r="T64" i="41"/>
  <c r="V64" i="41" s="1"/>
  <c r="T65" i="41"/>
  <c r="T66" i="41"/>
  <c r="T67" i="41"/>
  <c r="T68" i="41"/>
  <c r="T69" i="41"/>
  <c r="T70" i="41"/>
  <c r="T71" i="41"/>
  <c r="T72" i="41"/>
  <c r="T73" i="41"/>
  <c r="T74" i="41"/>
  <c r="V41" i="41" l="1"/>
  <c r="V9" i="41"/>
  <c r="BO88" i="50"/>
  <c r="S88" i="50" s="1"/>
  <c r="V57" i="41"/>
  <c r="BQ88" i="50" s="1"/>
  <c r="BO82" i="50"/>
  <c r="V54" i="41"/>
  <c r="BQ82" i="50" s="1"/>
  <c r="BO48" i="50"/>
  <c r="V33" i="41"/>
  <c r="BQ48" i="50" s="1"/>
  <c r="BO40" i="50"/>
  <c r="S40" i="50" s="1"/>
  <c r="V25" i="41"/>
  <c r="BQ40" i="50" s="1"/>
  <c r="BO26" i="50"/>
  <c r="V17" i="41"/>
  <c r="BQ26" i="50" s="1"/>
  <c r="BO105" i="50"/>
  <c r="V71" i="41"/>
  <c r="BQ105" i="50" s="1"/>
  <c r="BO58" i="50"/>
  <c r="V40" i="41"/>
  <c r="BQ58" i="50" s="1"/>
  <c r="BO25" i="50"/>
  <c r="V16" i="41"/>
  <c r="BQ25" i="50" s="1"/>
  <c r="BO95" i="50"/>
  <c r="BO46" i="50"/>
  <c r="U46" i="50" s="1"/>
  <c r="V31" i="41"/>
  <c r="BQ46" i="50" s="1"/>
  <c r="BO24" i="50"/>
  <c r="V15" i="41"/>
  <c r="BQ24" i="50" s="1"/>
  <c r="BO10" i="50"/>
  <c r="V7" i="41"/>
  <c r="BQ10" i="50" s="1"/>
  <c r="BO97" i="50"/>
  <c r="V66" i="41"/>
  <c r="BO96" i="50"/>
  <c r="S96" i="50" s="1"/>
  <c r="V65" i="41"/>
  <c r="BQ96" i="50" s="1"/>
  <c r="BO36" i="50"/>
  <c r="V24" i="41"/>
  <c r="BQ36" i="50" s="1"/>
  <c r="BO57" i="50"/>
  <c r="V39" i="41"/>
  <c r="BO94" i="50"/>
  <c r="S94" i="50" s="1"/>
  <c r="V63" i="41"/>
  <c r="BQ94" i="50" s="1"/>
  <c r="BO34" i="50"/>
  <c r="V22" i="41"/>
  <c r="BQ34" i="50" s="1"/>
  <c r="BO23" i="50"/>
  <c r="S23" i="50" s="1"/>
  <c r="V14" i="41"/>
  <c r="BQ23" i="50" s="1"/>
  <c r="BO9" i="50"/>
  <c r="BO106" i="50"/>
  <c r="S106" i="50" s="1"/>
  <c r="V72" i="41"/>
  <c r="BO81" i="50"/>
  <c r="BQ81" i="50"/>
  <c r="BO11" i="50"/>
  <c r="BQ11" i="50"/>
  <c r="BO104" i="50"/>
  <c r="U104" i="50" s="1"/>
  <c r="V70" i="41"/>
  <c r="BQ104" i="50" s="1"/>
  <c r="BO35" i="50"/>
  <c r="V23" i="41"/>
  <c r="BO68" i="50"/>
  <c r="V46" i="41"/>
  <c r="BQ68" i="50" s="1"/>
  <c r="BO93" i="50"/>
  <c r="BO67" i="50"/>
  <c r="V45" i="41"/>
  <c r="BQ67" i="50" s="1"/>
  <c r="BO55" i="50"/>
  <c r="V37" i="41"/>
  <c r="BO44" i="50"/>
  <c r="U44" i="50" s="1"/>
  <c r="V29" i="41"/>
  <c r="BQ44" i="50" s="1"/>
  <c r="BO33" i="50"/>
  <c r="V21" i="41"/>
  <c r="BQ33" i="50" s="1"/>
  <c r="BO19" i="50"/>
  <c r="V13" i="41"/>
  <c r="BQ19" i="50" s="1"/>
  <c r="BO8" i="50"/>
  <c r="V5" i="41"/>
  <c r="BO80" i="50"/>
  <c r="U80" i="50" s="1"/>
  <c r="V52" i="41"/>
  <c r="BQ80" i="50" s="1"/>
  <c r="BO18" i="50"/>
  <c r="V12" i="41"/>
  <c r="BQ18" i="50" s="1"/>
  <c r="BO47" i="50"/>
  <c r="V32" i="41"/>
  <c r="BQ47" i="50" s="1"/>
  <c r="BO45" i="50"/>
  <c r="V30" i="41"/>
  <c r="BQ45" i="50" s="1"/>
  <c r="BO100" i="50"/>
  <c r="V69" i="41"/>
  <c r="BQ100" i="50" s="1"/>
  <c r="BO54" i="50"/>
  <c r="S54" i="50" s="1"/>
  <c r="V36" i="41"/>
  <c r="BQ54" i="50" s="1"/>
  <c r="BO32" i="50"/>
  <c r="S32" i="50" s="1"/>
  <c r="V20" i="41"/>
  <c r="BO99" i="50"/>
  <c r="V68" i="41"/>
  <c r="BQ99" i="50" s="1"/>
  <c r="BO91" i="50"/>
  <c r="BQ91" i="50"/>
  <c r="BO84" i="50"/>
  <c r="BO65" i="50"/>
  <c r="V43" i="41"/>
  <c r="BQ65" i="50" s="1"/>
  <c r="BO50" i="50"/>
  <c r="V35" i="41"/>
  <c r="BQ50" i="50" s="1"/>
  <c r="BO42" i="50"/>
  <c r="U42" i="50" s="1"/>
  <c r="V27" i="41"/>
  <c r="BQ42" i="50" s="1"/>
  <c r="BO28" i="50"/>
  <c r="V19" i="41"/>
  <c r="BO17" i="50"/>
  <c r="V11" i="41"/>
  <c r="BQ17" i="50" s="1"/>
  <c r="BO56" i="50"/>
  <c r="V38" i="41"/>
  <c r="BQ56" i="50" s="1"/>
  <c r="BO92" i="50"/>
  <c r="U92" i="50" s="1"/>
  <c r="V61" i="41"/>
  <c r="BQ92" i="50" s="1"/>
  <c r="BO66" i="50"/>
  <c r="BQ66" i="50"/>
  <c r="BO43" i="50"/>
  <c r="V28" i="41"/>
  <c r="BQ43" i="50" s="1"/>
  <c r="BO110" i="50"/>
  <c r="S110" i="50" s="1"/>
  <c r="V74" i="41"/>
  <c r="BQ110" i="50" s="1"/>
  <c r="BO108" i="50"/>
  <c r="U108" i="50" s="1"/>
  <c r="V73" i="41"/>
  <c r="BO98" i="50"/>
  <c r="V67" i="41"/>
  <c r="BQ98" i="50" s="1"/>
  <c r="BO90" i="50"/>
  <c r="S90" i="50" s="1"/>
  <c r="V59" i="41"/>
  <c r="BQ90" i="50" s="1"/>
  <c r="BO83" i="50"/>
  <c r="V55" i="41"/>
  <c r="BO64" i="50"/>
  <c r="U64" i="50" s="1"/>
  <c r="V42" i="41"/>
  <c r="BQ64" i="50" s="1"/>
  <c r="BO49" i="50"/>
  <c r="V34" i="41"/>
  <c r="BQ49" i="50" s="1"/>
  <c r="BO41" i="50"/>
  <c r="S41" i="50" s="1"/>
  <c r="BQ41" i="50"/>
  <c r="W41" i="50" s="1"/>
  <c r="AJ41" i="50" s="1"/>
  <c r="BO27" i="50"/>
  <c r="V18" i="41"/>
  <c r="BQ27" i="50" s="1"/>
  <c r="BO16" i="50"/>
  <c r="V10" i="41"/>
  <c r="BO62" i="50"/>
  <c r="U62" i="50" s="1"/>
  <c r="N12" i="47"/>
  <c r="U106" i="50"/>
  <c r="BO15" i="50"/>
  <c r="M10" i="31"/>
  <c r="P16" i="31" s="1"/>
  <c r="Q50" i="41"/>
  <c r="S50" i="41" s="1"/>
  <c r="U50" i="41" s="1"/>
  <c r="W50" i="41" s="1"/>
  <c r="S8" i="41"/>
  <c r="U8" i="41" s="1"/>
  <c r="W8" i="41" s="1"/>
  <c r="S71" i="41"/>
  <c r="U71" i="41" s="1"/>
  <c r="W71" i="41" s="1"/>
  <c r="S35" i="41"/>
  <c r="U35" i="41" s="1"/>
  <c r="W35" i="41" s="1"/>
  <c r="S57" i="41"/>
  <c r="U57" i="41" s="1"/>
  <c r="W57" i="41" s="1"/>
  <c r="S6" i="41"/>
  <c r="U6" i="41" s="1"/>
  <c r="W6" i="41" s="1"/>
  <c r="S19" i="41"/>
  <c r="U19" i="41" s="1"/>
  <c r="W19" i="41" s="1"/>
  <c r="S32" i="41"/>
  <c r="U32" i="41" s="1"/>
  <c r="W32" i="41" s="1"/>
  <c r="Q45" i="41"/>
  <c r="S45" i="41" s="1"/>
  <c r="U45" i="41" s="1"/>
  <c r="W45" i="41" s="1"/>
  <c r="S30" i="41"/>
  <c r="U30" i="41" s="1"/>
  <c r="W30" i="41" s="1"/>
  <c r="S67" i="41"/>
  <c r="U67" i="41" s="1"/>
  <c r="W67" i="41" s="1"/>
  <c r="Q43" i="41"/>
  <c r="S43" i="41" s="1"/>
  <c r="U43" i="41" s="1"/>
  <c r="W43" i="41" s="1"/>
  <c r="S66" i="41"/>
  <c r="U66" i="41" s="1"/>
  <c r="W66" i="41" s="1"/>
  <c r="S56" i="41"/>
  <c r="U56" i="41" s="1"/>
  <c r="W56" i="41" s="1"/>
  <c r="Q42" i="41"/>
  <c r="S42" i="41" s="1"/>
  <c r="U42" i="41" s="1"/>
  <c r="W42" i="41" s="1"/>
  <c r="S28" i="41"/>
  <c r="U28" i="41" s="1"/>
  <c r="W28" i="41" s="1"/>
  <c r="S14" i="41"/>
  <c r="U14" i="41" s="1"/>
  <c r="W14" i="41" s="1"/>
  <c r="S65" i="41"/>
  <c r="U65" i="41" s="1"/>
  <c r="W65" i="41" s="1"/>
  <c r="S55" i="41"/>
  <c r="U55" i="41" s="1"/>
  <c r="W55" i="41" s="1"/>
  <c r="S41" i="41"/>
  <c r="U41" i="41" s="1"/>
  <c r="W41" i="41" s="1"/>
  <c r="S27" i="41"/>
  <c r="U27" i="41" s="1"/>
  <c r="W27" i="41" s="1"/>
  <c r="S13" i="41"/>
  <c r="U13" i="41" s="1"/>
  <c r="W13" i="41" s="1"/>
  <c r="S72" i="41"/>
  <c r="U72" i="41" s="1"/>
  <c r="W72" i="41" s="1"/>
  <c r="S22" i="41"/>
  <c r="U22" i="41" s="1"/>
  <c r="W22" i="41" s="1"/>
  <c r="Q49" i="41"/>
  <c r="S49" i="41" s="1"/>
  <c r="U49" i="41" s="1"/>
  <c r="W49" i="41" s="1"/>
  <c r="S21" i="41"/>
  <c r="U21" i="41" s="1"/>
  <c r="W21" i="41" s="1"/>
  <c r="Q48" i="41"/>
  <c r="S48" i="41" s="1"/>
  <c r="U48" i="41" s="1"/>
  <c r="W48" i="41" s="1"/>
  <c r="S20" i="41"/>
  <c r="U20" i="41" s="1"/>
  <c r="W20" i="41" s="1"/>
  <c r="Q47" i="41"/>
  <c r="S47" i="41" s="1"/>
  <c r="U47" i="41" s="1"/>
  <c r="W47" i="41" s="1"/>
  <c r="S5" i="41"/>
  <c r="U5" i="41" s="1"/>
  <c r="W5" i="41" s="1"/>
  <c r="Q46" i="41"/>
  <c r="S46" i="41" s="1"/>
  <c r="U46" i="41" s="1"/>
  <c r="W46" i="41" s="1"/>
  <c r="S18" i="41"/>
  <c r="U18" i="41" s="1"/>
  <c r="W18" i="41" s="1"/>
  <c r="S31" i="41"/>
  <c r="U31" i="41" s="1"/>
  <c r="W31" i="41" s="1"/>
  <c r="S68" i="41"/>
  <c r="U68" i="41" s="1"/>
  <c r="W68" i="41" s="1"/>
  <c r="Q44" i="41"/>
  <c r="S44" i="41" s="1"/>
  <c r="U44" i="41" s="1"/>
  <c r="W44" i="41" s="1"/>
  <c r="S29" i="41"/>
  <c r="U29" i="41" s="1"/>
  <c r="W29" i="41" s="1"/>
  <c r="S64" i="41"/>
  <c r="U64" i="41" s="1"/>
  <c r="W64" i="41" s="1"/>
  <c r="S54" i="41"/>
  <c r="U54" i="41" s="1"/>
  <c r="W54" i="41" s="1"/>
  <c r="S40" i="41"/>
  <c r="U40" i="41" s="1"/>
  <c r="W40" i="41" s="1"/>
  <c r="S26" i="41"/>
  <c r="U26" i="41" s="1"/>
  <c r="W26" i="41" s="1"/>
  <c r="S12" i="41"/>
  <c r="U12" i="41" s="1"/>
  <c r="W12" i="41" s="1"/>
  <c r="S63" i="41"/>
  <c r="U63" i="41" s="1"/>
  <c r="W63" i="41" s="1"/>
  <c r="S53" i="41"/>
  <c r="U53" i="41" s="1"/>
  <c r="W53" i="41" s="1"/>
  <c r="S39" i="41"/>
  <c r="U39" i="41" s="1"/>
  <c r="W39" i="41" s="1"/>
  <c r="S25" i="41"/>
  <c r="U25" i="41" s="1"/>
  <c r="W25" i="41" s="1"/>
  <c r="S11" i="41"/>
  <c r="U11" i="41" s="1"/>
  <c r="W11" i="41" s="1"/>
  <c r="S60" i="41"/>
  <c r="U60" i="41" s="1"/>
  <c r="W60" i="41" s="1"/>
  <c r="S36" i="41"/>
  <c r="U36" i="41" s="1"/>
  <c r="W36" i="41" s="1"/>
  <c r="S59" i="41"/>
  <c r="U59" i="41" s="1"/>
  <c r="W59" i="41" s="1"/>
  <c r="S7" i="41"/>
  <c r="U7" i="41" s="1"/>
  <c r="W7" i="41" s="1"/>
  <c r="S70" i="41"/>
  <c r="U70" i="41" s="1"/>
  <c r="W70" i="41" s="1"/>
  <c r="S34" i="41"/>
  <c r="U34" i="41" s="1"/>
  <c r="W34" i="41" s="1"/>
  <c r="S33" i="41"/>
  <c r="U33" i="41" s="1"/>
  <c r="W33" i="41" s="1"/>
  <c r="S4" i="41"/>
  <c r="U4" i="41" s="1"/>
  <c r="W4" i="41" s="1"/>
  <c r="S69" i="41"/>
  <c r="U69" i="41" s="1"/>
  <c r="W69" i="41" s="1"/>
  <c r="S17" i="41"/>
  <c r="U17" i="41" s="1"/>
  <c r="W17" i="41" s="1"/>
  <c r="S16" i="41"/>
  <c r="U16" i="41" s="1"/>
  <c r="W16" i="41" s="1"/>
  <c r="S15" i="41"/>
  <c r="U15" i="41" s="1"/>
  <c r="W15" i="41" s="1"/>
  <c r="S74" i="41"/>
  <c r="U74" i="41" s="1"/>
  <c r="W74" i="41" s="1"/>
  <c r="S62" i="41"/>
  <c r="U62" i="41" s="1"/>
  <c r="W62" i="41" s="1"/>
  <c r="S52" i="41"/>
  <c r="U52" i="41" s="1"/>
  <c r="W52" i="41" s="1"/>
  <c r="S38" i="41"/>
  <c r="U38" i="41" s="1"/>
  <c r="W38" i="41" s="1"/>
  <c r="S24" i="41"/>
  <c r="U24" i="41" s="1"/>
  <c r="W24" i="41" s="1"/>
  <c r="S10" i="41"/>
  <c r="U10" i="41" s="1"/>
  <c r="W10" i="41" s="1"/>
  <c r="S73" i="41"/>
  <c r="U73" i="41" s="1"/>
  <c r="W73" i="41" s="1"/>
  <c r="S61" i="41"/>
  <c r="U61" i="41" s="1"/>
  <c r="W61" i="41" s="1"/>
  <c r="Q51" i="41"/>
  <c r="S51" i="41" s="1"/>
  <c r="U51" i="41" s="1"/>
  <c r="W51" i="41" s="1"/>
  <c r="S37" i="41"/>
  <c r="U37" i="41" s="1"/>
  <c r="W37" i="41" s="1"/>
  <c r="S23" i="41"/>
  <c r="U23" i="41" s="1"/>
  <c r="W23" i="41" s="1"/>
  <c r="S9" i="41"/>
  <c r="U9" i="41" s="1"/>
  <c r="W9" i="41" s="1"/>
  <c r="K22" i="40"/>
  <c r="K24" i="40"/>
  <c r="K23" i="40"/>
  <c r="BQ7" i="50"/>
  <c r="X70" i="41"/>
  <c r="BS104" i="50" s="1"/>
  <c r="X59" i="41"/>
  <c r="BS90" i="50" s="1"/>
  <c r="X41" i="41"/>
  <c r="X29" i="41"/>
  <c r="BS44" i="50" s="1"/>
  <c r="X16" i="41"/>
  <c r="BS25" i="50" s="1"/>
  <c r="T51" i="41"/>
  <c r="X40" i="41"/>
  <c r="BS58" i="50" s="1"/>
  <c r="X28" i="41"/>
  <c r="BS43" i="50" s="1"/>
  <c r="X15" i="41"/>
  <c r="BS24" i="50" s="1"/>
  <c r="X57" i="41"/>
  <c r="BS88" i="50" s="1"/>
  <c r="T50" i="41"/>
  <c r="BQ57" i="50"/>
  <c r="X39" i="41"/>
  <c r="BS57" i="50" s="1"/>
  <c r="X27" i="41"/>
  <c r="BS42" i="50" s="1"/>
  <c r="X69" i="41"/>
  <c r="BS100" i="50" s="1"/>
  <c r="T49" i="41"/>
  <c r="X38" i="41"/>
  <c r="BS56" i="50" s="1"/>
  <c r="X26" i="41"/>
  <c r="BS41" i="50" s="1"/>
  <c r="X14" i="41"/>
  <c r="BS23" i="50" s="1"/>
  <c r="X68" i="41"/>
  <c r="BS99" i="50" s="1"/>
  <c r="T48" i="41"/>
  <c r="X37" i="41"/>
  <c r="BS55" i="50" s="1"/>
  <c r="BQ55" i="50"/>
  <c r="X25" i="41"/>
  <c r="BS40" i="50" s="1"/>
  <c r="X13" i="41"/>
  <c r="BS19" i="50" s="1"/>
  <c r="X67" i="41"/>
  <c r="BS98" i="50" s="1"/>
  <c r="T47" i="41"/>
  <c r="X36" i="41"/>
  <c r="BS54" i="50" s="1"/>
  <c r="X12" i="41"/>
  <c r="BS18" i="50" s="1"/>
  <c r="X23" i="41"/>
  <c r="BS35" i="50" s="1"/>
  <c r="BQ35" i="50"/>
  <c r="X65" i="41"/>
  <c r="BS96" i="50" s="1"/>
  <c r="X46" i="41"/>
  <c r="BS68" i="50" s="1"/>
  <c r="X22" i="41"/>
  <c r="BS34" i="50" s="1"/>
  <c r="X45" i="41"/>
  <c r="BS67" i="50" s="1"/>
  <c r="X21" i="41"/>
  <c r="BS33" i="50" s="1"/>
  <c r="X56" i="41"/>
  <c r="BS84" i="50" s="1"/>
  <c r="BQ84" i="50"/>
  <c r="X33" i="41"/>
  <c r="BS48" i="50" s="1"/>
  <c r="X63" i="41"/>
  <c r="BS94" i="50" s="1"/>
  <c r="X43" i="41"/>
  <c r="BS65" i="50" s="1"/>
  <c r="X54" i="41"/>
  <c r="BS82" i="50" s="1"/>
  <c r="X31" i="41"/>
  <c r="BS46" i="50" s="1"/>
  <c r="X19" i="41"/>
  <c r="BS28" i="50" s="1"/>
  <c r="BQ28" i="50"/>
  <c r="BQ106" i="50"/>
  <c r="X72" i="41"/>
  <c r="BS106" i="50" s="1"/>
  <c r="X61" i="41"/>
  <c r="BS92" i="50" s="1"/>
  <c r="X53" i="41"/>
  <c r="BS81" i="50" s="1"/>
  <c r="X18" i="41"/>
  <c r="BS27" i="50" s="1"/>
  <c r="BQ9" i="50"/>
  <c r="X6" i="41"/>
  <c r="BS9" i="50" s="1"/>
  <c r="X24" i="41"/>
  <c r="BS36" i="50" s="1"/>
  <c r="X66" i="41"/>
  <c r="BS97" i="50" s="1"/>
  <c r="BQ97" i="50"/>
  <c r="X11" i="41"/>
  <c r="BS17" i="50" s="1"/>
  <c r="X35" i="41"/>
  <c r="BS50" i="50" s="1"/>
  <c r="X10" i="41"/>
  <c r="BS16" i="50" s="1"/>
  <c r="BQ16" i="50"/>
  <c r="X74" i="41"/>
  <c r="BS110" i="50" s="1"/>
  <c r="X34" i="41"/>
  <c r="BS49" i="50" s="1"/>
  <c r="BQ15" i="50"/>
  <c r="X9" i="41"/>
  <c r="X64" i="41"/>
  <c r="BS95" i="50" s="1"/>
  <c r="BQ95" i="50"/>
  <c r="X44" i="41"/>
  <c r="BS66" i="50" s="1"/>
  <c r="X20" i="41"/>
  <c r="BS32" i="50" s="1"/>
  <c r="BQ32" i="50"/>
  <c r="BQ108" i="50"/>
  <c r="X73" i="41"/>
  <c r="BS108" i="50" s="1"/>
  <c r="BQ83" i="50"/>
  <c r="X55" i="41"/>
  <c r="BS83" i="50" s="1"/>
  <c r="X32" i="41"/>
  <c r="BS47" i="50" s="1"/>
  <c r="X8" i="41"/>
  <c r="BS11" i="50" s="1"/>
  <c r="BQ93" i="50"/>
  <c r="X62" i="41"/>
  <c r="BS93" i="50" s="1"/>
  <c r="X42" i="41"/>
  <c r="BS64" i="50" s="1"/>
  <c r="BS10" i="50"/>
  <c r="X71" i="41"/>
  <c r="BS105" i="50" s="1"/>
  <c r="AA105" i="50" s="1"/>
  <c r="X60" i="41"/>
  <c r="BS91" i="50" s="1"/>
  <c r="X52" i="41"/>
  <c r="BS80" i="50" s="1"/>
  <c r="X30" i="41"/>
  <c r="BS45" i="50" s="1"/>
  <c r="X17" i="41"/>
  <c r="BS26" i="50" s="1"/>
  <c r="BQ8" i="50"/>
  <c r="X5" i="41"/>
  <c r="BS8" i="50" s="1"/>
  <c r="K16" i="31"/>
  <c r="C10" i="31"/>
  <c r="G7" i="35"/>
  <c r="AA93" i="50" l="1"/>
  <c r="AC93" i="50"/>
  <c r="U93" i="50"/>
  <c r="S93" i="50"/>
  <c r="S105" i="50"/>
  <c r="U105" i="50"/>
  <c r="Y91" i="50"/>
  <c r="W91" i="50"/>
  <c r="S95" i="50"/>
  <c r="U95" i="50"/>
  <c r="Y105" i="50"/>
  <c r="W105" i="50"/>
  <c r="W93" i="50"/>
  <c r="Y93" i="50"/>
  <c r="Y95" i="50"/>
  <c r="W95" i="50"/>
  <c r="S91" i="50"/>
  <c r="U91" i="50"/>
  <c r="AC91" i="50"/>
  <c r="AA91" i="50"/>
  <c r="AA95" i="50"/>
  <c r="AC95" i="50"/>
  <c r="Y41" i="50"/>
  <c r="AL41" i="50" s="1"/>
  <c r="W43" i="50"/>
  <c r="Y43" i="50"/>
  <c r="S43" i="50"/>
  <c r="U43" i="50"/>
  <c r="AC41" i="50"/>
  <c r="AP41" i="50" s="1"/>
  <c r="AA41" i="50"/>
  <c r="AN41" i="50" s="1"/>
  <c r="Y45" i="50"/>
  <c r="W45" i="50"/>
  <c r="AC43" i="50"/>
  <c r="AA43" i="50"/>
  <c r="AC45" i="50"/>
  <c r="AA45" i="50"/>
  <c r="S45" i="50"/>
  <c r="U45" i="50"/>
  <c r="U41" i="50"/>
  <c r="AH41" i="50" s="1"/>
  <c r="U96" i="50"/>
  <c r="BP55" i="50"/>
  <c r="BP49" i="50"/>
  <c r="BR49" i="50"/>
  <c r="BP57" i="50"/>
  <c r="BP19" i="50"/>
  <c r="BP64" i="50"/>
  <c r="V64" i="50" s="1"/>
  <c r="BR64" i="50"/>
  <c r="BP67" i="50"/>
  <c r="BP75" i="50"/>
  <c r="BR110" i="50"/>
  <c r="BP72" i="50"/>
  <c r="T72" i="50" s="1"/>
  <c r="BP82" i="50"/>
  <c r="BR82" i="50"/>
  <c r="BP43" i="50"/>
  <c r="BP76" i="50"/>
  <c r="BP81" i="50"/>
  <c r="BP84" i="50"/>
  <c r="BR84" i="50"/>
  <c r="BP92" i="50"/>
  <c r="T92" i="50" s="1"/>
  <c r="BP24" i="50"/>
  <c r="BR24" i="50"/>
  <c r="BP10" i="50"/>
  <c r="BR44" i="50"/>
  <c r="BP28" i="50"/>
  <c r="BP35" i="50"/>
  <c r="BR40" i="50"/>
  <c r="BP104" i="50"/>
  <c r="V104" i="50" s="1"/>
  <c r="BP108" i="50"/>
  <c r="T108" i="50" s="1"/>
  <c r="BP25" i="50"/>
  <c r="BR25" i="50"/>
  <c r="BP90" i="50"/>
  <c r="V90" i="50" s="1"/>
  <c r="BP66" i="50"/>
  <c r="BP73" i="50"/>
  <c r="BR73" i="50"/>
  <c r="BP83" i="50"/>
  <c r="BP9" i="50"/>
  <c r="BR54" i="50"/>
  <c r="BP18" i="50"/>
  <c r="BP99" i="50"/>
  <c r="BP33" i="50"/>
  <c r="BP96" i="50"/>
  <c r="T96" i="50" s="1"/>
  <c r="AI96" i="50" s="1"/>
  <c r="BR96" i="50"/>
  <c r="BP65" i="50"/>
  <c r="BP48" i="50"/>
  <c r="BP106" i="50"/>
  <c r="V106" i="50" s="1"/>
  <c r="BP26" i="50"/>
  <c r="BP36" i="50"/>
  <c r="BP100" i="50"/>
  <c r="BP91" i="50"/>
  <c r="BP41" i="50"/>
  <c r="T41" i="50" s="1"/>
  <c r="AG41" i="50" s="1"/>
  <c r="BP46" i="50"/>
  <c r="V46" i="50" s="1"/>
  <c r="BP74" i="50"/>
  <c r="BR98" i="50"/>
  <c r="S46" i="50"/>
  <c r="BP56" i="50"/>
  <c r="BP17" i="50"/>
  <c r="BR17" i="50"/>
  <c r="BP34" i="50"/>
  <c r="BR34" i="50"/>
  <c r="BP105" i="50"/>
  <c r="BR105" i="50"/>
  <c r="BP8" i="50"/>
  <c r="U110" i="50"/>
  <c r="S44" i="50"/>
  <c r="AH44" i="50" s="1"/>
  <c r="S64" i="50"/>
  <c r="AF68" i="50" s="1"/>
  <c r="U88" i="50"/>
  <c r="U32" i="50"/>
  <c r="S108" i="50"/>
  <c r="AH108" i="50" s="1"/>
  <c r="S92" i="50"/>
  <c r="AF92" i="50" s="1"/>
  <c r="S80" i="50"/>
  <c r="AH84" i="50" s="1"/>
  <c r="S62" i="50"/>
  <c r="AF62" i="50" s="1"/>
  <c r="S42" i="50"/>
  <c r="U40" i="50"/>
  <c r="S104" i="50"/>
  <c r="U54" i="50"/>
  <c r="U94" i="50"/>
  <c r="BO74" i="50"/>
  <c r="V49" i="41"/>
  <c r="BQ74" i="50" s="1"/>
  <c r="U90" i="50"/>
  <c r="U23" i="50"/>
  <c r="BO76" i="50"/>
  <c r="V51" i="41"/>
  <c r="BQ76" i="50" s="1"/>
  <c r="BO72" i="50"/>
  <c r="S72" i="50" s="1"/>
  <c r="V47" i="41"/>
  <c r="BQ72" i="50" s="1"/>
  <c r="BO73" i="50"/>
  <c r="V48" i="41"/>
  <c r="BQ73" i="50" s="1"/>
  <c r="BO75" i="50"/>
  <c r="V50" i="41"/>
  <c r="BQ75" i="50" s="1"/>
  <c r="BS62" i="50"/>
  <c r="AA62" i="50" s="1"/>
  <c r="P12" i="47"/>
  <c r="BP62" i="50"/>
  <c r="V62" i="50" s="1"/>
  <c r="N13" i="47"/>
  <c r="M19" i="47"/>
  <c r="N20" i="47"/>
  <c r="N21" i="47"/>
  <c r="BQ62" i="50"/>
  <c r="W62" i="50" s="1"/>
  <c r="O12" i="47"/>
  <c r="AC80" i="50"/>
  <c r="AA80" i="50"/>
  <c r="Y96" i="50"/>
  <c r="W96" i="50"/>
  <c r="AA23" i="50"/>
  <c r="AC23" i="50"/>
  <c r="AA54" i="50"/>
  <c r="AC54" i="50"/>
  <c r="W40" i="50"/>
  <c r="Y40" i="50"/>
  <c r="AA44" i="50"/>
  <c r="AC44" i="50"/>
  <c r="Y104" i="50"/>
  <c r="W104" i="50"/>
  <c r="BP94" i="50"/>
  <c r="Y29" i="41"/>
  <c r="BT44" i="50" s="1"/>
  <c r="BP44" i="50"/>
  <c r="T44" i="50" s="1"/>
  <c r="AH90" i="50"/>
  <c r="AF90" i="50"/>
  <c r="AF23" i="50"/>
  <c r="AH28" i="50"/>
  <c r="AF28" i="50"/>
  <c r="AH25" i="50"/>
  <c r="AH23" i="50"/>
  <c r="AH29" i="50"/>
  <c r="AF29" i="50"/>
  <c r="AH30" i="50"/>
  <c r="AF30" i="50"/>
  <c r="AH31" i="50"/>
  <c r="AF31" i="50"/>
  <c r="AF25" i="50"/>
  <c r="AH27" i="50"/>
  <c r="AF27" i="50"/>
  <c r="AH26" i="50"/>
  <c r="AF26" i="50"/>
  <c r="Y42" i="50"/>
  <c r="W42" i="50"/>
  <c r="BR16" i="50"/>
  <c r="BP16" i="50"/>
  <c r="Y14" i="41"/>
  <c r="BT23" i="50" s="1"/>
  <c r="BP23" i="50"/>
  <c r="BP98" i="50"/>
  <c r="AC108" i="50"/>
  <c r="AA108" i="50"/>
  <c r="AA92" i="50"/>
  <c r="AC92" i="50"/>
  <c r="AC64" i="50"/>
  <c r="AA64" i="50"/>
  <c r="W108" i="50"/>
  <c r="Y108" i="50"/>
  <c r="Y46" i="50"/>
  <c r="W46" i="50"/>
  <c r="AC96" i="50"/>
  <c r="AA96" i="50"/>
  <c r="AA104" i="50"/>
  <c r="AC104" i="50"/>
  <c r="BP15" i="50"/>
  <c r="BP45" i="50"/>
  <c r="BR11" i="50"/>
  <c r="BP11" i="50"/>
  <c r="BR50" i="50"/>
  <c r="BP50" i="50"/>
  <c r="AH49" i="50"/>
  <c r="W110" i="50"/>
  <c r="Y110" i="50"/>
  <c r="Y92" i="50"/>
  <c r="W92" i="50"/>
  <c r="BP80" i="50"/>
  <c r="M11" i="31"/>
  <c r="BP7" i="50"/>
  <c r="T7" i="50" s="1"/>
  <c r="T11" i="40"/>
  <c r="BP54" i="50"/>
  <c r="Y27" i="41"/>
  <c r="BT42" i="50" s="1"/>
  <c r="BP42" i="50"/>
  <c r="AH88" i="50"/>
  <c r="AF88" i="50"/>
  <c r="AH94" i="50"/>
  <c r="AF94" i="50"/>
  <c r="W64" i="50"/>
  <c r="Y64" i="50"/>
  <c r="Y32" i="50"/>
  <c r="W32" i="50"/>
  <c r="AA110" i="50"/>
  <c r="AC110" i="50"/>
  <c r="AC106" i="50"/>
  <c r="AA106" i="50"/>
  <c r="AC46" i="50"/>
  <c r="AA46" i="50"/>
  <c r="W94" i="50"/>
  <c r="Y94" i="50"/>
  <c r="BP93" i="50"/>
  <c r="BP32" i="50"/>
  <c r="Y66" i="41"/>
  <c r="BT97" i="50" s="1"/>
  <c r="BP97" i="50"/>
  <c r="BP47" i="50"/>
  <c r="AH106" i="50"/>
  <c r="AF106" i="50"/>
  <c r="Y90" i="50"/>
  <c r="W90" i="50"/>
  <c r="BP110" i="50"/>
  <c r="Y40" i="41"/>
  <c r="BT58" i="50" s="1"/>
  <c r="BP58" i="50"/>
  <c r="U15" i="50"/>
  <c r="S15" i="50"/>
  <c r="AH110" i="50"/>
  <c r="AF110" i="50"/>
  <c r="AH38" i="50"/>
  <c r="AH39" i="50"/>
  <c r="AF33" i="50"/>
  <c r="AH35" i="50"/>
  <c r="AF34" i="50"/>
  <c r="AF37" i="50"/>
  <c r="AH33" i="50"/>
  <c r="AF35" i="50"/>
  <c r="AH37" i="50"/>
  <c r="AH34" i="50"/>
  <c r="AF36" i="50"/>
  <c r="AF39" i="50"/>
  <c r="AH36" i="50"/>
  <c r="AF38" i="50"/>
  <c r="AA32" i="50"/>
  <c r="AC32" i="50"/>
  <c r="AA94" i="50"/>
  <c r="AC94" i="50"/>
  <c r="BS15" i="50"/>
  <c r="O10" i="31"/>
  <c r="AC88" i="50"/>
  <c r="AA88" i="50"/>
  <c r="AC90" i="50"/>
  <c r="AA90" i="50"/>
  <c r="Y7" i="50"/>
  <c r="W7" i="50"/>
  <c r="BP40" i="50"/>
  <c r="BR27" i="50"/>
  <c r="BP27" i="50"/>
  <c r="AH40" i="50"/>
  <c r="AF40" i="50"/>
  <c r="AH60" i="50"/>
  <c r="AH61" i="50"/>
  <c r="AF55" i="50"/>
  <c r="AH57" i="50"/>
  <c r="AF61" i="50"/>
  <c r="AF56" i="50"/>
  <c r="AH55" i="50"/>
  <c r="AF57" i="50"/>
  <c r="AH56" i="50"/>
  <c r="AF58" i="50"/>
  <c r="AF59" i="50"/>
  <c r="AH59" i="50"/>
  <c r="AH58" i="50"/>
  <c r="AF60" i="50"/>
  <c r="AH100" i="50"/>
  <c r="AF102" i="50"/>
  <c r="AH101" i="50"/>
  <c r="AF103" i="50"/>
  <c r="AH102" i="50"/>
  <c r="AH103" i="50"/>
  <c r="AF97" i="50"/>
  <c r="AF98" i="50"/>
  <c r="AH98" i="50"/>
  <c r="AF100" i="50"/>
  <c r="AF99" i="50"/>
  <c r="AF101" i="50"/>
  <c r="AH99" i="50"/>
  <c r="AH97" i="50"/>
  <c r="Y106" i="50"/>
  <c r="W106" i="50"/>
  <c r="Y80" i="50"/>
  <c r="W80" i="50"/>
  <c r="Y15" i="50"/>
  <c r="W15" i="50"/>
  <c r="Y54" i="50"/>
  <c r="W54" i="50"/>
  <c r="AA40" i="50"/>
  <c r="AC40" i="50"/>
  <c r="W23" i="50"/>
  <c r="Y23" i="50"/>
  <c r="AA42" i="50"/>
  <c r="AC42" i="50"/>
  <c r="Y88" i="50"/>
  <c r="W88" i="50"/>
  <c r="Y44" i="50"/>
  <c r="W44" i="50"/>
  <c r="BR95" i="50"/>
  <c r="BP95" i="50"/>
  <c r="BP68" i="50"/>
  <c r="Y57" i="41"/>
  <c r="BT88" i="50" s="1"/>
  <c r="BP88" i="50"/>
  <c r="N10" i="31"/>
  <c r="P21" i="31" s="1"/>
  <c r="U10" i="40"/>
  <c r="Y8" i="41"/>
  <c r="BT11" i="50" s="1"/>
  <c r="Y36" i="41"/>
  <c r="BT54" i="50" s="1"/>
  <c r="BR32" i="50"/>
  <c r="Y32" i="41"/>
  <c r="BT47" i="50" s="1"/>
  <c r="BR47" i="50"/>
  <c r="Y18" i="41"/>
  <c r="BT27" i="50" s="1"/>
  <c r="Y16" i="41"/>
  <c r="BT25" i="50" s="1"/>
  <c r="Y24" i="41"/>
  <c r="BT36" i="50" s="1"/>
  <c r="BR36" i="50"/>
  <c r="Y33" i="41"/>
  <c r="BT48" i="50" s="1"/>
  <c r="BR48" i="50"/>
  <c r="Y67" i="41"/>
  <c r="BT98" i="50" s="1"/>
  <c r="Y52" i="41"/>
  <c r="BT80" i="50" s="1"/>
  <c r="AB80" i="50" s="1"/>
  <c r="Y35" i="41"/>
  <c r="BT50" i="50" s="1"/>
  <c r="Y64" i="41"/>
  <c r="BT95" i="50" s="1"/>
  <c r="Y22" i="41"/>
  <c r="BT34" i="50" s="1"/>
  <c r="BR18" i="50"/>
  <c r="Y12" i="41"/>
  <c r="BT18" i="50" s="1"/>
  <c r="Y11" i="41"/>
  <c r="BT17" i="50" s="1"/>
  <c r="BR108" i="50"/>
  <c r="Y73" i="41"/>
  <c r="BT108" i="50" s="1"/>
  <c r="Y5" i="41"/>
  <c r="BT8" i="50" s="1"/>
  <c r="BR8" i="50"/>
  <c r="Y60" i="41"/>
  <c r="BT91" i="50" s="1"/>
  <c r="BR91" i="50"/>
  <c r="Y65" i="41"/>
  <c r="BT96" i="50" s="1"/>
  <c r="Y15" i="41"/>
  <c r="BT24" i="50" s="1"/>
  <c r="Y10" i="41"/>
  <c r="BT16" i="50" s="1"/>
  <c r="Y62" i="41"/>
  <c r="BT93" i="50" s="1"/>
  <c r="Y26" i="41"/>
  <c r="BT41" i="50" s="1"/>
  <c r="BR41" i="50"/>
  <c r="BR46" i="50"/>
  <c r="Y31" i="41"/>
  <c r="BT46" i="50" s="1"/>
  <c r="Y28" i="41"/>
  <c r="BT43" i="50" s="1"/>
  <c r="BR43" i="50"/>
  <c r="Y13" i="41"/>
  <c r="BT19" i="50" s="1"/>
  <c r="BR19" i="50"/>
  <c r="Y39" i="41"/>
  <c r="BT57" i="50" s="1"/>
  <c r="BR57" i="50"/>
  <c r="BR104" i="50"/>
  <c r="Y70" i="41"/>
  <c r="BT104" i="50" s="1"/>
  <c r="BR28" i="50"/>
  <c r="Y19" i="41"/>
  <c r="BT28" i="50" s="1"/>
  <c r="Y23" i="41"/>
  <c r="BT35" i="50" s="1"/>
  <c r="BR35" i="50"/>
  <c r="BR9" i="50"/>
  <c r="Y6" i="41"/>
  <c r="BT9" i="50" s="1"/>
  <c r="Y17" i="41"/>
  <c r="BT26" i="50" s="1"/>
  <c r="BR26" i="50"/>
  <c r="Y54" i="41"/>
  <c r="BT82" i="50" s="1"/>
  <c r="BR56" i="50"/>
  <c r="Y38" i="41"/>
  <c r="BT56" i="50" s="1"/>
  <c r="Y42" i="41"/>
  <c r="BT64" i="50" s="1"/>
  <c r="BR80" i="50"/>
  <c r="BR93" i="50"/>
  <c r="BR55" i="50"/>
  <c r="Y37" i="41"/>
  <c r="BT55" i="50" s="1"/>
  <c r="Y56" i="41"/>
  <c r="BT84" i="50" s="1"/>
  <c r="Y74" i="41"/>
  <c r="BT110" i="50" s="1"/>
  <c r="BR23" i="50"/>
  <c r="Y53" i="41"/>
  <c r="BT81" i="50" s="1"/>
  <c r="BR81" i="50"/>
  <c r="BR99" i="50"/>
  <c r="BR42" i="50"/>
  <c r="BR65" i="50"/>
  <c r="Y43" i="41"/>
  <c r="BT65" i="50" s="1"/>
  <c r="Y4" i="41"/>
  <c r="Y45" i="41"/>
  <c r="BT67" i="50" s="1"/>
  <c r="BR67" i="50"/>
  <c r="BR58" i="50"/>
  <c r="Y25" i="41"/>
  <c r="BT40" i="50" s="1"/>
  <c r="Y46" i="41"/>
  <c r="BT68" i="50" s="1"/>
  <c r="BR92" i="50"/>
  <c r="Y61" i="41"/>
  <c r="BT92" i="50" s="1"/>
  <c r="Y34" i="41"/>
  <c r="BT49" i="50" s="1"/>
  <c r="Y44" i="41"/>
  <c r="BT66" i="50" s="1"/>
  <c r="BR66" i="50"/>
  <c r="Y41" i="41"/>
  <c r="BR97" i="50"/>
  <c r="BR68" i="50"/>
  <c r="BR94" i="50"/>
  <c r="Y63" i="41"/>
  <c r="BT94" i="50" s="1"/>
  <c r="Y55" i="41"/>
  <c r="BT83" i="50" s="1"/>
  <c r="BR83" i="50"/>
  <c r="Y68" i="41"/>
  <c r="BT99" i="50" s="1"/>
  <c r="Y20" i="41"/>
  <c r="BT32" i="50" s="1"/>
  <c r="BR10" i="50"/>
  <c r="Y71" i="41"/>
  <c r="BT105" i="50" s="1"/>
  <c r="Y59" i="41"/>
  <c r="BT90" i="50" s="1"/>
  <c r="BR90" i="50"/>
  <c r="BR88" i="50"/>
  <c r="Y21" i="41"/>
  <c r="BT33" i="50" s="1"/>
  <c r="BR33" i="50"/>
  <c r="Y9" i="41"/>
  <c r="BT15" i="50" s="1"/>
  <c r="BR15" i="50"/>
  <c r="Y30" i="41"/>
  <c r="BT45" i="50" s="1"/>
  <c r="BR45" i="50"/>
  <c r="Y72" i="41"/>
  <c r="BT106" i="50" s="1"/>
  <c r="BR106" i="50"/>
  <c r="Y7" i="41"/>
  <c r="BT10" i="50" s="1"/>
  <c r="BR100" i="50"/>
  <c r="Y69" i="41"/>
  <c r="BT100" i="50" s="1"/>
  <c r="BR75" i="50"/>
  <c r="Y50" i="41"/>
  <c r="BT75" i="50" s="1"/>
  <c r="BR76" i="50"/>
  <c r="Y51" i="41"/>
  <c r="BT76" i="50" s="1"/>
  <c r="BR74" i="50"/>
  <c r="Y49" i="41"/>
  <c r="BT74" i="50" s="1"/>
  <c r="X48" i="41"/>
  <c r="BS73" i="50" s="1"/>
  <c r="X49" i="41"/>
  <c r="BS74" i="50" s="1"/>
  <c r="X51" i="41"/>
  <c r="BS76" i="50" s="1"/>
  <c r="Y47" i="41"/>
  <c r="BT72" i="50" s="1"/>
  <c r="BR72" i="50"/>
  <c r="X47" i="41"/>
  <c r="BS72" i="50" s="1"/>
  <c r="Y48" i="41"/>
  <c r="BT73" i="50" s="1"/>
  <c r="X50" i="41"/>
  <c r="BS75" i="50" s="1"/>
  <c r="T91" i="50" l="1"/>
  <c r="V91" i="50"/>
  <c r="AD93" i="50"/>
  <c r="AB93" i="50"/>
  <c r="AB95" i="50"/>
  <c r="AD95" i="50"/>
  <c r="Z105" i="50"/>
  <c r="X105" i="50"/>
  <c r="Z95" i="50"/>
  <c r="X95" i="50"/>
  <c r="V105" i="50"/>
  <c r="T105" i="50"/>
  <c r="V93" i="50"/>
  <c r="T93" i="50"/>
  <c r="Z91" i="50"/>
  <c r="X91" i="50"/>
  <c r="T90" i="50"/>
  <c r="X93" i="50"/>
  <c r="Z93" i="50"/>
  <c r="V95" i="50"/>
  <c r="T95" i="50"/>
  <c r="AB91" i="50"/>
  <c r="AD91" i="50"/>
  <c r="T106" i="50"/>
  <c r="AG106" i="50" s="1"/>
  <c r="T43" i="50"/>
  <c r="V43" i="50"/>
  <c r="V45" i="50"/>
  <c r="T45" i="50"/>
  <c r="AD43" i="50"/>
  <c r="AB43" i="50"/>
  <c r="X41" i="50"/>
  <c r="AK41" i="50" s="1"/>
  <c r="Z41" i="50"/>
  <c r="AM41" i="50" s="1"/>
  <c r="V41" i="50"/>
  <c r="AI41" i="50" s="1"/>
  <c r="AG7" i="50"/>
  <c r="AH7" i="50"/>
  <c r="Z43" i="50"/>
  <c r="X43" i="50"/>
  <c r="X45" i="50"/>
  <c r="Z45" i="50"/>
  <c r="AB45" i="50"/>
  <c r="AD45" i="50"/>
  <c r="AD41" i="50"/>
  <c r="AQ41" i="50" s="1"/>
  <c r="AB41" i="50"/>
  <c r="AO41" i="50" s="1"/>
  <c r="AF84" i="50"/>
  <c r="AH53" i="50"/>
  <c r="AF47" i="50"/>
  <c r="AH47" i="50"/>
  <c r="AF81" i="50"/>
  <c r="AN47" i="50"/>
  <c r="AP47" i="50"/>
  <c r="AJ47" i="50"/>
  <c r="AL47" i="50"/>
  <c r="AF87" i="50"/>
  <c r="T46" i="50"/>
  <c r="AI51" i="50" s="1"/>
  <c r="T64" i="50"/>
  <c r="AG69" i="50" s="1"/>
  <c r="V92" i="50"/>
  <c r="V108" i="50"/>
  <c r="V96" i="50"/>
  <c r="AH62" i="50"/>
  <c r="V72" i="50"/>
  <c r="T104" i="50"/>
  <c r="AG105" i="50" s="1"/>
  <c r="AH85" i="50"/>
  <c r="AH81" i="50"/>
  <c r="AF83" i="50"/>
  <c r="AH68" i="50"/>
  <c r="AF49" i="50"/>
  <c r="AH52" i="50"/>
  <c r="AF85" i="50"/>
  <c r="AH87" i="50"/>
  <c r="AF52" i="50"/>
  <c r="AH83" i="50"/>
  <c r="AH86" i="50"/>
  <c r="AH50" i="50"/>
  <c r="AH51" i="50"/>
  <c r="AF51" i="50"/>
  <c r="AF48" i="50"/>
  <c r="AF50" i="50"/>
  <c r="AH82" i="50"/>
  <c r="AF86" i="50"/>
  <c r="AH48" i="50"/>
  <c r="AF82" i="50"/>
  <c r="AH65" i="50"/>
  <c r="AF53" i="50"/>
  <c r="U72" i="50"/>
  <c r="AF104" i="50"/>
  <c r="AF66" i="50"/>
  <c r="AH66" i="50"/>
  <c r="AH69" i="50"/>
  <c r="AH42" i="50"/>
  <c r="AF71" i="50"/>
  <c r="AF67" i="50"/>
  <c r="AF70" i="50"/>
  <c r="AH71" i="50"/>
  <c r="AF69" i="50"/>
  <c r="AF44" i="50"/>
  <c r="AH70" i="50"/>
  <c r="AH67" i="50"/>
  <c r="AF65" i="50"/>
  <c r="AH92" i="50"/>
  <c r="AF108" i="50"/>
  <c r="AH104" i="50"/>
  <c r="AC62" i="50"/>
  <c r="T62" i="50"/>
  <c r="AG62" i="50" s="1"/>
  <c r="Y62" i="50"/>
  <c r="Q23" i="47"/>
  <c r="O23" i="47"/>
  <c r="R25" i="47"/>
  <c r="N23" i="47"/>
  <c r="Q26" i="47"/>
  <c r="O25" i="47"/>
  <c r="M26" i="47"/>
  <c r="M23" i="47"/>
  <c r="M24" i="47"/>
  <c r="N26" i="47"/>
  <c r="Q24" i="47"/>
  <c r="P25" i="47"/>
  <c r="N24" i="47"/>
  <c r="R26" i="47"/>
  <c r="R23" i="47"/>
  <c r="P23" i="47"/>
  <c r="P24" i="47"/>
  <c r="M25" i="47"/>
  <c r="O24" i="47"/>
  <c r="O26" i="47"/>
  <c r="R24" i="47"/>
  <c r="Q25" i="47"/>
  <c r="N25" i="47"/>
  <c r="P26" i="47"/>
  <c r="BT62" i="50"/>
  <c r="AD62" i="50" s="1"/>
  <c r="P13" i="47"/>
  <c r="BR62" i="50"/>
  <c r="Z62" i="50" s="1"/>
  <c r="O13" i="47"/>
  <c r="V54" i="50"/>
  <c r="T54" i="50"/>
  <c r="AI70" i="50"/>
  <c r="AI67" i="50"/>
  <c r="AI68" i="50"/>
  <c r="AI71" i="50"/>
  <c r="V15" i="50"/>
  <c r="T15" i="50"/>
  <c r="Z90" i="50"/>
  <c r="X90" i="50"/>
  <c r="X94" i="50"/>
  <c r="Z94" i="50"/>
  <c r="Z23" i="50"/>
  <c r="X23" i="50"/>
  <c r="X104" i="50"/>
  <c r="Z104" i="50"/>
  <c r="AD80" i="50"/>
  <c r="AP40" i="50"/>
  <c r="AN40" i="50"/>
  <c r="AA15" i="50"/>
  <c r="AC15" i="50"/>
  <c r="AP62" i="50"/>
  <c r="AN62" i="50"/>
  <c r="X54" i="50"/>
  <c r="Z54" i="50"/>
  <c r="AP92" i="50"/>
  <c r="AN92" i="50"/>
  <c r="AP44" i="50"/>
  <c r="AN44" i="50"/>
  <c r="AD32" i="50"/>
  <c r="AB32" i="50"/>
  <c r="AD104" i="50"/>
  <c r="AB104" i="50"/>
  <c r="Y72" i="50"/>
  <c r="W72" i="50"/>
  <c r="Z15" i="50"/>
  <c r="X15" i="50"/>
  <c r="AJ88" i="50"/>
  <c r="AL88" i="50"/>
  <c r="AL56" i="50"/>
  <c r="AJ58" i="50"/>
  <c r="AL57" i="50"/>
  <c r="AJ59" i="50"/>
  <c r="AL58" i="50"/>
  <c r="AJ60" i="50"/>
  <c r="AL59" i="50"/>
  <c r="AJ61" i="50"/>
  <c r="AJ55" i="50"/>
  <c r="AL60" i="50"/>
  <c r="AL61" i="50"/>
  <c r="AJ56" i="50"/>
  <c r="AL55" i="50"/>
  <c r="AJ57" i="50"/>
  <c r="AJ106" i="50"/>
  <c r="AL106" i="50"/>
  <c r="T40" i="50"/>
  <c r="V40" i="50"/>
  <c r="T32" i="50"/>
  <c r="V32" i="50"/>
  <c r="AJ92" i="50"/>
  <c r="AL92" i="50"/>
  <c r="AH76" i="50"/>
  <c r="AF78" i="50"/>
  <c r="AH77" i="50"/>
  <c r="AF79" i="50"/>
  <c r="AH78" i="50"/>
  <c r="AH79" i="50"/>
  <c r="AF73" i="50"/>
  <c r="AF74" i="50"/>
  <c r="AH74" i="50"/>
  <c r="AF76" i="50"/>
  <c r="AF75" i="50"/>
  <c r="AF77" i="50"/>
  <c r="AH75" i="50"/>
  <c r="AH73" i="50"/>
  <c r="AP108" i="50"/>
  <c r="AN108" i="50"/>
  <c r="V44" i="50"/>
  <c r="AA72" i="50"/>
  <c r="AC72" i="50"/>
  <c r="AD40" i="50"/>
  <c r="AB40" i="50"/>
  <c r="AD110" i="50"/>
  <c r="AB110" i="50"/>
  <c r="Z80" i="50"/>
  <c r="X80" i="50"/>
  <c r="Z32" i="50"/>
  <c r="X32" i="50"/>
  <c r="X40" i="50"/>
  <c r="Z40" i="50"/>
  <c r="AP94" i="50"/>
  <c r="AN94" i="50"/>
  <c r="AP110" i="50"/>
  <c r="AN110" i="50"/>
  <c r="V7" i="50"/>
  <c r="AI75" i="50"/>
  <c r="AG77" i="50"/>
  <c r="AI76" i="50"/>
  <c r="AG78" i="50"/>
  <c r="AI77" i="50"/>
  <c r="AG79" i="50"/>
  <c r="AI72" i="50"/>
  <c r="AI78" i="50"/>
  <c r="AI79" i="50"/>
  <c r="AG73" i="50"/>
  <c r="AG72" i="50"/>
  <c r="AI73" i="50"/>
  <c r="AG75" i="50"/>
  <c r="AI74" i="50"/>
  <c r="AG74" i="50"/>
  <c r="AG76" i="50"/>
  <c r="AP104" i="50"/>
  <c r="AN104" i="50"/>
  <c r="AJ108" i="50"/>
  <c r="AL108" i="50"/>
  <c r="AD44" i="50"/>
  <c r="AB44" i="50"/>
  <c r="AL40" i="50"/>
  <c r="AJ40" i="50"/>
  <c r="AP28" i="50"/>
  <c r="AN28" i="50"/>
  <c r="AP27" i="50"/>
  <c r="AP29" i="50"/>
  <c r="AN29" i="50"/>
  <c r="AN23" i="50"/>
  <c r="AP25" i="50"/>
  <c r="AP30" i="50"/>
  <c r="AN30" i="50"/>
  <c r="AN25" i="50"/>
  <c r="AP23" i="50"/>
  <c r="AP31" i="50"/>
  <c r="AN31" i="50"/>
  <c r="AN27" i="50"/>
  <c r="AP26" i="50"/>
  <c r="AN26" i="50"/>
  <c r="AD94" i="50"/>
  <c r="AB94" i="50"/>
  <c r="Z46" i="50"/>
  <c r="X46" i="50"/>
  <c r="AL44" i="50"/>
  <c r="AJ44" i="50"/>
  <c r="AP90" i="50"/>
  <c r="AN90" i="50"/>
  <c r="AP106" i="50"/>
  <c r="AN106" i="50"/>
  <c r="AL48" i="50"/>
  <c r="AJ50" i="50"/>
  <c r="AJ49" i="50"/>
  <c r="AL49" i="50"/>
  <c r="AJ51" i="50"/>
  <c r="AL50" i="50"/>
  <c r="AJ52" i="50"/>
  <c r="AL53" i="50"/>
  <c r="AL51" i="50"/>
  <c r="AJ53" i="50"/>
  <c r="AL52" i="50"/>
  <c r="AJ48" i="50"/>
  <c r="Z106" i="50"/>
  <c r="X106" i="50"/>
  <c r="AD90" i="50"/>
  <c r="AB90" i="50"/>
  <c r="AB106" i="50"/>
  <c r="AD106" i="50"/>
  <c r="AD15" i="50"/>
  <c r="AB15" i="50"/>
  <c r="Z42" i="50"/>
  <c r="X42" i="50"/>
  <c r="X44" i="50"/>
  <c r="Z44" i="50"/>
  <c r="V88" i="50"/>
  <c r="T88" i="50"/>
  <c r="AL20" i="50"/>
  <c r="AJ22" i="50"/>
  <c r="AL21" i="50"/>
  <c r="AL22" i="50"/>
  <c r="AJ16" i="50"/>
  <c r="AL17" i="50"/>
  <c r="AJ17" i="50"/>
  <c r="AJ19" i="50"/>
  <c r="AL19" i="50"/>
  <c r="AL16" i="50"/>
  <c r="AJ18" i="50"/>
  <c r="AJ21" i="50"/>
  <c r="AL18" i="50"/>
  <c r="AJ20" i="50"/>
  <c r="AG93" i="50"/>
  <c r="AF93" i="50" s="1"/>
  <c r="AI92" i="50"/>
  <c r="AG92" i="50"/>
  <c r="AI93" i="50"/>
  <c r="AP88" i="50"/>
  <c r="AN88" i="50"/>
  <c r="V110" i="50"/>
  <c r="T110" i="50"/>
  <c r="AG48" i="50"/>
  <c r="AL34" i="50"/>
  <c r="AJ36" i="50"/>
  <c r="AL35" i="50"/>
  <c r="AJ37" i="50"/>
  <c r="AL33" i="50"/>
  <c r="AL36" i="50"/>
  <c r="AJ38" i="50"/>
  <c r="AJ33" i="50"/>
  <c r="AJ35" i="50"/>
  <c r="AL37" i="50"/>
  <c r="AJ39" i="50"/>
  <c r="AL39" i="50"/>
  <c r="AL38" i="50"/>
  <c r="AJ34" i="50"/>
  <c r="BR7" i="50"/>
  <c r="U11" i="40"/>
  <c r="AP68" i="50"/>
  <c r="AP69" i="50"/>
  <c r="AP70" i="50"/>
  <c r="AP71" i="50"/>
  <c r="AP66" i="50"/>
  <c r="AN68" i="50"/>
  <c r="AN65" i="50"/>
  <c r="AN69" i="50"/>
  <c r="AN70" i="50"/>
  <c r="AN71" i="50"/>
  <c r="AP65" i="50"/>
  <c r="AN66" i="50"/>
  <c r="AP67" i="50"/>
  <c r="AN67" i="50"/>
  <c r="AL42" i="50"/>
  <c r="AJ42" i="50"/>
  <c r="T94" i="50"/>
  <c r="V94" i="50"/>
  <c r="AJ98" i="50"/>
  <c r="AL97" i="50"/>
  <c r="AJ99" i="50"/>
  <c r="AL98" i="50"/>
  <c r="AJ100" i="50"/>
  <c r="AL99" i="50"/>
  <c r="AJ101" i="50"/>
  <c r="AL100" i="50"/>
  <c r="AJ102" i="50"/>
  <c r="AL102" i="50"/>
  <c r="AJ97" i="50"/>
  <c r="AJ103" i="50"/>
  <c r="AL101" i="50"/>
  <c r="AL103" i="50"/>
  <c r="O11" i="31"/>
  <c r="BT7" i="50"/>
  <c r="V11" i="40"/>
  <c r="Z96" i="50"/>
  <c r="X96" i="50"/>
  <c r="AD88" i="50"/>
  <c r="AB88" i="50"/>
  <c r="AP42" i="50"/>
  <c r="AN42" i="50"/>
  <c r="Z110" i="50"/>
  <c r="X110" i="50"/>
  <c r="AJ94" i="50"/>
  <c r="AL94" i="50"/>
  <c r="P17" i="31"/>
  <c r="O17" i="31"/>
  <c r="AJ110" i="50"/>
  <c r="AL110" i="50"/>
  <c r="AJ62" i="50"/>
  <c r="AL62" i="50"/>
  <c r="X72" i="50"/>
  <c r="Z72" i="50"/>
  <c r="AB92" i="50"/>
  <c r="AD92" i="50"/>
  <c r="Z64" i="50"/>
  <c r="X64" i="50"/>
  <c r="Z92" i="50"/>
  <c r="X92" i="50"/>
  <c r="N11" i="31"/>
  <c r="AD64" i="50"/>
  <c r="AB64" i="50"/>
  <c r="AD46" i="50"/>
  <c r="AB46" i="50"/>
  <c r="AB96" i="50"/>
  <c r="AD96" i="50"/>
  <c r="AD108" i="50"/>
  <c r="AB108" i="50"/>
  <c r="AO108" i="50" s="1"/>
  <c r="AD54" i="50"/>
  <c r="AB54" i="50"/>
  <c r="AP54" i="50" s="1"/>
  <c r="AI108" i="50"/>
  <c r="AG108" i="50"/>
  <c r="AJ82" i="50"/>
  <c r="AL81" i="50"/>
  <c r="AJ83" i="50"/>
  <c r="AL82" i="50"/>
  <c r="AJ84" i="50"/>
  <c r="AL83" i="50"/>
  <c r="AJ85" i="50"/>
  <c r="AL84" i="50"/>
  <c r="AJ86" i="50"/>
  <c r="AL86" i="50"/>
  <c r="AJ81" i="50"/>
  <c r="AJ87" i="50"/>
  <c r="AL85" i="50"/>
  <c r="AL87" i="50"/>
  <c r="AL9" i="50"/>
  <c r="AL10" i="50"/>
  <c r="AJ8" i="50"/>
  <c r="AL8" i="50"/>
  <c r="AL11" i="50"/>
  <c r="AJ9" i="50"/>
  <c r="AJ14" i="50"/>
  <c r="AL12" i="50"/>
  <c r="AJ10" i="50"/>
  <c r="AL14" i="50"/>
  <c r="AL13" i="50"/>
  <c r="AJ11" i="50"/>
  <c r="AJ12" i="50"/>
  <c r="AJ13" i="50"/>
  <c r="AF22" i="50"/>
  <c r="AH20" i="50"/>
  <c r="AH16" i="50"/>
  <c r="AH17" i="50"/>
  <c r="AH18" i="50"/>
  <c r="AH22" i="50"/>
  <c r="AH19" i="50"/>
  <c r="AH21" i="50"/>
  <c r="AF16" i="50"/>
  <c r="AF19" i="50"/>
  <c r="AF18" i="50"/>
  <c r="AF21" i="50"/>
  <c r="AF17" i="50"/>
  <c r="AF20" i="50"/>
  <c r="AJ90" i="50"/>
  <c r="AL90" i="50"/>
  <c r="AP52" i="50"/>
  <c r="AP49" i="50"/>
  <c r="AP53" i="50"/>
  <c r="AN48" i="50"/>
  <c r="AN49" i="50"/>
  <c r="AP48" i="50"/>
  <c r="AN50" i="50"/>
  <c r="AN51" i="50"/>
  <c r="AP50" i="50"/>
  <c r="AN52" i="50"/>
  <c r="AP51" i="50"/>
  <c r="AN53" i="50"/>
  <c r="V42" i="50"/>
  <c r="T42" i="50"/>
  <c r="V80" i="50"/>
  <c r="T80" i="50"/>
  <c r="AG91" i="50"/>
  <c r="AI90" i="50"/>
  <c r="AG90" i="50"/>
  <c r="AI91" i="50"/>
  <c r="AP100" i="50"/>
  <c r="AN102" i="50"/>
  <c r="AP101" i="50"/>
  <c r="AN103" i="50"/>
  <c r="AP102" i="50"/>
  <c r="AP103" i="50"/>
  <c r="AN97" i="50"/>
  <c r="AN98" i="50"/>
  <c r="AP98" i="50"/>
  <c r="AN100" i="50"/>
  <c r="AN99" i="50"/>
  <c r="AN101" i="50"/>
  <c r="AP97" i="50"/>
  <c r="AP99" i="50"/>
  <c r="T23" i="50"/>
  <c r="V23" i="50"/>
  <c r="AJ104" i="50"/>
  <c r="AL104" i="50"/>
  <c r="AP84" i="50"/>
  <c r="AN86" i="50"/>
  <c r="AP85" i="50"/>
  <c r="AN87" i="50"/>
  <c r="AP86" i="50"/>
  <c r="AP87" i="50"/>
  <c r="AN81" i="50"/>
  <c r="AN82" i="50"/>
  <c r="AP82" i="50"/>
  <c r="AN84" i="50"/>
  <c r="AN83" i="50"/>
  <c r="AN85" i="50"/>
  <c r="AP81" i="50"/>
  <c r="AP83" i="50"/>
  <c r="AD72" i="50"/>
  <c r="AB72" i="50"/>
  <c r="Z88" i="50"/>
  <c r="X88" i="50"/>
  <c r="Z108" i="50"/>
  <c r="X108" i="50"/>
  <c r="AL28" i="50"/>
  <c r="AJ28" i="50"/>
  <c r="AJ27" i="50"/>
  <c r="AL29" i="50"/>
  <c r="AJ29" i="50"/>
  <c r="AJ25" i="50"/>
  <c r="AL30" i="50"/>
  <c r="AJ30" i="50"/>
  <c r="AL27" i="50"/>
  <c r="AL31" i="50"/>
  <c r="AJ31" i="50"/>
  <c r="AL23" i="50"/>
  <c r="AL25" i="50"/>
  <c r="AJ23" i="50"/>
  <c r="AL26" i="50"/>
  <c r="AJ26" i="50"/>
  <c r="AI99" i="50"/>
  <c r="AG101" i="50"/>
  <c r="AI100" i="50"/>
  <c r="AG102" i="50"/>
  <c r="AI101" i="50"/>
  <c r="AG103" i="50"/>
  <c r="AI102" i="50"/>
  <c r="AI103" i="50"/>
  <c r="AG97" i="50"/>
  <c r="AG96" i="50"/>
  <c r="AI97" i="50"/>
  <c r="AG99" i="50"/>
  <c r="AI98" i="50"/>
  <c r="AG98" i="50"/>
  <c r="AG100" i="50"/>
  <c r="AP38" i="50"/>
  <c r="AP37" i="50"/>
  <c r="AP39" i="50"/>
  <c r="AN33" i="50"/>
  <c r="AN34" i="50"/>
  <c r="AP35" i="50"/>
  <c r="AP33" i="50"/>
  <c r="AN35" i="50"/>
  <c r="AP34" i="50"/>
  <c r="AN36" i="50"/>
  <c r="AN37" i="50"/>
  <c r="AP36" i="50"/>
  <c r="AN38" i="50"/>
  <c r="AN39" i="50"/>
  <c r="AL70" i="50"/>
  <c r="AL71" i="50"/>
  <c r="AJ65" i="50"/>
  <c r="AJ69" i="50"/>
  <c r="AJ66" i="50"/>
  <c r="AL67" i="50"/>
  <c r="AL65" i="50"/>
  <c r="AJ67" i="50"/>
  <c r="AL66" i="50"/>
  <c r="AJ68" i="50"/>
  <c r="AL68" i="50"/>
  <c r="AJ70" i="50"/>
  <c r="AL69" i="50"/>
  <c r="AJ71" i="50"/>
  <c r="AB42" i="50"/>
  <c r="AD42" i="50"/>
  <c r="AB23" i="50"/>
  <c r="AD23" i="50"/>
  <c r="AP60" i="50"/>
  <c r="AP61" i="50"/>
  <c r="AN55" i="50"/>
  <c r="AN59" i="50"/>
  <c r="AN56" i="50"/>
  <c r="AP55" i="50"/>
  <c r="AN57" i="50"/>
  <c r="AP57" i="50"/>
  <c r="AP56" i="50"/>
  <c r="AN58" i="50"/>
  <c r="AP58" i="50"/>
  <c r="AN60" i="50"/>
  <c r="AP59" i="50"/>
  <c r="AN61" i="50"/>
  <c r="O10" i="48"/>
  <c r="AI106" i="50" l="1"/>
  <c r="AG66" i="50"/>
  <c r="AG68" i="50"/>
  <c r="AG65" i="50"/>
  <c r="AI66" i="50"/>
  <c r="AI64" i="50"/>
  <c r="AG71" i="50"/>
  <c r="AI69" i="50"/>
  <c r="AI53" i="50"/>
  <c r="AI50" i="50"/>
  <c r="AG51" i="50"/>
  <c r="AI48" i="50"/>
  <c r="AI49" i="50"/>
  <c r="AI52" i="50"/>
  <c r="AG52" i="50"/>
  <c r="AI46" i="50"/>
  <c r="AG46" i="50"/>
  <c r="AG49" i="50"/>
  <c r="AG53" i="50"/>
  <c r="AG50" i="50"/>
  <c r="AG67" i="50"/>
  <c r="X62" i="50"/>
  <c r="AI105" i="50"/>
  <c r="AO47" i="50"/>
  <c r="AQ47" i="50"/>
  <c r="AG104" i="50"/>
  <c r="AK47" i="50"/>
  <c r="AM47" i="50"/>
  <c r="AI104" i="50"/>
  <c r="AG47" i="50"/>
  <c r="AI47" i="50"/>
  <c r="AG70" i="50"/>
  <c r="AI65" i="50"/>
  <c r="AG64" i="50"/>
  <c r="AI62" i="50"/>
  <c r="AB62" i="50"/>
  <c r="AQ62" i="50" s="1"/>
  <c r="P31" i="47"/>
  <c r="O33" i="47"/>
  <c r="R31" i="47"/>
  <c r="O34" i="47"/>
  <c r="N33" i="47"/>
  <c r="O32" i="47"/>
  <c r="P34" i="47"/>
  <c r="M31" i="47"/>
  <c r="M34" i="47"/>
  <c r="R33" i="47"/>
  <c r="O31" i="47"/>
  <c r="M33" i="47"/>
  <c r="R32" i="47"/>
  <c r="N34" i="47"/>
  <c r="R34" i="47"/>
  <c r="M32" i="47"/>
  <c r="P33" i="47"/>
  <c r="Q31" i="47"/>
  <c r="Q33" i="47"/>
  <c r="Q34" i="47"/>
  <c r="N31" i="47"/>
  <c r="N32" i="47"/>
  <c r="Q32" i="47"/>
  <c r="P32" i="47"/>
  <c r="R42" i="47"/>
  <c r="P40" i="47"/>
  <c r="M41" i="47"/>
  <c r="O41" i="47"/>
  <c r="O40" i="47"/>
  <c r="Q42" i="47"/>
  <c r="P41" i="47"/>
  <c r="N39" i="47"/>
  <c r="M39" i="47"/>
  <c r="R40" i="47"/>
  <c r="M42" i="47"/>
  <c r="R39" i="47"/>
  <c r="Q39" i="47"/>
  <c r="Q41" i="47"/>
  <c r="P39" i="47"/>
  <c r="O39" i="47"/>
  <c r="Q40" i="47"/>
  <c r="P42" i="47"/>
  <c r="M40" i="47"/>
  <c r="N42" i="47"/>
  <c r="O42" i="47"/>
  <c r="N40" i="47"/>
  <c r="N41" i="47"/>
  <c r="R41" i="47"/>
  <c r="AQ108" i="50"/>
  <c r="AO105" i="50"/>
  <c r="AQ104" i="50"/>
  <c r="AO104" i="50"/>
  <c r="AQ105" i="50"/>
  <c r="AG95" i="50"/>
  <c r="AI94" i="50"/>
  <c r="AG94" i="50"/>
  <c r="AI95" i="50"/>
  <c r="AM40" i="50"/>
  <c r="AK40" i="50"/>
  <c r="AP76" i="50"/>
  <c r="AN78" i="50"/>
  <c r="AP77" i="50"/>
  <c r="AN79" i="50"/>
  <c r="AP78" i="50"/>
  <c r="AP79" i="50"/>
  <c r="AN73" i="50"/>
  <c r="AN74" i="50"/>
  <c r="AP74" i="50"/>
  <c r="AN76" i="50"/>
  <c r="AN75" i="50"/>
  <c r="AN77" i="50"/>
  <c r="AP73" i="50"/>
  <c r="AP75" i="50"/>
  <c r="AI37" i="50"/>
  <c r="AG39" i="50"/>
  <c r="AI32" i="50"/>
  <c r="AG36" i="50"/>
  <c r="AI36" i="50"/>
  <c r="AI38" i="50"/>
  <c r="AI39" i="50"/>
  <c r="AG33" i="50"/>
  <c r="AG32" i="50"/>
  <c r="AG34" i="50"/>
  <c r="AI33" i="50"/>
  <c r="AG35" i="50"/>
  <c r="AI34" i="50"/>
  <c r="AI35" i="50"/>
  <c r="AG37" i="50"/>
  <c r="AG38" i="50"/>
  <c r="AP16" i="50"/>
  <c r="AN18" i="50"/>
  <c r="AN17" i="50"/>
  <c r="AP17" i="50"/>
  <c r="AN19" i="50"/>
  <c r="AP21" i="50"/>
  <c r="AP18" i="50"/>
  <c r="AN20" i="50"/>
  <c r="AP19" i="50"/>
  <c r="AN21" i="50"/>
  <c r="AP20" i="50"/>
  <c r="AN22" i="50"/>
  <c r="AP22" i="50"/>
  <c r="AN16" i="50"/>
  <c r="AK104" i="50"/>
  <c r="AM105" i="50"/>
  <c r="AK105" i="50"/>
  <c r="AM104" i="50"/>
  <c r="AQ28" i="50"/>
  <c r="AO28" i="50"/>
  <c r="AO23" i="50"/>
  <c r="AQ29" i="50"/>
  <c r="AO29" i="50"/>
  <c r="AQ27" i="50"/>
  <c r="AQ30" i="50"/>
  <c r="AO30" i="50"/>
  <c r="AQ31" i="50"/>
  <c r="AO31" i="50"/>
  <c r="AQ25" i="50"/>
  <c r="AQ24" i="50"/>
  <c r="AO24" i="50"/>
  <c r="AO25" i="50"/>
  <c r="AQ26" i="50"/>
  <c r="AO26" i="50"/>
  <c r="AQ23" i="50"/>
  <c r="AO27" i="50"/>
  <c r="AK108" i="50"/>
  <c r="AM108" i="50"/>
  <c r="AO93" i="50"/>
  <c r="AQ92" i="50"/>
  <c r="AO92" i="50"/>
  <c r="AQ93" i="50"/>
  <c r="AD7" i="50"/>
  <c r="AB7" i="50"/>
  <c r="AM33" i="50"/>
  <c r="AK35" i="50"/>
  <c r="AM38" i="50"/>
  <c r="AM34" i="50"/>
  <c r="AK36" i="50"/>
  <c r="AM35" i="50"/>
  <c r="AK37" i="50"/>
  <c r="AM36" i="50"/>
  <c r="AK38" i="50"/>
  <c r="AM37" i="50"/>
  <c r="AK39" i="50"/>
  <c r="AM32" i="50"/>
  <c r="AK34" i="50"/>
  <c r="AM39" i="50"/>
  <c r="AK33" i="50"/>
  <c r="AK32" i="50"/>
  <c r="AQ110" i="50"/>
  <c r="AO110" i="50"/>
  <c r="AM19" i="50"/>
  <c r="AK21" i="50"/>
  <c r="AM16" i="50"/>
  <c r="AM15" i="50"/>
  <c r="AM20" i="50"/>
  <c r="AK22" i="50"/>
  <c r="AK20" i="50"/>
  <c r="AM21" i="50"/>
  <c r="AM22" i="50"/>
  <c r="AK16" i="50"/>
  <c r="AK17" i="50"/>
  <c r="AK18" i="50"/>
  <c r="AK15" i="50"/>
  <c r="AM17" i="50"/>
  <c r="AK19" i="50"/>
  <c r="AM18" i="50"/>
  <c r="AQ37" i="50"/>
  <c r="AO39" i="50"/>
  <c r="AQ32" i="50"/>
  <c r="AO36" i="50"/>
  <c r="AQ38" i="50"/>
  <c r="AQ34" i="50"/>
  <c r="AQ39" i="50"/>
  <c r="AO33" i="50"/>
  <c r="AO32" i="50"/>
  <c r="AQ36" i="50"/>
  <c r="AO34" i="50"/>
  <c r="AO38" i="50"/>
  <c r="AQ33" i="50"/>
  <c r="AO35" i="50"/>
  <c r="AQ35" i="50"/>
  <c r="AO37" i="50"/>
  <c r="AM28" i="50"/>
  <c r="AK28" i="50"/>
  <c r="AM25" i="50"/>
  <c r="AM29" i="50"/>
  <c r="AK29" i="50"/>
  <c r="AM30" i="50"/>
  <c r="AK30" i="50"/>
  <c r="AM23" i="50"/>
  <c r="AM31" i="50"/>
  <c r="AK31" i="50"/>
  <c r="AM24" i="50"/>
  <c r="AK24" i="50"/>
  <c r="AK23" i="50"/>
  <c r="AK25" i="50"/>
  <c r="AM27" i="50"/>
  <c r="AM26" i="50"/>
  <c r="AK26" i="50"/>
  <c r="AK27" i="50"/>
  <c r="AQ75" i="50"/>
  <c r="AO77" i="50"/>
  <c r="AQ76" i="50"/>
  <c r="AO78" i="50"/>
  <c r="AQ77" i="50"/>
  <c r="AO79" i="50"/>
  <c r="AQ72" i="50"/>
  <c r="AQ78" i="50"/>
  <c r="AQ79" i="50"/>
  <c r="AO73" i="50"/>
  <c r="AO72" i="50"/>
  <c r="AQ73" i="50"/>
  <c r="AO75" i="50"/>
  <c r="AO74" i="50"/>
  <c r="AO76" i="50"/>
  <c r="AQ74" i="50"/>
  <c r="AI42" i="50"/>
  <c r="AG42" i="50"/>
  <c r="AQ99" i="50"/>
  <c r="AO101" i="50"/>
  <c r="AQ100" i="50"/>
  <c r="AO102" i="50"/>
  <c r="AQ101" i="50"/>
  <c r="AO103" i="50"/>
  <c r="AQ96" i="50"/>
  <c r="AQ102" i="50"/>
  <c r="AQ103" i="50"/>
  <c r="AO97" i="50"/>
  <c r="AO96" i="50"/>
  <c r="AQ97" i="50"/>
  <c r="AO99" i="50"/>
  <c r="AO98" i="50"/>
  <c r="AO100" i="50"/>
  <c r="AQ98" i="50"/>
  <c r="AK92" i="50"/>
  <c r="AM93" i="50"/>
  <c r="AK93" i="50"/>
  <c r="AM92" i="50"/>
  <c r="AO89" i="50"/>
  <c r="AQ88" i="50"/>
  <c r="AO88" i="50"/>
  <c r="AQ89" i="50"/>
  <c r="AQ106" i="50"/>
  <c r="AO106" i="50"/>
  <c r="AO17" i="50"/>
  <c r="AQ16" i="50"/>
  <c r="AO18" i="50"/>
  <c r="AQ15" i="50"/>
  <c r="AQ17" i="50"/>
  <c r="AO19" i="50"/>
  <c r="AO16" i="50"/>
  <c r="AQ18" i="50"/>
  <c r="AO20" i="50"/>
  <c r="AO15" i="50"/>
  <c r="AQ20" i="50"/>
  <c r="AQ19" i="50"/>
  <c r="AO21" i="50"/>
  <c r="AO22" i="50"/>
  <c r="AQ22" i="50"/>
  <c r="AQ21" i="50"/>
  <c r="AO95" i="50"/>
  <c r="AQ94" i="50"/>
  <c r="AO94" i="50"/>
  <c r="AQ95" i="50"/>
  <c r="AP95" i="50" s="1"/>
  <c r="AQ44" i="50"/>
  <c r="AO44" i="50"/>
  <c r="AM87" i="50"/>
  <c r="AK81" i="50"/>
  <c r="AK80" i="50"/>
  <c r="AK82" i="50"/>
  <c r="AM81" i="50"/>
  <c r="AK83" i="50"/>
  <c r="AM82" i="50"/>
  <c r="AK84" i="50"/>
  <c r="AM83" i="50"/>
  <c r="AK85" i="50"/>
  <c r="AM85" i="50"/>
  <c r="AK87" i="50"/>
  <c r="AM80" i="50"/>
  <c r="AK86" i="50"/>
  <c r="AM86" i="50"/>
  <c r="AM84" i="50"/>
  <c r="AQ51" i="50"/>
  <c r="AO53" i="50"/>
  <c r="AQ46" i="50"/>
  <c r="AQ52" i="50"/>
  <c r="AO50" i="50"/>
  <c r="AQ53" i="50"/>
  <c r="AO46" i="50"/>
  <c r="AQ48" i="50"/>
  <c r="AO48" i="50"/>
  <c r="AQ50" i="50"/>
  <c r="AO49" i="50"/>
  <c r="AQ49" i="50"/>
  <c r="AO51" i="50"/>
  <c r="AO52" i="50"/>
  <c r="AM79" i="50"/>
  <c r="AK73" i="50"/>
  <c r="AK72" i="50"/>
  <c r="AK74" i="50"/>
  <c r="AM73" i="50"/>
  <c r="AK75" i="50"/>
  <c r="AM74" i="50"/>
  <c r="AK76" i="50"/>
  <c r="AM75" i="50"/>
  <c r="AK77" i="50"/>
  <c r="AM77" i="50"/>
  <c r="AK79" i="50"/>
  <c r="AM72" i="50"/>
  <c r="AK78" i="50"/>
  <c r="AM78" i="50"/>
  <c r="AM76" i="50"/>
  <c r="AO91" i="50"/>
  <c r="AQ90" i="50"/>
  <c r="AO90" i="50"/>
  <c r="AQ91" i="50"/>
  <c r="AI44" i="50"/>
  <c r="AG44" i="50"/>
  <c r="AJ74" i="50"/>
  <c r="AL73" i="50"/>
  <c r="AJ75" i="50"/>
  <c r="AL74" i="50"/>
  <c r="AJ76" i="50"/>
  <c r="AL75" i="50"/>
  <c r="AJ77" i="50"/>
  <c r="AL76" i="50"/>
  <c r="AJ78" i="50"/>
  <c r="AL78" i="50"/>
  <c r="AJ73" i="50"/>
  <c r="AJ79" i="50"/>
  <c r="AL77" i="50"/>
  <c r="AL79" i="50"/>
  <c r="AI15" i="50"/>
  <c r="AG15" i="50"/>
  <c r="AI16" i="50"/>
  <c r="AG16" i="50"/>
  <c r="AG22" i="50"/>
  <c r="AI17" i="50"/>
  <c r="AG17" i="50"/>
  <c r="AI20" i="50"/>
  <c r="AI18" i="50"/>
  <c r="AG18" i="50"/>
  <c r="AI19" i="50"/>
  <c r="AG19" i="50"/>
  <c r="AG20" i="50"/>
  <c r="AI21" i="50"/>
  <c r="AG21" i="50"/>
  <c r="AI22" i="50"/>
  <c r="AG89" i="50"/>
  <c r="AI88" i="50"/>
  <c r="AG88" i="50"/>
  <c r="AI89" i="50"/>
  <c r="AK90" i="50"/>
  <c r="AM91" i="50"/>
  <c r="AK91" i="50"/>
  <c r="AM90" i="50"/>
  <c r="AK110" i="50"/>
  <c r="AM110" i="50"/>
  <c r="Z7" i="50"/>
  <c r="X7" i="50"/>
  <c r="AM44" i="50"/>
  <c r="AK44" i="50"/>
  <c r="AI40" i="50"/>
  <c r="AG40" i="50"/>
  <c r="AM55" i="50"/>
  <c r="AK57" i="50"/>
  <c r="AM60" i="50"/>
  <c r="AM56" i="50"/>
  <c r="AK58" i="50"/>
  <c r="AM57" i="50"/>
  <c r="AK59" i="50"/>
  <c r="AM58" i="50"/>
  <c r="AK60" i="50"/>
  <c r="AM54" i="50"/>
  <c r="AM59" i="50"/>
  <c r="AK61" i="50"/>
  <c r="AM61" i="50"/>
  <c r="AK55" i="50"/>
  <c r="AK56" i="50"/>
  <c r="AK54" i="50"/>
  <c r="AK94" i="50"/>
  <c r="AM95" i="50"/>
  <c r="AK95" i="50"/>
  <c r="AM94" i="50"/>
  <c r="AI83" i="50"/>
  <c r="AG85" i="50"/>
  <c r="AI84" i="50"/>
  <c r="AG86" i="50"/>
  <c r="AI85" i="50"/>
  <c r="AG87" i="50"/>
  <c r="AI80" i="50"/>
  <c r="AI86" i="50"/>
  <c r="AI87" i="50"/>
  <c r="AG81" i="50"/>
  <c r="AG80" i="50"/>
  <c r="AI81" i="50"/>
  <c r="AG83" i="50"/>
  <c r="AI82" i="50"/>
  <c r="AG82" i="50"/>
  <c r="AG84" i="50"/>
  <c r="AQ59" i="50"/>
  <c r="AO61" i="50"/>
  <c r="AQ60" i="50"/>
  <c r="AQ54" i="50"/>
  <c r="AQ61" i="50"/>
  <c r="AO55" i="50"/>
  <c r="AO58" i="50"/>
  <c r="AO56" i="50"/>
  <c r="AO54" i="50"/>
  <c r="AQ55" i="50"/>
  <c r="AO57" i="50"/>
  <c r="AQ56" i="50"/>
  <c r="AQ57" i="50"/>
  <c r="AO59" i="50"/>
  <c r="AQ58" i="50"/>
  <c r="AO60" i="50"/>
  <c r="AQ67" i="50"/>
  <c r="AQ68" i="50"/>
  <c r="AQ69" i="50"/>
  <c r="AQ70" i="50"/>
  <c r="AQ71" i="50"/>
  <c r="AO65" i="50"/>
  <c r="AQ65" i="50"/>
  <c r="AO67" i="50"/>
  <c r="AO66" i="50"/>
  <c r="AO68" i="50"/>
  <c r="AQ66" i="50"/>
  <c r="AO69" i="50"/>
  <c r="AO70" i="50"/>
  <c r="AO71" i="50"/>
  <c r="AQ64" i="50"/>
  <c r="AO64" i="50"/>
  <c r="AM62" i="50"/>
  <c r="AK62" i="50"/>
  <c r="AI110" i="50"/>
  <c r="AG110" i="50"/>
  <c r="AM42" i="50"/>
  <c r="AK42" i="50"/>
  <c r="AK106" i="50"/>
  <c r="AM106" i="50"/>
  <c r="AK49" i="50"/>
  <c r="AM48" i="50"/>
  <c r="AK50" i="50"/>
  <c r="AM49" i="50"/>
  <c r="AK51" i="50"/>
  <c r="AM50" i="50"/>
  <c r="AK52" i="50"/>
  <c r="AM52" i="50"/>
  <c r="AM51" i="50"/>
  <c r="AK53" i="50"/>
  <c r="AM46" i="50"/>
  <c r="AK48" i="50"/>
  <c r="AM53" i="50"/>
  <c r="AK46" i="50"/>
  <c r="AI7" i="50"/>
  <c r="AG10" i="50"/>
  <c r="AG8" i="50"/>
  <c r="AG14" i="50"/>
  <c r="AG11" i="50"/>
  <c r="AG12" i="50"/>
  <c r="AG13" i="50"/>
  <c r="AI14" i="50"/>
  <c r="AI8" i="50"/>
  <c r="AI12" i="50"/>
  <c r="AG9" i="50"/>
  <c r="AI11" i="50"/>
  <c r="AI10" i="50"/>
  <c r="AI9" i="50"/>
  <c r="AI13" i="50"/>
  <c r="AQ40" i="50"/>
  <c r="AO40" i="50"/>
  <c r="AQ83" i="50"/>
  <c r="AO85" i="50"/>
  <c r="AQ84" i="50"/>
  <c r="AO86" i="50"/>
  <c r="AQ85" i="50"/>
  <c r="AO87" i="50"/>
  <c r="AQ80" i="50"/>
  <c r="AQ86" i="50"/>
  <c r="AQ87" i="50"/>
  <c r="AO81" i="50"/>
  <c r="AO80" i="50"/>
  <c r="AQ81" i="50"/>
  <c r="AO83" i="50"/>
  <c r="AO82" i="50"/>
  <c r="AO84" i="50"/>
  <c r="AQ82" i="50"/>
  <c r="AI59" i="50"/>
  <c r="AG61" i="50"/>
  <c r="AG58" i="50"/>
  <c r="AI58" i="50"/>
  <c r="AI60" i="50"/>
  <c r="AI54" i="50"/>
  <c r="AI61" i="50"/>
  <c r="AG55" i="50"/>
  <c r="AG54" i="50"/>
  <c r="AI56" i="50"/>
  <c r="AG60" i="50"/>
  <c r="AG56" i="50"/>
  <c r="AI55" i="50"/>
  <c r="AG57" i="50"/>
  <c r="AI57" i="50"/>
  <c r="AG59" i="50"/>
  <c r="AK88" i="50"/>
  <c r="AM89" i="50"/>
  <c r="AK89" i="50"/>
  <c r="AM88" i="50"/>
  <c r="AQ42" i="50"/>
  <c r="AO42" i="50"/>
  <c r="AI28" i="50"/>
  <c r="AG28" i="50"/>
  <c r="AG23" i="50"/>
  <c r="AI29" i="50"/>
  <c r="AG29" i="50"/>
  <c r="AI27" i="50"/>
  <c r="AI30" i="50"/>
  <c r="AG30" i="50"/>
  <c r="AI25" i="50"/>
  <c r="AI31" i="50"/>
  <c r="AG31" i="50"/>
  <c r="AI24" i="50"/>
  <c r="AG24" i="50"/>
  <c r="AG25" i="50"/>
  <c r="AI26" i="50"/>
  <c r="AG26" i="50"/>
  <c r="AI23" i="50"/>
  <c r="AG27" i="50"/>
  <c r="AM69" i="50"/>
  <c r="AK71" i="50"/>
  <c r="AM64" i="50"/>
  <c r="AM70" i="50"/>
  <c r="AM71" i="50"/>
  <c r="AK65" i="50"/>
  <c r="AK64" i="50"/>
  <c r="AK66" i="50"/>
  <c r="AK68" i="50"/>
  <c r="AM65" i="50"/>
  <c r="AK67" i="50"/>
  <c r="AM66" i="50"/>
  <c r="AM67" i="50"/>
  <c r="AK69" i="50"/>
  <c r="AM68" i="50"/>
  <c r="AK70" i="50"/>
  <c r="AM103" i="50"/>
  <c r="AK97" i="50"/>
  <c r="AK96" i="50"/>
  <c r="AJ96" i="50" s="1"/>
  <c r="AK98" i="50"/>
  <c r="AM97" i="50"/>
  <c r="AK99" i="50"/>
  <c r="AM98" i="50"/>
  <c r="AK100" i="50"/>
  <c r="AM99" i="50"/>
  <c r="AK101" i="50"/>
  <c r="AM101" i="50"/>
  <c r="AK103" i="50"/>
  <c r="AM96" i="50"/>
  <c r="AK102" i="50"/>
  <c r="AM102" i="50"/>
  <c r="AM100" i="50"/>
  <c r="P117" i="49"/>
  <c r="O117" i="49"/>
  <c r="N117" i="49"/>
  <c r="L117" i="49"/>
  <c r="K117" i="49"/>
  <c r="J117" i="49"/>
  <c r="H117" i="49"/>
  <c r="G117" i="49"/>
  <c r="F117" i="49"/>
  <c r="AO62" i="50" l="1"/>
  <c r="AK7" i="50"/>
  <c r="AK13" i="50"/>
  <c r="AK12" i="50"/>
  <c r="AK10" i="50"/>
  <c r="AK9" i="50"/>
  <c r="AM8" i="50"/>
  <c r="AM14" i="50"/>
  <c r="AK11" i="50"/>
  <c r="AM7" i="50"/>
  <c r="AM12" i="50"/>
  <c r="AM11" i="50"/>
  <c r="AM9" i="50"/>
  <c r="AK8" i="50"/>
  <c r="AM10" i="50"/>
  <c r="AM13" i="50"/>
  <c r="AK14" i="50"/>
  <c r="AQ10" i="50"/>
  <c r="AO12" i="50"/>
  <c r="AQ11" i="50"/>
  <c r="AO13" i="50"/>
  <c r="AQ12" i="50"/>
  <c r="AO14" i="50"/>
  <c r="AQ7" i="50"/>
  <c r="AQ9" i="50"/>
  <c r="AQ13" i="50"/>
  <c r="AQ14" i="50"/>
  <c r="AO8" i="50"/>
  <c r="AO7" i="50"/>
  <c r="AO9" i="50"/>
  <c r="AQ8" i="50"/>
  <c r="AO10" i="50"/>
  <c r="AO11" i="50"/>
  <c r="O12" i="48"/>
  <c r="O11" i="48"/>
  <c r="O15" i="48"/>
  <c r="O14" i="48"/>
  <c r="O13" i="48"/>
  <c r="R13" i="48" l="1"/>
  <c r="P10" i="48"/>
  <c r="P11" i="48"/>
  <c r="Q14" i="48"/>
  <c r="Q15" i="48"/>
  <c r="P12" i="48"/>
  <c r="R10" i="48"/>
  <c r="R12" i="48"/>
  <c r="Q11" i="48"/>
  <c r="P14" i="48"/>
  <c r="P15" i="48"/>
  <c r="P13" i="48"/>
  <c r="Q13" i="48"/>
  <c r="R14" i="48"/>
  <c r="R15" i="48"/>
  <c r="Q10" i="48"/>
  <c r="R11" i="48"/>
  <c r="Q12" i="48"/>
  <c r="C108" i="49" a="1"/>
  <c r="C108" i="49" s="1"/>
  <c r="H108" i="49" s="1"/>
  <c r="C109" i="49" a="1"/>
  <c r="C109" i="49" s="1"/>
  <c r="L109" i="49" s="1"/>
  <c r="C110" i="49" a="1"/>
  <c r="C110" i="49" s="1"/>
  <c r="N110" i="49" s="1"/>
  <c r="C111" i="49" a="1"/>
  <c r="C111" i="49" s="1"/>
  <c r="H111" i="49" s="1"/>
  <c r="C112" i="49" a="1"/>
  <c r="C112" i="49" s="1"/>
  <c r="N112" i="49" s="1"/>
  <c r="C101" i="49" a="1"/>
  <c r="C101" i="49" s="1"/>
  <c r="C102" i="49" a="1"/>
  <c r="C102" i="49" s="1"/>
  <c r="L102" i="49" s="1"/>
  <c r="C103" i="49" a="1"/>
  <c r="C103" i="49" s="1"/>
  <c r="H103" i="49" s="1"/>
  <c r="C104" i="49" a="1"/>
  <c r="C104" i="49" s="1"/>
  <c r="C105" i="49" a="1"/>
  <c r="C105" i="49" s="1"/>
  <c r="L105" i="49" s="1"/>
  <c r="C106" i="49" a="1"/>
  <c r="C106" i="49" s="1"/>
  <c r="H106" i="49" s="1"/>
  <c r="C107" i="49" a="1"/>
  <c r="C107" i="49" s="1"/>
  <c r="L107" i="49" s="1"/>
  <c r="G104" i="49" l="1"/>
  <c r="K104" i="49"/>
  <c r="N104" i="49"/>
  <c r="J101" i="49"/>
  <c r="M101" i="49"/>
  <c r="K101" i="49"/>
  <c r="G101" i="49"/>
  <c r="I109" i="49"/>
  <c r="J109" i="49"/>
  <c r="M112" i="49"/>
  <c r="I103" i="49"/>
  <c r="G106" i="49"/>
  <c r="N106" i="49"/>
  <c r="K106" i="49"/>
  <c r="J112" i="49"/>
  <c r="R112" i="49" s="1"/>
  <c r="K112" i="49"/>
  <c r="G112" i="49"/>
  <c r="M104" i="49"/>
  <c r="M102" i="49"/>
  <c r="H104" i="49"/>
  <c r="L104" i="49"/>
  <c r="G111" i="49"/>
  <c r="J111" i="49"/>
  <c r="K111" i="49"/>
  <c r="N111" i="49"/>
  <c r="N103" i="49"/>
  <c r="M108" i="49"/>
  <c r="J110" i="49"/>
  <c r="R110" i="49" s="1"/>
  <c r="I105" i="49"/>
  <c r="K110" i="49"/>
  <c r="G110" i="49"/>
  <c r="J106" i="49"/>
  <c r="M111" i="49"/>
  <c r="L106" i="49"/>
  <c r="J105" i="49"/>
  <c r="H110" i="49"/>
  <c r="I111" i="49"/>
  <c r="J108" i="49"/>
  <c r="M109" i="49"/>
  <c r="G109" i="49"/>
  <c r="K109" i="49"/>
  <c r="I104" i="49"/>
  <c r="H101" i="49"/>
  <c r="N109" i="49"/>
  <c r="H109" i="49"/>
  <c r="P109" i="49" s="1"/>
  <c r="I101" i="49"/>
  <c r="K107" i="49"/>
  <c r="M107" i="49"/>
  <c r="H107" i="49"/>
  <c r="G107" i="49"/>
  <c r="I108" i="49"/>
  <c r="K108" i="49"/>
  <c r="N108" i="49"/>
  <c r="G108" i="49"/>
  <c r="J104" i="49"/>
  <c r="L112" i="49"/>
  <c r="L110" i="49"/>
  <c r="J102" i="49"/>
  <c r="I110" i="49"/>
  <c r="L101" i="49"/>
  <c r="N107" i="49"/>
  <c r="G105" i="49"/>
  <c r="N105" i="49"/>
  <c r="K105" i="49"/>
  <c r="L103" i="49"/>
  <c r="K103" i="49"/>
  <c r="G103" i="49"/>
  <c r="M110" i="49"/>
  <c r="I107" i="49"/>
  <c r="I106" i="49"/>
  <c r="N101" i="49"/>
  <c r="J107" i="49"/>
  <c r="M105" i="49"/>
  <c r="H112" i="49"/>
  <c r="I112" i="49"/>
  <c r="K102" i="49"/>
  <c r="G102" i="49"/>
  <c r="N102" i="49"/>
  <c r="I102" i="49"/>
  <c r="M106" i="49"/>
  <c r="L111" i="49"/>
  <c r="P111" i="49" s="1"/>
  <c r="M103" i="49"/>
  <c r="L108" i="49"/>
  <c r="P108" i="49" s="1"/>
  <c r="H105" i="49"/>
  <c r="H102" i="49"/>
  <c r="J103" i="49"/>
  <c r="C208" i="49" a="1"/>
  <c r="C208" i="49" s="1"/>
  <c r="C209" i="49" a="1"/>
  <c r="C209" i="49" s="1"/>
  <c r="C210" i="49" a="1"/>
  <c r="C210" i="49" s="1"/>
  <c r="C211" i="49" a="1"/>
  <c r="C211" i="49" s="1"/>
  <c r="C212" i="49" a="1"/>
  <c r="C212" i="49" s="1"/>
  <c r="C213" i="49" a="1"/>
  <c r="C213" i="49" s="1"/>
  <c r="C214" i="49" a="1"/>
  <c r="C214" i="49" s="1"/>
  <c r="C215" i="49" a="1"/>
  <c r="C215" i="49" s="1"/>
  <c r="C126" i="49" a="1"/>
  <c r="C126" i="49" s="1"/>
  <c r="C127" i="49" a="1"/>
  <c r="C127" i="49" s="1"/>
  <c r="C128" i="49" a="1"/>
  <c r="C128" i="49" s="1"/>
  <c r="C129" i="49" a="1"/>
  <c r="C129" i="49" s="1"/>
  <c r="C130" i="49" a="1"/>
  <c r="C130" i="49" s="1"/>
  <c r="C131" i="49" a="1"/>
  <c r="C131" i="49" s="1"/>
  <c r="C132" i="49" a="1"/>
  <c r="C132" i="49" s="1"/>
  <c r="C133" i="49" a="1"/>
  <c r="C133" i="49" s="1"/>
  <c r="C134" i="49" a="1"/>
  <c r="C134" i="49" s="1"/>
  <c r="C135" i="49" a="1"/>
  <c r="C135" i="49" s="1"/>
  <c r="C136" i="49" a="1"/>
  <c r="C136" i="49" s="1"/>
  <c r="C137" i="49" a="1"/>
  <c r="C137" i="49" s="1"/>
  <c r="C138" i="49" a="1"/>
  <c r="C138" i="49" s="1"/>
  <c r="C139" i="49" a="1"/>
  <c r="C139" i="49" s="1"/>
  <c r="C140" i="49" a="1"/>
  <c r="C140" i="49" s="1"/>
  <c r="C141" i="49" a="1"/>
  <c r="C141" i="49" s="1"/>
  <c r="C142" i="49" a="1"/>
  <c r="C142" i="49" s="1"/>
  <c r="C143" i="49" a="1"/>
  <c r="C143" i="49" s="1"/>
  <c r="C144" i="49" a="1"/>
  <c r="C144" i="49" s="1"/>
  <c r="C145" i="49" a="1"/>
  <c r="C145" i="49" s="1"/>
  <c r="C146" i="49" a="1"/>
  <c r="C146" i="49" s="1"/>
  <c r="C147" i="49" a="1"/>
  <c r="C147" i="49" s="1"/>
  <c r="C148" i="49" a="1"/>
  <c r="C148" i="49" s="1"/>
  <c r="C149" i="49" a="1"/>
  <c r="C149" i="49" s="1"/>
  <c r="C150" i="49" a="1"/>
  <c r="C150" i="49" s="1"/>
  <c r="C151" i="49" a="1"/>
  <c r="C151" i="49" s="1"/>
  <c r="C152" i="49" a="1"/>
  <c r="C152" i="49" s="1"/>
  <c r="C153" i="49" a="1"/>
  <c r="C153" i="49" s="1"/>
  <c r="C154" i="49" a="1"/>
  <c r="C154" i="49" s="1"/>
  <c r="C155" i="49" a="1"/>
  <c r="C155" i="49" s="1"/>
  <c r="C156" i="49" a="1"/>
  <c r="C156" i="49" s="1"/>
  <c r="C157" i="49" a="1"/>
  <c r="C157" i="49" s="1"/>
  <c r="C158" i="49" a="1"/>
  <c r="C158" i="49" s="1"/>
  <c r="C159" i="49" a="1"/>
  <c r="C159" i="49" s="1"/>
  <c r="C160" i="49" a="1"/>
  <c r="C160" i="49" s="1"/>
  <c r="C161" i="49" a="1"/>
  <c r="C161" i="49" s="1"/>
  <c r="C162" i="49" a="1"/>
  <c r="C162" i="49" s="1"/>
  <c r="C163" i="49" a="1"/>
  <c r="C163" i="49" s="1"/>
  <c r="C164" i="49" a="1"/>
  <c r="C164" i="49" s="1"/>
  <c r="C165" i="49" a="1"/>
  <c r="C165" i="49" s="1"/>
  <c r="C166" i="49" a="1"/>
  <c r="C166" i="49" s="1"/>
  <c r="C167" i="49" a="1"/>
  <c r="C167" i="49" s="1"/>
  <c r="C168" i="49" a="1"/>
  <c r="C168" i="49" s="1"/>
  <c r="C169" i="49" a="1"/>
  <c r="C169" i="49" s="1"/>
  <c r="C170" i="49" a="1"/>
  <c r="C170" i="49" s="1"/>
  <c r="C171" i="49" a="1"/>
  <c r="C171" i="49" s="1"/>
  <c r="C172" i="49" a="1"/>
  <c r="C172" i="49" s="1"/>
  <c r="C173" i="49" a="1"/>
  <c r="C173" i="49" s="1"/>
  <c r="C174" i="49" a="1"/>
  <c r="C174" i="49" s="1"/>
  <c r="C175" i="49" a="1"/>
  <c r="C175" i="49" s="1"/>
  <c r="C176" i="49" a="1"/>
  <c r="C176" i="49" s="1"/>
  <c r="C177" i="49" a="1"/>
  <c r="C177" i="49" s="1"/>
  <c r="C178" i="49" a="1"/>
  <c r="C178" i="49" s="1"/>
  <c r="C179" i="49" a="1"/>
  <c r="C179" i="49" s="1"/>
  <c r="C180" i="49" a="1"/>
  <c r="C180" i="49" s="1"/>
  <c r="C181" i="49" a="1"/>
  <c r="C181" i="49" s="1"/>
  <c r="C182" i="49" a="1"/>
  <c r="C182" i="49" s="1"/>
  <c r="C183" i="49" a="1"/>
  <c r="C183" i="49" s="1"/>
  <c r="C184" i="49" a="1"/>
  <c r="C184" i="49" s="1"/>
  <c r="C185" i="49" a="1"/>
  <c r="C185" i="49" s="1"/>
  <c r="C186" i="49" a="1"/>
  <c r="C186" i="49" s="1"/>
  <c r="C187" i="49" a="1"/>
  <c r="C187" i="49" s="1"/>
  <c r="C188" i="49" a="1"/>
  <c r="C188" i="49" s="1"/>
  <c r="C189" i="49" a="1"/>
  <c r="C189" i="49" s="1"/>
  <c r="C190" i="49" a="1"/>
  <c r="C190" i="49" s="1"/>
  <c r="C191" i="49" a="1"/>
  <c r="C191" i="49" s="1"/>
  <c r="C192" i="49" a="1"/>
  <c r="C192" i="49" s="1"/>
  <c r="C193" i="49" a="1"/>
  <c r="C193" i="49" s="1"/>
  <c r="C194" i="49" a="1"/>
  <c r="C194" i="49" s="1"/>
  <c r="C195" i="49" a="1"/>
  <c r="C195" i="49" s="1"/>
  <c r="C196" i="49" a="1"/>
  <c r="C196" i="49" s="1"/>
  <c r="C197" i="49" a="1"/>
  <c r="C197" i="49" s="1"/>
  <c r="C198" i="49" a="1"/>
  <c r="C198" i="49" s="1"/>
  <c r="C199" i="49" a="1"/>
  <c r="C199" i="49" s="1"/>
  <c r="C200" i="49" a="1"/>
  <c r="C200" i="49" s="1"/>
  <c r="C201" i="49" a="1"/>
  <c r="C201" i="49" s="1"/>
  <c r="C202" i="49" a="1"/>
  <c r="C202" i="49" s="1"/>
  <c r="C203" i="49" a="1"/>
  <c r="C203" i="49" s="1"/>
  <c r="C204" i="49" a="1"/>
  <c r="C204" i="49" s="1"/>
  <c r="C205" i="49" a="1"/>
  <c r="C205" i="49" s="1"/>
  <c r="C206" i="49" a="1"/>
  <c r="C206" i="49" s="1"/>
  <c r="C207" i="49" a="1"/>
  <c r="C207" i="49" s="1"/>
  <c r="Q118" i="49"/>
  <c r="P118" i="49"/>
  <c r="O118" i="49"/>
  <c r="N118" i="49"/>
  <c r="M118" i="49"/>
  <c r="L118" i="49"/>
  <c r="K118" i="49"/>
  <c r="J118" i="49"/>
  <c r="I118" i="49"/>
  <c r="H118" i="49"/>
  <c r="G118" i="49"/>
  <c r="F118" i="49"/>
  <c r="C125" i="49" a="1"/>
  <c r="C125" i="49" s="1"/>
  <c r="C121" i="49" a="1"/>
  <c r="C121" i="49" s="1"/>
  <c r="C122" i="49" a="1"/>
  <c r="C122" i="49" s="1"/>
  <c r="C123" i="49" a="1"/>
  <c r="C123" i="49" s="1"/>
  <c r="C124" i="49" a="1"/>
  <c r="C124" i="49" s="1"/>
  <c r="C120" i="49" a="1"/>
  <c r="C120" i="49" s="1"/>
  <c r="C100" i="49" a="1"/>
  <c r="C100" i="49" s="1"/>
  <c r="C99" i="49" a="1"/>
  <c r="C99" i="49" s="1"/>
  <c r="C84" i="49" a="1"/>
  <c r="C84" i="49" s="1"/>
  <c r="C85" i="49" a="1"/>
  <c r="C85" i="49" s="1"/>
  <c r="C86" i="49" a="1"/>
  <c r="C86" i="49" s="1"/>
  <c r="C87" i="49" a="1"/>
  <c r="C87" i="49" s="1"/>
  <c r="C88" i="49" a="1"/>
  <c r="C88" i="49" s="1"/>
  <c r="C89" i="49" a="1"/>
  <c r="C89" i="49" s="1"/>
  <c r="C90" i="49" a="1"/>
  <c r="C90" i="49" s="1"/>
  <c r="C91" i="49" a="1"/>
  <c r="C91" i="49" s="1"/>
  <c r="C92" i="49" a="1"/>
  <c r="C92" i="49" s="1"/>
  <c r="C93" i="49" a="1"/>
  <c r="C93" i="49" s="1"/>
  <c r="C94" i="49" a="1"/>
  <c r="C94" i="49" s="1"/>
  <c r="C95" i="49" a="1"/>
  <c r="C95" i="49" s="1"/>
  <c r="C96" i="49" a="1"/>
  <c r="C96" i="49" s="1"/>
  <c r="C97" i="49" a="1"/>
  <c r="C97" i="49" s="1"/>
  <c r="C98" i="49" a="1"/>
  <c r="C98" i="49" s="1"/>
  <c r="C70" i="49" a="1"/>
  <c r="C70" i="49" s="1"/>
  <c r="C71" i="49" a="1"/>
  <c r="C71" i="49" s="1"/>
  <c r="C72" i="49" a="1"/>
  <c r="C72" i="49" s="1"/>
  <c r="C73" i="49" a="1"/>
  <c r="C73" i="49" s="1"/>
  <c r="C74" i="49" a="1"/>
  <c r="C74" i="49" s="1"/>
  <c r="C75" i="49" a="1"/>
  <c r="C75" i="49" s="1"/>
  <c r="C76" i="49" a="1"/>
  <c r="C76" i="49" s="1"/>
  <c r="C77" i="49" a="1"/>
  <c r="C77" i="49" s="1"/>
  <c r="C78" i="49" a="1"/>
  <c r="C78" i="49" s="1"/>
  <c r="C79" i="49" a="1"/>
  <c r="C79" i="49" s="1"/>
  <c r="C80" i="49" a="1"/>
  <c r="C80" i="49" s="1"/>
  <c r="C81" i="49" a="1"/>
  <c r="C81" i="49" s="1"/>
  <c r="C82" i="49" a="1"/>
  <c r="C82" i="49" s="1"/>
  <c r="C83" i="49" a="1"/>
  <c r="C83" i="49" s="1"/>
  <c r="C57" i="49" a="1"/>
  <c r="C57" i="49" s="1"/>
  <c r="C58" i="49" a="1"/>
  <c r="C58" i="49" s="1"/>
  <c r="C59" i="49" a="1"/>
  <c r="C59" i="49" s="1"/>
  <c r="C60" i="49" a="1"/>
  <c r="C60" i="49" s="1"/>
  <c r="C61" i="49" a="1"/>
  <c r="C61" i="49" s="1"/>
  <c r="C62" i="49" a="1"/>
  <c r="C62" i="49" s="1"/>
  <c r="C63" i="49" a="1"/>
  <c r="C63" i="49" s="1"/>
  <c r="C64" i="49" a="1"/>
  <c r="C64" i="49" s="1"/>
  <c r="C65" i="49" a="1"/>
  <c r="C65" i="49" s="1"/>
  <c r="C66" i="49" a="1"/>
  <c r="C66" i="49" s="1"/>
  <c r="C67" i="49" a="1"/>
  <c r="C67" i="49" s="1"/>
  <c r="C68" i="49" a="1"/>
  <c r="C68" i="49" s="1"/>
  <c r="C69" i="49" a="1"/>
  <c r="C69" i="49" s="1"/>
  <c r="C24" i="49" a="1"/>
  <c r="C24" i="49" s="1"/>
  <c r="C25" i="49" a="1"/>
  <c r="C25" i="49" s="1"/>
  <c r="C26" i="49" a="1"/>
  <c r="C26" i="49" s="1"/>
  <c r="C27" i="49" a="1"/>
  <c r="C27" i="49" s="1"/>
  <c r="C28" i="49" a="1"/>
  <c r="C28" i="49" s="1"/>
  <c r="C29" i="49" a="1"/>
  <c r="C29" i="49" s="1"/>
  <c r="C30" i="49" a="1"/>
  <c r="C30" i="49" s="1"/>
  <c r="C31" i="49" a="1"/>
  <c r="C31" i="49" s="1"/>
  <c r="C32" i="49" a="1"/>
  <c r="C32" i="49" s="1"/>
  <c r="C33" i="49" a="1"/>
  <c r="C33" i="49" s="1"/>
  <c r="C34" i="49" a="1"/>
  <c r="C34" i="49" s="1"/>
  <c r="C35" i="49" a="1"/>
  <c r="C35" i="49" s="1"/>
  <c r="C36" i="49" a="1"/>
  <c r="C36" i="49" s="1"/>
  <c r="C37" i="49" a="1"/>
  <c r="C37" i="49" s="1"/>
  <c r="C38" i="49" a="1"/>
  <c r="C38" i="49" s="1"/>
  <c r="C39" i="49" a="1"/>
  <c r="C39" i="49" s="1"/>
  <c r="C40" i="49" a="1"/>
  <c r="C40" i="49" s="1"/>
  <c r="C41" i="49" a="1"/>
  <c r="C41" i="49" s="1"/>
  <c r="C42" i="49" a="1"/>
  <c r="C42" i="49" s="1"/>
  <c r="C43" i="49" a="1"/>
  <c r="C43" i="49" s="1"/>
  <c r="C44" i="49" a="1"/>
  <c r="C44" i="49" s="1"/>
  <c r="C45" i="49" a="1"/>
  <c r="C45" i="49" s="1"/>
  <c r="C46" i="49" a="1"/>
  <c r="C46" i="49" s="1"/>
  <c r="C47" i="49" a="1"/>
  <c r="C47" i="49" s="1"/>
  <c r="C48" i="49" a="1"/>
  <c r="C48" i="49" s="1"/>
  <c r="C49" i="49" a="1"/>
  <c r="C49" i="49" s="1"/>
  <c r="C50" i="49" a="1"/>
  <c r="C50" i="49" s="1"/>
  <c r="C51" i="49" a="1"/>
  <c r="C51" i="49" s="1"/>
  <c r="C52" i="49" a="1"/>
  <c r="C52" i="49" s="1"/>
  <c r="C53" i="49" a="1"/>
  <c r="C53" i="49" s="1"/>
  <c r="C54" i="49" a="1"/>
  <c r="C54" i="49" s="1"/>
  <c r="C55" i="49" a="1"/>
  <c r="C55" i="49" s="1"/>
  <c r="C56" i="49" a="1"/>
  <c r="C56" i="49" s="1"/>
  <c r="C6" i="49" a="1"/>
  <c r="C6" i="49" s="1"/>
  <c r="C7" i="49" a="1"/>
  <c r="C7" i="49" s="1"/>
  <c r="C8" i="49" a="1"/>
  <c r="C8" i="49" s="1"/>
  <c r="C9" i="49" a="1"/>
  <c r="C9" i="49" s="1"/>
  <c r="C10" i="49" a="1"/>
  <c r="C10" i="49" s="1"/>
  <c r="C11" i="49" a="1"/>
  <c r="C11" i="49" s="1"/>
  <c r="C12" i="49" a="1"/>
  <c r="C12" i="49" s="1"/>
  <c r="C13" i="49" a="1"/>
  <c r="C13" i="49" s="1"/>
  <c r="C14" i="49" a="1"/>
  <c r="C14" i="49" s="1"/>
  <c r="C15" i="49" a="1"/>
  <c r="C15" i="49" s="1"/>
  <c r="C16" i="49" a="1"/>
  <c r="C16" i="49" s="1"/>
  <c r="C17" i="49" a="1"/>
  <c r="C17" i="49" s="1"/>
  <c r="C18" i="49" a="1"/>
  <c r="C18" i="49" s="1"/>
  <c r="C19" i="49" a="1"/>
  <c r="C19" i="49" s="1"/>
  <c r="C20" i="49" a="1"/>
  <c r="C20" i="49" s="1"/>
  <c r="C21" i="49" a="1"/>
  <c r="C21" i="49" s="1"/>
  <c r="C22" i="49" a="1"/>
  <c r="C22" i="49" s="1"/>
  <c r="C23" i="49" a="1"/>
  <c r="C23" i="49" s="1"/>
  <c r="C5" i="49" a="1"/>
  <c r="C5" i="49" s="1"/>
  <c r="Q108" i="49" l="1"/>
  <c r="Q112" i="49"/>
  <c r="R109" i="49"/>
  <c r="O109" i="49"/>
  <c r="O112" i="49"/>
  <c r="Q109" i="49"/>
  <c r="R111" i="49"/>
  <c r="O108" i="49"/>
  <c r="Q111" i="49"/>
  <c r="O110" i="49"/>
  <c r="R108" i="49"/>
  <c r="O111" i="49"/>
  <c r="P110" i="49"/>
  <c r="Q110" i="49"/>
  <c r="P112" i="49"/>
  <c r="G51" i="49"/>
  <c r="K51" i="49"/>
  <c r="J166" i="49" s="1"/>
  <c r="H51" i="49"/>
  <c r="L51" i="49"/>
  <c r="K166" i="49" s="1"/>
  <c r="M51" i="49"/>
  <c r="L166" i="49" s="1"/>
  <c r="I51" i="49"/>
  <c r="J51" i="49"/>
  <c r="N51" i="49"/>
  <c r="M166" i="49" s="1"/>
  <c r="M19" i="49"/>
  <c r="K19" i="49"/>
  <c r="J134" i="49" s="1"/>
  <c r="G19" i="49"/>
  <c r="L19" i="49"/>
  <c r="K134" i="49" s="1"/>
  <c r="N19" i="49"/>
  <c r="M134" i="49" s="1"/>
  <c r="J19" i="49"/>
  <c r="H19" i="49"/>
  <c r="I19" i="49"/>
  <c r="G46" i="49"/>
  <c r="K46" i="49"/>
  <c r="L46" i="49"/>
  <c r="H46" i="49"/>
  <c r="N46" i="49"/>
  <c r="I46" i="49"/>
  <c r="J46" i="49"/>
  <c r="M46" i="49"/>
  <c r="K30" i="49"/>
  <c r="G30" i="49"/>
  <c r="I30" i="49"/>
  <c r="M30" i="49"/>
  <c r="N30" i="49"/>
  <c r="L30" i="49"/>
  <c r="H30" i="49"/>
  <c r="J30" i="49"/>
  <c r="K68" i="49"/>
  <c r="G68" i="49"/>
  <c r="I68" i="49"/>
  <c r="J68" i="49"/>
  <c r="N68" i="49"/>
  <c r="M183" i="49" s="1"/>
  <c r="H68" i="49"/>
  <c r="M68" i="49"/>
  <c r="L68" i="49"/>
  <c r="K183" i="49" s="1"/>
  <c r="G79" i="49"/>
  <c r="M79" i="49"/>
  <c r="J79" i="49"/>
  <c r="K79" i="49"/>
  <c r="J194" i="49" s="1"/>
  <c r="N79" i="49"/>
  <c r="L79" i="49"/>
  <c r="I79" i="49"/>
  <c r="H79" i="49"/>
  <c r="N84" i="49"/>
  <c r="K84" i="49"/>
  <c r="G84" i="49"/>
  <c r="I84" i="49"/>
  <c r="J84" i="49"/>
  <c r="L84" i="49"/>
  <c r="M84" i="49"/>
  <c r="H84" i="49"/>
  <c r="N18" i="49"/>
  <c r="K18" i="49"/>
  <c r="I18" i="49"/>
  <c r="G18" i="49"/>
  <c r="M18" i="49"/>
  <c r="L18" i="49"/>
  <c r="H18" i="49"/>
  <c r="J18" i="49"/>
  <c r="K10" i="49"/>
  <c r="J125" i="49" s="1"/>
  <c r="L10" i="49"/>
  <c r="K125" i="49" s="1"/>
  <c r="M10" i="49"/>
  <c r="L125" i="49" s="1"/>
  <c r="N10" i="49"/>
  <c r="M125" i="49" s="1"/>
  <c r="G10" i="49"/>
  <c r="I10" i="49"/>
  <c r="J10" i="49"/>
  <c r="H10" i="49"/>
  <c r="I53" i="49"/>
  <c r="G53" i="49"/>
  <c r="M53" i="49"/>
  <c r="K53" i="49"/>
  <c r="J168" i="49" s="1"/>
  <c r="H53" i="49"/>
  <c r="L53" i="49"/>
  <c r="J53" i="49"/>
  <c r="N53" i="49"/>
  <c r="K45" i="49"/>
  <c r="J160" i="49" s="1"/>
  <c r="G45" i="49"/>
  <c r="N45" i="49"/>
  <c r="M160" i="49" s="1"/>
  <c r="J45" i="49"/>
  <c r="I45" i="49"/>
  <c r="H45" i="49"/>
  <c r="L45" i="49"/>
  <c r="K160" i="49" s="1"/>
  <c r="M45" i="49"/>
  <c r="L160" i="49" s="1"/>
  <c r="G37" i="49"/>
  <c r="M37" i="49"/>
  <c r="I37" i="49"/>
  <c r="K37" i="49"/>
  <c r="J152" i="49" s="1"/>
  <c r="J37" i="49"/>
  <c r="L37" i="49"/>
  <c r="N37" i="49"/>
  <c r="H37" i="49"/>
  <c r="K29" i="49"/>
  <c r="J144" i="49" s="1"/>
  <c r="H29" i="49"/>
  <c r="L29" i="49"/>
  <c r="K144" i="49" s="1"/>
  <c r="G29" i="49"/>
  <c r="N29" i="49"/>
  <c r="J29" i="49"/>
  <c r="I29" i="49"/>
  <c r="M29" i="49"/>
  <c r="G67" i="49"/>
  <c r="I67" i="49"/>
  <c r="M67" i="49"/>
  <c r="K67" i="49"/>
  <c r="J182" i="49" s="1"/>
  <c r="H67" i="49"/>
  <c r="N67" i="49"/>
  <c r="J67" i="49"/>
  <c r="L67" i="49"/>
  <c r="K182" i="49" s="1"/>
  <c r="G59" i="49"/>
  <c r="M59" i="49"/>
  <c r="K59" i="49"/>
  <c r="J174" i="49" s="1"/>
  <c r="H59" i="49"/>
  <c r="N59" i="49"/>
  <c r="L59" i="49"/>
  <c r="J59" i="49"/>
  <c r="I59" i="49"/>
  <c r="K78" i="49"/>
  <c r="G78" i="49"/>
  <c r="I78" i="49"/>
  <c r="H78" i="49"/>
  <c r="N78" i="49"/>
  <c r="M78" i="49"/>
  <c r="J78" i="49"/>
  <c r="L78" i="49"/>
  <c r="G70" i="49"/>
  <c r="I70" i="49"/>
  <c r="N70" i="49"/>
  <c r="K70" i="49"/>
  <c r="J185" i="49" s="1"/>
  <c r="M70" i="49"/>
  <c r="J70" i="49"/>
  <c r="L70" i="49"/>
  <c r="H70" i="49"/>
  <c r="K91" i="49"/>
  <c r="J206" i="49" s="1"/>
  <c r="G91" i="49"/>
  <c r="H91" i="49"/>
  <c r="M91" i="49"/>
  <c r="I91" i="49"/>
  <c r="J91" i="49"/>
  <c r="L91" i="49"/>
  <c r="N91" i="49"/>
  <c r="M99" i="49"/>
  <c r="G99" i="49"/>
  <c r="I99" i="49"/>
  <c r="K99" i="49"/>
  <c r="J214" i="49" s="1"/>
  <c r="H99" i="49"/>
  <c r="L99" i="49"/>
  <c r="K214" i="49" s="1"/>
  <c r="J99" i="49"/>
  <c r="N99" i="49"/>
  <c r="M214" i="49" s="1"/>
  <c r="G43" i="49"/>
  <c r="H43" i="49"/>
  <c r="K43" i="49"/>
  <c r="J158" i="49" s="1"/>
  <c r="N43" i="49"/>
  <c r="M158" i="49" s="1"/>
  <c r="M43" i="49"/>
  <c r="J43" i="49"/>
  <c r="I43" i="49"/>
  <c r="L43" i="49"/>
  <c r="N11" i="49"/>
  <c r="M126" i="49" s="1"/>
  <c r="G11" i="49"/>
  <c r="K11" i="49"/>
  <c r="J126" i="49" s="1"/>
  <c r="L11" i="49"/>
  <c r="I11" i="49"/>
  <c r="H11" i="49"/>
  <c r="M11" i="49"/>
  <c r="J11" i="49"/>
  <c r="G54" i="49"/>
  <c r="J54" i="49"/>
  <c r="K54" i="49"/>
  <c r="N54" i="49"/>
  <c r="L54" i="49"/>
  <c r="H54" i="49"/>
  <c r="I54" i="49"/>
  <c r="M54" i="49"/>
  <c r="J38" i="49"/>
  <c r="K38" i="49"/>
  <c r="G38" i="49"/>
  <c r="M38" i="49"/>
  <c r="I38" i="49"/>
  <c r="N38" i="49"/>
  <c r="L38" i="49"/>
  <c r="H38" i="49"/>
  <c r="J60" i="49"/>
  <c r="G60" i="49"/>
  <c r="K60" i="49"/>
  <c r="N60" i="49"/>
  <c r="I60" i="49"/>
  <c r="H60" i="49"/>
  <c r="M60" i="49"/>
  <c r="L60" i="49"/>
  <c r="G71" i="49"/>
  <c r="L71" i="49"/>
  <c r="K186" i="49" s="1"/>
  <c r="K71" i="49"/>
  <c r="J186" i="49" s="1"/>
  <c r="M71" i="49"/>
  <c r="I71" i="49"/>
  <c r="J71" i="49"/>
  <c r="H71" i="49"/>
  <c r="N71" i="49"/>
  <c r="G92" i="49"/>
  <c r="I92" i="49"/>
  <c r="K92" i="49"/>
  <c r="H92" i="49"/>
  <c r="N92" i="49"/>
  <c r="M92" i="49"/>
  <c r="L92" i="49"/>
  <c r="J92" i="49"/>
  <c r="G17" i="49"/>
  <c r="N17" i="49"/>
  <c r="M132" i="49" s="1"/>
  <c r="K17" i="49"/>
  <c r="J132" i="49" s="1"/>
  <c r="I17" i="49"/>
  <c r="M17" i="49"/>
  <c r="L17" i="49"/>
  <c r="K132" i="49" s="1"/>
  <c r="J17" i="49"/>
  <c r="H17" i="49"/>
  <c r="L9" i="49"/>
  <c r="K124" i="49" s="1"/>
  <c r="M9" i="49"/>
  <c r="L124" i="49" s="1"/>
  <c r="N9" i="49"/>
  <c r="M124" i="49" s="1"/>
  <c r="K9" i="49"/>
  <c r="J124" i="49" s="1"/>
  <c r="G9" i="49"/>
  <c r="H9" i="49"/>
  <c r="I9" i="49"/>
  <c r="J9" i="49"/>
  <c r="K52" i="49"/>
  <c r="G52" i="49"/>
  <c r="I52" i="49"/>
  <c r="L52" i="49"/>
  <c r="N52" i="49"/>
  <c r="H52" i="49"/>
  <c r="J52" i="49"/>
  <c r="M52" i="49"/>
  <c r="J44" i="49"/>
  <c r="G44" i="49"/>
  <c r="K44" i="49"/>
  <c r="L44" i="49"/>
  <c r="M44" i="49"/>
  <c r="I44" i="49"/>
  <c r="H44" i="49"/>
  <c r="N44" i="49"/>
  <c r="K36" i="49"/>
  <c r="G36" i="49"/>
  <c r="I36" i="49"/>
  <c r="L36" i="49"/>
  <c r="N36" i="49"/>
  <c r="M36" i="49"/>
  <c r="J36" i="49"/>
  <c r="H36" i="49"/>
  <c r="K28" i="49"/>
  <c r="J143" i="49" s="1"/>
  <c r="L28" i="49"/>
  <c r="K143" i="49" s="1"/>
  <c r="M28" i="49"/>
  <c r="L143" i="49" s="1"/>
  <c r="N28" i="49"/>
  <c r="M143" i="49" s="1"/>
  <c r="H28" i="49"/>
  <c r="G28" i="49"/>
  <c r="I28" i="49"/>
  <c r="J28" i="49"/>
  <c r="K66" i="49"/>
  <c r="J181" i="49" s="1"/>
  <c r="G66" i="49"/>
  <c r="H66" i="49"/>
  <c r="I66" i="49"/>
  <c r="L66" i="49"/>
  <c r="K181" i="49" s="1"/>
  <c r="J66" i="49"/>
  <c r="N66" i="49"/>
  <c r="M181" i="49" s="1"/>
  <c r="M66" i="49"/>
  <c r="I58" i="49"/>
  <c r="G58" i="49"/>
  <c r="K58" i="49"/>
  <c r="M58" i="49"/>
  <c r="H58" i="49"/>
  <c r="N58" i="49"/>
  <c r="J58" i="49"/>
  <c r="L58" i="49"/>
  <c r="K77" i="49"/>
  <c r="J192" i="49" s="1"/>
  <c r="M77" i="49"/>
  <c r="G77" i="49"/>
  <c r="J77" i="49"/>
  <c r="H77" i="49"/>
  <c r="L77" i="49"/>
  <c r="I77" i="49"/>
  <c r="N77" i="49"/>
  <c r="H98" i="49"/>
  <c r="G98" i="49"/>
  <c r="K98" i="49"/>
  <c r="M98" i="49"/>
  <c r="L98" i="49"/>
  <c r="J98" i="49"/>
  <c r="I98" i="49"/>
  <c r="N98" i="49"/>
  <c r="K90" i="49"/>
  <c r="G90" i="49"/>
  <c r="I90" i="49"/>
  <c r="J90" i="49"/>
  <c r="N90" i="49"/>
  <c r="H90" i="49"/>
  <c r="M90" i="49"/>
  <c r="L90" i="49"/>
  <c r="G100" i="49"/>
  <c r="I100" i="49"/>
  <c r="K100" i="49"/>
  <c r="J215" i="49" s="1"/>
  <c r="J100" i="49"/>
  <c r="M100" i="49"/>
  <c r="L100" i="49"/>
  <c r="H100" i="49"/>
  <c r="N100" i="49"/>
  <c r="M35" i="49"/>
  <c r="G35" i="49"/>
  <c r="H35" i="49"/>
  <c r="K35" i="49"/>
  <c r="J150" i="49" s="1"/>
  <c r="I35" i="49"/>
  <c r="N35" i="49"/>
  <c r="M150" i="49" s="1"/>
  <c r="L35" i="49"/>
  <c r="J35" i="49"/>
  <c r="G5" i="49"/>
  <c r="K5" i="49"/>
  <c r="N5" i="49"/>
  <c r="L5" i="49"/>
  <c r="M5" i="49"/>
  <c r="K57" i="49"/>
  <c r="J172" i="49" s="1"/>
  <c r="G57" i="49"/>
  <c r="M57" i="49"/>
  <c r="L172" i="49" s="1"/>
  <c r="I57" i="49"/>
  <c r="H57" i="49"/>
  <c r="N57" i="49"/>
  <c r="M172" i="49" s="1"/>
  <c r="L57" i="49"/>
  <c r="K172" i="49" s="1"/>
  <c r="J57" i="49"/>
  <c r="M15" i="49"/>
  <c r="L130" i="49" s="1"/>
  <c r="N15" i="49"/>
  <c r="M130" i="49" s="1"/>
  <c r="K15" i="49"/>
  <c r="J130" i="49" s="1"/>
  <c r="I15" i="49"/>
  <c r="L15" i="49"/>
  <c r="K130" i="49" s="1"/>
  <c r="G15" i="49"/>
  <c r="H15" i="49"/>
  <c r="J15" i="49"/>
  <c r="G7" i="49"/>
  <c r="M7" i="49"/>
  <c r="K7" i="49"/>
  <c r="N7" i="49"/>
  <c r="J7" i="49"/>
  <c r="H7" i="49"/>
  <c r="L7" i="49"/>
  <c r="I7" i="49"/>
  <c r="K50" i="49"/>
  <c r="G50" i="49"/>
  <c r="H50" i="49"/>
  <c r="J50" i="49"/>
  <c r="L50" i="49"/>
  <c r="I50" i="49"/>
  <c r="N50" i="49"/>
  <c r="M50" i="49"/>
  <c r="I42" i="49"/>
  <c r="G42" i="49"/>
  <c r="N42" i="49"/>
  <c r="K42" i="49"/>
  <c r="M42" i="49"/>
  <c r="H42" i="49"/>
  <c r="L42" i="49"/>
  <c r="J42" i="49"/>
  <c r="K34" i="49"/>
  <c r="J149" i="49" s="1"/>
  <c r="L34" i="49"/>
  <c r="K149" i="49" s="1"/>
  <c r="M34" i="49"/>
  <c r="L149" i="49" s="1"/>
  <c r="N34" i="49"/>
  <c r="M149" i="49" s="1"/>
  <c r="G34" i="49"/>
  <c r="J34" i="49"/>
  <c r="I34" i="49"/>
  <c r="H34" i="49"/>
  <c r="G26" i="49"/>
  <c r="K26" i="49"/>
  <c r="I26" i="49"/>
  <c r="M26" i="49"/>
  <c r="H26" i="49"/>
  <c r="L26" i="49"/>
  <c r="N26" i="49"/>
  <c r="J26" i="49"/>
  <c r="I64" i="49"/>
  <c r="K64" i="49"/>
  <c r="G64" i="49"/>
  <c r="J64" i="49"/>
  <c r="N64" i="49"/>
  <c r="M64" i="49"/>
  <c r="L64" i="49"/>
  <c r="H64" i="49"/>
  <c r="G83" i="49"/>
  <c r="I83" i="49"/>
  <c r="K83" i="49"/>
  <c r="J198" i="49" s="1"/>
  <c r="L83" i="49"/>
  <c r="H83" i="49"/>
  <c r="M83" i="49"/>
  <c r="N83" i="49"/>
  <c r="J83" i="49"/>
  <c r="N75" i="49"/>
  <c r="M190" i="49" s="1"/>
  <c r="M75" i="49"/>
  <c r="H75" i="49"/>
  <c r="K75" i="49"/>
  <c r="J190" i="49" s="1"/>
  <c r="L75" i="49"/>
  <c r="G75" i="49"/>
  <c r="J75" i="49"/>
  <c r="I75" i="49"/>
  <c r="I96" i="49"/>
  <c r="G96" i="49"/>
  <c r="K96" i="49"/>
  <c r="M96" i="49"/>
  <c r="J96" i="49"/>
  <c r="L96" i="49"/>
  <c r="H96" i="49"/>
  <c r="N96" i="49"/>
  <c r="K88" i="49"/>
  <c r="J203" i="49" s="1"/>
  <c r="L88" i="49"/>
  <c r="M88" i="49"/>
  <c r="N88" i="49"/>
  <c r="G88" i="49"/>
  <c r="J88" i="49"/>
  <c r="I88" i="49"/>
  <c r="H88" i="49"/>
  <c r="M27" i="49"/>
  <c r="L142" i="49" s="1"/>
  <c r="N27" i="49"/>
  <c r="M142" i="49" s="1"/>
  <c r="K27" i="49"/>
  <c r="J142" i="49" s="1"/>
  <c r="L27" i="49"/>
  <c r="K142" i="49" s="1"/>
  <c r="I27" i="49"/>
  <c r="G27" i="49"/>
  <c r="H27" i="49"/>
  <c r="J27" i="49"/>
  <c r="G97" i="49"/>
  <c r="K97" i="49"/>
  <c r="J212" i="49" s="1"/>
  <c r="N97" i="49"/>
  <c r="I97" i="49"/>
  <c r="M97" i="49"/>
  <c r="L97" i="49"/>
  <c r="H97" i="49"/>
  <c r="J97" i="49"/>
  <c r="G23" i="49"/>
  <c r="K23" i="49"/>
  <c r="J138" i="49" s="1"/>
  <c r="M23" i="49"/>
  <c r="I23" i="49"/>
  <c r="L23" i="49"/>
  <c r="N23" i="49"/>
  <c r="M138" i="49" s="1"/>
  <c r="J23" i="49"/>
  <c r="H23" i="49"/>
  <c r="G14" i="49"/>
  <c r="I14" i="49"/>
  <c r="K14" i="49"/>
  <c r="M14" i="49"/>
  <c r="H14" i="49"/>
  <c r="L14" i="49"/>
  <c r="N14" i="49"/>
  <c r="J14" i="49"/>
  <c r="K6" i="49"/>
  <c r="G6" i="49"/>
  <c r="N6" i="49"/>
  <c r="M6" i="49"/>
  <c r="L6" i="49"/>
  <c r="I49" i="49"/>
  <c r="G49" i="49"/>
  <c r="K49" i="49"/>
  <c r="J164" i="49" s="1"/>
  <c r="J49" i="49"/>
  <c r="L49" i="49"/>
  <c r="H49" i="49"/>
  <c r="M49" i="49"/>
  <c r="L164" i="49" s="1"/>
  <c r="N49" i="49"/>
  <c r="M164" i="49" s="1"/>
  <c r="K41" i="49"/>
  <c r="J156" i="49" s="1"/>
  <c r="N41" i="49"/>
  <c r="M156" i="49" s="1"/>
  <c r="G41" i="49"/>
  <c r="J41" i="49"/>
  <c r="M41" i="49"/>
  <c r="I41" i="49"/>
  <c r="H41" i="49"/>
  <c r="L41" i="49"/>
  <c r="M33" i="49"/>
  <c r="L148" i="49" s="1"/>
  <c r="K33" i="49"/>
  <c r="J148" i="49" s="1"/>
  <c r="L33" i="49"/>
  <c r="K148" i="49" s="1"/>
  <c r="N33" i="49"/>
  <c r="M148" i="49" s="1"/>
  <c r="G33" i="49"/>
  <c r="I33" i="49"/>
  <c r="H33" i="49"/>
  <c r="J33" i="49"/>
  <c r="K25" i="49"/>
  <c r="J140" i="49" s="1"/>
  <c r="H25" i="49"/>
  <c r="G25" i="49"/>
  <c r="M25" i="49"/>
  <c r="N25" i="49"/>
  <c r="M140" i="49" s="1"/>
  <c r="I25" i="49"/>
  <c r="J25" i="49"/>
  <c r="L25" i="49"/>
  <c r="K140" i="49" s="1"/>
  <c r="K63" i="49"/>
  <c r="J178" i="49" s="1"/>
  <c r="I63" i="49"/>
  <c r="M63" i="49"/>
  <c r="L178" i="49" s="1"/>
  <c r="G63" i="49"/>
  <c r="J63" i="49"/>
  <c r="N63" i="49"/>
  <c r="M178" i="49" s="1"/>
  <c r="H63" i="49"/>
  <c r="L63" i="49"/>
  <c r="K178" i="49" s="1"/>
  <c r="K82" i="49"/>
  <c r="H82" i="49"/>
  <c r="G82" i="49"/>
  <c r="M82" i="49"/>
  <c r="I82" i="49"/>
  <c r="N82" i="49"/>
  <c r="J82" i="49"/>
  <c r="L82" i="49"/>
  <c r="G74" i="49"/>
  <c r="K74" i="49"/>
  <c r="I74" i="49"/>
  <c r="L74" i="49"/>
  <c r="H74" i="49"/>
  <c r="J74" i="49"/>
  <c r="N74" i="49"/>
  <c r="M74" i="49"/>
  <c r="G95" i="49"/>
  <c r="M95" i="49"/>
  <c r="K95" i="49"/>
  <c r="J210" i="49" s="1"/>
  <c r="I95" i="49"/>
  <c r="H95" i="49"/>
  <c r="N95" i="49"/>
  <c r="J95" i="49"/>
  <c r="L95" i="49"/>
  <c r="K210" i="49" s="1"/>
  <c r="M87" i="49"/>
  <c r="L202" i="49" s="1"/>
  <c r="N87" i="49"/>
  <c r="K87" i="49"/>
  <c r="J202" i="49" s="1"/>
  <c r="L87" i="49"/>
  <c r="G87" i="49"/>
  <c r="I87" i="49"/>
  <c r="J87" i="49"/>
  <c r="H87" i="49"/>
  <c r="J16" i="49"/>
  <c r="K16" i="49"/>
  <c r="J131" i="49" s="1"/>
  <c r="L16" i="49"/>
  <c r="K131" i="49" s="1"/>
  <c r="M16" i="49"/>
  <c r="L131" i="49" s="1"/>
  <c r="N16" i="49"/>
  <c r="M131" i="49" s="1"/>
  <c r="G16" i="49"/>
  <c r="H16" i="49"/>
  <c r="I16" i="49"/>
  <c r="N65" i="49"/>
  <c r="I65" i="49"/>
  <c r="K65" i="49"/>
  <c r="J180" i="49" s="1"/>
  <c r="G65" i="49"/>
  <c r="F180" i="49" s="1"/>
  <c r="L65" i="49"/>
  <c r="K180" i="49" s="1"/>
  <c r="M65" i="49"/>
  <c r="H65" i="49"/>
  <c r="J65" i="49"/>
  <c r="G89" i="49"/>
  <c r="M89" i="49"/>
  <c r="K89" i="49"/>
  <c r="J204" i="49" s="1"/>
  <c r="H89" i="49"/>
  <c r="J89" i="49"/>
  <c r="L89" i="49"/>
  <c r="I89" i="49"/>
  <c r="N89" i="49"/>
  <c r="M21" i="49"/>
  <c r="L136" i="49" s="1"/>
  <c r="N21" i="49"/>
  <c r="M136" i="49" s="1"/>
  <c r="K21" i="49"/>
  <c r="J136" i="49" s="1"/>
  <c r="L21" i="49"/>
  <c r="K136" i="49" s="1"/>
  <c r="H21" i="49"/>
  <c r="G21" i="49"/>
  <c r="I21" i="49"/>
  <c r="J21" i="49"/>
  <c r="M13" i="49"/>
  <c r="H13" i="49"/>
  <c r="G13" i="49"/>
  <c r="K13" i="49"/>
  <c r="J128" i="49" s="1"/>
  <c r="N13" i="49"/>
  <c r="I13" i="49"/>
  <c r="J13" i="49"/>
  <c r="L13" i="49"/>
  <c r="I56" i="49"/>
  <c r="K56" i="49"/>
  <c r="G56" i="49"/>
  <c r="M56" i="49"/>
  <c r="N56" i="49"/>
  <c r="J56" i="49"/>
  <c r="H56" i="49"/>
  <c r="L56" i="49"/>
  <c r="G48" i="49"/>
  <c r="K48" i="49"/>
  <c r="I48" i="49"/>
  <c r="N48" i="49"/>
  <c r="J48" i="49"/>
  <c r="L48" i="49"/>
  <c r="H48" i="49"/>
  <c r="M48" i="49"/>
  <c r="G40" i="49"/>
  <c r="I40" i="49"/>
  <c r="K40" i="49"/>
  <c r="H40" i="49"/>
  <c r="N40" i="49"/>
  <c r="M40" i="49"/>
  <c r="J40" i="49"/>
  <c r="L40" i="49"/>
  <c r="J32" i="49"/>
  <c r="K32" i="49"/>
  <c r="G32" i="49"/>
  <c r="N32" i="49"/>
  <c r="M32" i="49"/>
  <c r="I32" i="49"/>
  <c r="H32" i="49"/>
  <c r="L32" i="49"/>
  <c r="G24" i="49"/>
  <c r="K24" i="49"/>
  <c r="H24" i="49"/>
  <c r="L24" i="49"/>
  <c r="N24" i="49"/>
  <c r="J24" i="49"/>
  <c r="I24" i="49"/>
  <c r="M24" i="49"/>
  <c r="G62" i="49"/>
  <c r="N62" i="49"/>
  <c r="K62" i="49"/>
  <c r="I62" i="49"/>
  <c r="H62" i="49"/>
  <c r="J62" i="49"/>
  <c r="L62" i="49"/>
  <c r="M62" i="49"/>
  <c r="M81" i="49"/>
  <c r="K81" i="49"/>
  <c r="J196" i="49" s="1"/>
  <c r="G81" i="49"/>
  <c r="H81" i="49"/>
  <c r="L81" i="49"/>
  <c r="J81" i="49"/>
  <c r="I81" i="49"/>
  <c r="N81" i="49"/>
  <c r="M196" i="49" s="1"/>
  <c r="G73" i="49"/>
  <c r="M73" i="49"/>
  <c r="K73" i="49"/>
  <c r="J188" i="49" s="1"/>
  <c r="J73" i="49"/>
  <c r="H73" i="49"/>
  <c r="L73" i="49"/>
  <c r="K188" i="49" s="1"/>
  <c r="I73" i="49"/>
  <c r="N73" i="49"/>
  <c r="M188" i="49" s="1"/>
  <c r="G94" i="49"/>
  <c r="K94" i="49"/>
  <c r="H94" i="49"/>
  <c r="N94" i="49"/>
  <c r="I94" i="49"/>
  <c r="J94" i="49"/>
  <c r="L94" i="49"/>
  <c r="M94" i="49"/>
  <c r="K86" i="49"/>
  <c r="G86" i="49"/>
  <c r="I86" i="49"/>
  <c r="N86" i="49"/>
  <c r="J86" i="49"/>
  <c r="H86" i="49"/>
  <c r="L86" i="49"/>
  <c r="M86" i="49"/>
  <c r="K8" i="49"/>
  <c r="G8" i="49"/>
  <c r="I8" i="49"/>
  <c r="M8" i="49"/>
  <c r="L8" i="49"/>
  <c r="H8" i="49"/>
  <c r="N8" i="49"/>
  <c r="J8" i="49"/>
  <c r="L76" i="49"/>
  <c r="I76" i="49"/>
  <c r="K76" i="49"/>
  <c r="G76" i="49"/>
  <c r="M76" i="49"/>
  <c r="N76" i="49"/>
  <c r="J76" i="49"/>
  <c r="H76" i="49"/>
  <c r="K22" i="49"/>
  <c r="J137" i="49" s="1"/>
  <c r="L22" i="49"/>
  <c r="K137" i="49" s="1"/>
  <c r="M22" i="49"/>
  <c r="L137" i="49" s="1"/>
  <c r="N22" i="49"/>
  <c r="M137" i="49" s="1"/>
  <c r="H22" i="49"/>
  <c r="G22" i="49"/>
  <c r="I22" i="49"/>
  <c r="J22" i="49"/>
  <c r="I20" i="49"/>
  <c r="G20" i="49"/>
  <c r="K20" i="49"/>
  <c r="L20" i="49"/>
  <c r="J20" i="49"/>
  <c r="N20" i="49"/>
  <c r="H20" i="49"/>
  <c r="M20" i="49"/>
  <c r="K12" i="49"/>
  <c r="H12" i="49"/>
  <c r="G12" i="49"/>
  <c r="J12" i="49"/>
  <c r="M12" i="49"/>
  <c r="N12" i="49"/>
  <c r="I12" i="49"/>
  <c r="L12" i="49"/>
  <c r="G55" i="49"/>
  <c r="M55" i="49"/>
  <c r="K55" i="49"/>
  <c r="J170" i="49" s="1"/>
  <c r="J55" i="49"/>
  <c r="L55" i="49"/>
  <c r="I55" i="49"/>
  <c r="N55" i="49"/>
  <c r="H55" i="49"/>
  <c r="K47" i="49"/>
  <c r="J162" i="49" s="1"/>
  <c r="J47" i="49"/>
  <c r="G47" i="49"/>
  <c r="I47" i="49"/>
  <c r="L47" i="49"/>
  <c r="K162" i="49" s="1"/>
  <c r="N47" i="49"/>
  <c r="M162" i="49" s="1"/>
  <c r="M47" i="49"/>
  <c r="L162" i="49" s="1"/>
  <c r="H47" i="49"/>
  <c r="N39" i="49"/>
  <c r="M154" i="49" s="1"/>
  <c r="G39" i="49"/>
  <c r="K39" i="49"/>
  <c r="J154" i="49" s="1"/>
  <c r="J39" i="49"/>
  <c r="L39" i="49"/>
  <c r="K154" i="49" s="1"/>
  <c r="M39" i="49"/>
  <c r="L154" i="49" s="1"/>
  <c r="H39" i="49"/>
  <c r="I39" i="49"/>
  <c r="H31" i="49"/>
  <c r="L31" i="49"/>
  <c r="K146" i="49" s="1"/>
  <c r="K31" i="49"/>
  <c r="J146" i="49" s="1"/>
  <c r="G31" i="49"/>
  <c r="M31" i="49"/>
  <c r="J31" i="49"/>
  <c r="N31" i="49"/>
  <c r="I31" i="49"/>
  <c r="G69" i="49"/>
  <c r="I69" i="49"/>
  <c r="N69" i="49"/>
  <c r="M184" i="49" s="1"/>
  <c r="K69" i="49"/>
  <c r="J184" i="49" s="1"/>
  <c r="H69" i="49"/>
  <c r="L69" i="49"/>
  <c r="K184" i="49" s="1"/>
  <c r="M69" i="49"/>
  <c r="L184" i="49" s="1"/>
  <c r="J69" i="49"/>
  <c r="K61" i="49"/>
  <c r="J176" i="49" s="1"/>
  <c r="G61" i="49"/>
  <c r="M61" i="49"/>
  <c r="N61" i="49"/>
  <c r="L61" i="49"/>
  <c r="J61" i="49"/>
  <c r="I61" i="49"/>
  <c r="H61" i="49"/>
  <c r="I80" i="49"/>
  <c r="K80" i="49"/>
  <c r="J195" i="49" s="1"/>
  <c r="G80" i="49"/>
  <c r="L80" i="49"/>
  <c r="N80" i="49"/>
  <c r="M80" i="49"/>
  <c r="H80" i="49"/>
  <c r="J80" i="49"/>
  <c r="G72" i="49"/>
  <c r="K72" i="49"/>
  <c r="N72" i="49"/>
  <c r="M72" i="49"/>
  <c r="I72" i="49"/>
  <c r="J72" i="49"/>
  <c r="H72" i="49"/>
  <c r="L72" i="49"/>
  <c r="K93" i="49"/>
  <c r="J208" i="49" s="1"/>
  <c r="M93" i="49"/>
  <c r="L208" i="49" s="1"/>
  <c r="G93" i="49"/>
  <c r="H93" i="49"/>
  <c r="I93" i="49"/>
  <c r="N93" i="49"/>
  <c r="J93" i="49"/>
  <c r="L93" i="49"/>
  <c r="G85" i="49"/>
  <c r="M85" i="49"/>
  <c r="K85" i="49"/>
  <c r="J200" i="49" s="1"/>
  <c r="J85" i="49"/>
  <c r="N85" i="49"/>
  <c r="H85" i="49"/>
  <c r="L85" i="49"/>
  <c r="I85" i="49"/>
  <c r="R102" i="49"/>
  <c r="Q102" i="49"/>
  <c r="Q106" i="49"/>
  <c r="R106" i="49"/>
  <c r="P106" i="49"/>
  <c r="O106" i="49"/>
  <c r="O102" i="49"/>
  <c r="P102" i="49"/>
  <c r="O107" i="49"/>
  <c r="Q103" i="49"/>
  <c r="R104" i="49"/>
  <c r="P103" i="49"/>
  <c r="Q104" i="49"/>
  <c r="O103" i="49"/>
  <c r="P104" i="49"/>
  <c r="R105" i="49"/>
  <c r="O104" i="49"/>
  <c r="P107" i="49"/>
  <c r="O101" i="49"/>
  <c r="Q107" i="49"/>
  <c r="Q105" i="49"/>
  <c r="R101" i="49"/>
  <c r="P105" i="49"/>
  <c r="Q101" i="49"/>
  <c r="O105" i="49"/>
  <c r="P101" i="49"/>
  <c r="R107" i="49"/>
  <c r="R103" i="49"/>
  <c r="M186" i="49" l="1"/>
  <c r="K208" i="49"/>
  <c r="K138" i="49"/>
  <c r="M128" i="49"/>
  <c r="M208" i="49"/>
  <c r="M212" i="49"/>
  <c r="K212" i="49"/>
  <c r="L192" i="49"/>
  <c r="M197" i="49"/>
  <c r="M152" i="49"/>
  <c r="K164" i="49"/>
  <c r="K196" i="49"/>
  <c r="L197" i="49"/>
  <c r="L196" i="49"/>
  <c r="L215" i="49"/>
  <c r="K203" i="49"/>
  <c r="L194" i="49"/>
  <c r="L214" i="49"/>
  <c r="M210" i="49"/>
  <c r="L190" i="49"/>
  <c r="M202" i="49"/>
  <c r="K190" i="49"/>
  <c r="K193" i="49"/>
  <c r="M203" i="49"/>
  <c r="K202" i="49"/>
  <c r="M195" i="49"/>
  <c r="L203" i="49"/>
  <c r="M215" i="49"/>
  <c r="M180" i="49"/>
  <c r="M182" i="49"/>
  <c r="L134" i="49"/>
  <c r="L132" i="49"/>
  <c r="K204" i="49"/>
  <c r="K206" i="49"/>
  <c r="M198" i="49"/>
  <c r="M200" i="49"/>
  <c r="L150" i="49"/>
  <c r="L152" i="49"/>
  <c r="K156" i="49"/>
  <c r="K158" i="49"/>
  <c r="K192" i="49"/>
  <c r="K194" i="49"/>
  <c r="L180" i="49"/>
  <c r="L182" i="49"/>
  <c r="L126" i="49"/>
  <c r="L128" i="49"/>
  <c r="L204" i="49"/>
  <c r="L158" i="49"/>
  <c r="L156" i="49"/>
  <c r="L140" i="49"/>
  <c r="L138" i="49"/>
  <c r="L212" i="49"/>
  <c r="L210" i="49"/>
  <c r="K174" i="49"/>
  <c r="K176" i="49"/>
  <c r="K168" i="49"/>
  <c r="K170" i="49"/>
  <c r="M194" i="49"/>
  <c r="M192" i="49"/>
  <c r="L144" i="49"/>
  <c r="L146" i="49"/>
  <c r="K150" i="49"/>
  <c r="K152" i="49"/>
  <c r="L193" i="49"/>
  <c r="L195" i="49"/>
  <c r="M170" i="49"/>
  <c r="M168" i="49"/>
  <c r="L174" i="49"/>
  <c r="K198" i="49"/>
  <c r="K200" i="49"/>
  <c r="M204" i="49"/>
  <c r="M206" i="49"/>
  <c r="M144" i="49"/>
  <c r="M146" i="49"/>
  <c r="L168" i="49"/>
  <c r="L170" i="49"/>
  <c r="L188" i="49"/>
  <c r="L186" i="49"/>
  <c r="K126" i="49"/>
  <c r="K128" i="49"/>
  <c r="L198" i="49"/>
  <c r="L200" i="49"/>
  <c r="M176" i="49"/>
  <c r="M174" i="49"/>
  <c r="L181" i="49"/>
  <c r="L183" i="49"/>
  <c r="L176" i="49" l="1"/>
  <c r="L206" i="49"/>
  <c r="N15" i="39" l="1"/>
  <c r="J189" i="49"/>
  <c r="J177" i="49"/>
  <c r="J193" i="49" l="1"/>
  <c r="J207" i="49"/>
  <c r="J205" i="49"/>
  <c r="J183" i="49"/>
  <c r="J159" i="49"/>
  <c r="J157" i="49"/>
  <c r="J169" i="49"/>
  <c r="J171" i="49"/>
  <c r="J175" i="49"/>
  <c r="O17" i="49"/>
  <c r="N132" i="49" s="1"/>
  <c r="F132" i="49"/>
  <c r="N14" i="48"/>
  <c r="M175" i="49" l="1"/>
  <c r="M177" i="49"/>
  <c r="K175" i="49"/>
  <c r="K177" i="49"/>
  <c r="L187" i="49"/>
  <c r="L189" i="49"/>
  <c r="K187" i="49"/>
  <c r="K189" i="49"/>
  <c r="M187" i="49"/>
  <c r="M189" i="49"/>
  <c r="L175" i="49"/>
  <c r="L177" i="49"/>
  <c r="M169" i="49"/>
  <c r="M171" i="49"/>
  <c r="L205" i="49"/>
  <c r="L207" i="49"/>
  <c r="K169" i="49"/>
  <c r="K171" i="49"/>
  <c r="K205" i="49"/>
  <c r="K207" i="49"/>
  <c r="L171" i="49"/>
  <c r="L169" i="49"/>
  <c r="M205" i="49"/>
  <c r="M207" i="49"/>
  <c r="K157" i="49"/>
  <c r="K159" i="49"/>
  <c r="M157" i="49"/>
  <c r="M159" i="49"/>
  <c r="L157" i="49"/>
  <c r="L159" i="49"/>
  <c r="O11" i="49"/>
  <c r="N126" i="49" s="1"/>
  <c r="F126" i="49"/>
  <c r="R11" i="49"/>
  <c r="Q126" i="49" s="1"/>
  <c r="I126" i="49"/>
  <c r="O31" i="48" l="1"/>
  <c r="O32" i="48"/>
  <c r="O30" i="48" l="1"/>
  <c r="N12" i="48"/>
  <c r="O28" i="48" s="1"/>
  <c r="O29" i="48"/>
  <c r="F201" i="49" l="1"/>
  <c r="O88" i="49"/>
  <c r="N203" i="49" s="1"/>
  <c r="F193" i="49"/>
  <c r="F181" i="49"/>
  <c r="O70" i="49"/>
  <c r="N185" i="49" s="1"/>
  <c r="O100" i="49"/>
  <c r="N215" i="49" s="1"/>
  <c r="F197" i="49"/>
  <c r="F183" i="49"/>
  <c r="O68" i="49"/>
  <c r="N183" i="49" s="1"/>
  <c r="F211" i="49"/>
  <c r="O60" i="49"/>
  <c r="N175" i="49" s="1"/>
  <c r="F175" i="49"/>
  <c r="F213" i="49"/>
  <c r="F207" i="49"/>
  <c r="O92" i="49"/>
  <c r="N207" i="49" s="1"/>
  <c r="F177" i="49"/>
  <c r="O62" i="49"/>
  <c r="N177" i="49" s="1"/>
  <c r="F179" i="49"/>
  <c r="F195" i="49"/>
  <c r="O80" i="49"/>
  <c r="N195" i="49" s="1"/>
  <c r="O90" i="49"/>
  <c r="N205" i="49" s="1"/>
  <c r="F205" i="49"/>
  <c r="F133" i="49"/>
  <c r="O28" i="49"/>
  <c r="N143" i="49" s="1"/>
  <c r="F143" i="49"/>
  <c r="F153" i="49"/>
  <c r="F135" i="49"/>
  <c r="F163" i="49"/>
  <c r="F155" i="49"/>
  <c r="F199" i="49"/>
  <c r="O22" i="49"/>
  <c r="N137" i="49" s="1"/>
  <c r="F137" i="49"/>
  <c r="O42" i="49"/>
  <c r="N157" i="49" s="1"/>
  <c r="F157" i="49"/>
  <c r="F145" i="49"/>
  <c r="F187" i="49"/>
  <c r="Q11" i="49"/>
  <c r="P126" i="49" s="1"/>
  <c r="H126" i="49"/>
  <c r="F167" i="49"/>
  <c r="O54" i="49"/>
  <c r="N169" i="49" s="1"/>
  <c r="F169" i="49"/>
  <c r="O74" i="49"/>
  <c r="N189" i="49" s="1"/>
  <c r="F189" i="49"/>
  <c r="P11" i="49"/>
  <c r="O126" i="49" s="1"/>
  <c r="G126" i="49"/>
  <c r="F129" i="49"/>
  <c r="O16" i="49"/>
  <c r="N131" i="49" s="1"/>
  <c r="F131" i="49"/>
  <c r="O56" i="49"/>
  <c r="N171" i="49" s="1"/>
  <c r="F171" i="49"/>
  <c r="F191" i="49"/>
  <c r="F127" i="49"/>
  <c r="O44" i="49"/>
  <c r="N159" i="49" s="1"/>
  <c r="F159" i="49"/>
  <c r="O34" i="49"/>
  <c r="N149" i="49" s="1"/>
  <c r="F149" i="49"/>
  <c r="F139" i="49"/>
  <c r="F173" i="49"/>
  <c r="F165" i="49"/>
  <c r="F147" i="49"/>
  <c r="F141" i="49"/>
  <c r="F151" i="49"/>
  <c r="F123" i="49"/>
  <c r="J6" i="49"/>
  <c r="I6" i="49" l="1"/>
  <c r="F122" i="49"/>
  <c r="O66" i="49"/>
  <c r="N181" i="49" s="1"/>
  <c r="F203" i="49"/>
  <c r="F185" i="49"/>
  <c r="F209" i="49"/>
  <c r="F196" i="49"/>
  <c r="O79" i="49"/>
  <c r="N194" i="49" s="1"/>
  <c r="O78" i="49"/>
  <c r="N193" i="49" s="1"/>
  <c r="F212" i="49"/>
  <c r="O95" i="49"/>
  <c r="N210" i="49" s="1"/>
  <c r="F215" i="49"/>
  <c r="O69" i="49"/>
  <c r="N184" i="49" s="1"/>
  <c r="O67" i="49"/>
  <c r="N182" i="49" s="1"/>
  <c r="O77" i="49"/>
  <c r="N192" i="49" s="1"/>
  <c r="F192" i="49"/>
  <c r="O61" i="49"/>
  <c r="N176" i="49" s="1"/>
  <c r="F176" i="49"/>
  <c r="F174" i="49"/>
  <c r="O59" i="49"/>
  <c r="N174" i="49" s="1"/>
  <c r="F204" i="49"/>
  <c r="O89" i="49"/>
  <c r="N204" i="49" s="1"/>
  <c r="F214" i="49"/>
  <c r="O99" i="49"/>
  <c r="N214" i="49" s="1"/>
  <c r="F208" i="49"/>
  <c r="O93" i="49"/>
  <c r="N208" i="49" s="1"/>
  <c r="O63" i="49"/>
  <c r="N178" i="49" s="1"/>
  <c r="F178" i="49"/>
  <c r="F206" i="49"/>
  <c r="O91" i="49"/>
  <c r="N206" i="49" s="1"/>
  <c r="O65" i="49"/>
  <c r="N180" i="49" s="1"/>
  <c r="O75" i="49"/>
  <c r="N190" i="49" s="1"/>
  <c r="F190" i="49"/>
  <c r="O55" i="49"/>
  <c r="N170" i="49" s="1"/>
  <c r="F170" i="49"/>
  <c r="O33" i="49"/>
  <c r="N148" i="49" s="1"/>
  <c r="F148" i="49"/>
  <c r="O15" i="49"/>
  <c r="N130" i="49" s="1"/>
  <c r="F130" i="49"/>
  <c r="O73" i="49"/>
  <c r="N188" i="49" s="1"/>
  <c r="F188" i="49"/>
  <c r="O53" i="49"/>
  <c r="N168" i="49" s="1"/>
  <c r="F168" i="49"/>
  <c r="O31" i="49"/>
  <c r="N146" i="49" s="1"/>
  <c r="F146" i="49"/>
  <c r="O13" i="49"/>
  <c r="N128" i="49" s="1"/>
  <c r="F128" i="49"/>
  <c r="O71" i="49"/>
  <c r="N186" i="49" s="1"/>
  <c r="F186" i="49"/>
  <c r="O51" i="49"/>
  <c r="N166" i="49" s="1"/>
  <c r="F166" i="49"/>
  <c r="O29" i="49"/>
  <c r="N144" i="49" s="1"/>
  <c r="F144" i="49"/>
  <c r="I127" i="49"/>
  <c r="O85" i="49"/>
  <c r="N200" i="49" s="1"/>
  <c r="F200" i="49"/>
  <c r="O49" i="49"/>
  <c r="N164" i="49" s="1"/>
  <c r="F164" i="49"/>
  <c r="O21" i="49"/>
  <c r="N136" i="49" s="1"/>
  <c r="F136" i="49"/>
  <c r="H127" i="49"/>
  <c r="O83" i="49"/>
  <c r="N198" i="49" s="1"/>
  <c r="F198" i="49"/>
  <c r="O47" i="49"/>
  <c r="N162" i="49" s="1"/>
  <c r="F162" i="49"/>
  <c r="O19" i="49"/>
  <c r="N134" i="49" s="1"/>
  <c r="F134" i="49"/>
  <c r="O41" i="49"/>
  <c r="N156" i="49" s="1"/>
  <c r="F156" i="49"/>
  <c r="O37" i="49"/>
  <c r="N152" i="49" s="1"/>
  <c r="F152" i="49"/>
  <c r="O27" i="49"/>
  <c r="N142" i="49" s="1"/>
  <c r="F142" i="49"/>
  <c r="F161" i="49"/>
  <c r="O43" i="49"/>
  <c r="N158" i="49" s="1"/>
  <c r="F158" i="49"/>
  <c r="O35" i="49"/>
  <c r="N150" i="49" s="1"/>
  <c r="F150" i="49"/>
  <c r="O25" i="49"/>
  <c r="N140" i="49" s="1"/>
  <c r="F140" i="49"/>
  <c r="H161" i="49"/>
  <c r="O87" i="49"/>
  <c r="N202" i="49" s="1"/>
  <c r="F202" i="49"/>
  <c r="O39" i="49"/>
  <c r="N154" i="49" s="1"/>
  <c r="F154" i="49"/>
  <c r="O57" i="49"/>
  <c r="N172" i="49" s="1"/>
  <c r="F172" i="49"/>
  <c r="O23" i="49"/>
  <c r="N138" i="49" s="1"/>
  <c r="F138" i="49"/>
  <c r="F121" i="49"/>
  <c r="O10" i="49"/>
  <c r="N125" i="49" s="1"/>
  <c r="F125" i="49"/>
  <c r="K10" i="31"/>
  <c r="D4" i="48"/>
  <c r="F194" i="49" l="1"/>
  <c r="O81" i="49"/>
  <c r="N196" i="49" s="1"/>
  <c r="F210" i="49"/>
  <c r="O97" i="49"/>
  <c r="N212" i="49" s="1"/>
  <c r="F184" i="49"/>
  <c r="F182" i="49"/>
  <c r="J120" i="49"/>
  <c r="Q45" i="49"/>
  <c r="P160" i="49" s="1"/>
  <c r="H160" i="49"/>
  <c r="O45" i="49"/>
  <c r="N160" i="49" s="1"/>
  <c r="F160" i="49"/>
  <c r="O9" i="49"/>
  <c r="N124" i="49" s="1"/>
  <c r="F124" i="49"/>
  <c r="F120" i="49"/>
  <c r="G10" i="48"/>
  <c r="E12" i="48"/>
  <c r="F30" i="48" s="1"/>
  <c r="E11" i="48"/>
  <c r="F24" i="48" s="1"/>
  <c r="E10" i="48"/>
  <c r="F18" i="48" s="1"/>
  <c r="F10" i="48"/>
  <c r="F19" i="48" s="1"/>
  <c r="G12" i="48"/>
  <c r="V12" i="48" s="1"/>
  <c r="E15" i="48"/>
  <c r="E30" i="48" s="1"/>
  <c r="E14" i="48"/>
  <c r="E24" i="48" s="1"/>
  <c r="F15" i="48"/>
  <c r="E31" i="48" s="1"/>
  <c r="F14" i="48"/>
  <c r="E25" i="48" s="1"/>
  <c r="F12" i="48"/>
  <c r="F31" i="48" s="1"/>
  <c r="F11" i="48"/>
  <c r="F25" i="48" s="1"/>
  <c r="F13" i="48"/>
  <c r="E19" i="48" s="1"/>
  <c r="E13" i="48"/>
  <c r="E18" i="48" s="1"/>
  <c r="O5" i="49" l="1"/>
  <c r="N120" i="49" s="1"/>
  <c r="J122" i="49"/>
  <c r="O7" i="49"/>
  <c r="N122" i="49" s="1"/>
  <c r="K122" i="49"/>
  <c r="K120" i="49"/>
  <c r="M122" i="49"/>
  <c r="M120" i="49"/>
  <c r="L120" i="49"/>
  <c r="L122" i="49"/>
  <c r="M167" i="49" l="1"/>
  <c r="L167" i="49"/>
  <c r="K167" i="49"/>
  <c r="J167" i="49" l="1"/>
  <c r="O52" i="49"/>
  <c r="N167" i="49" s="1"/>
  <c r="G11" i="48"/>
  <c r="J191" i="49" l="1"/>
  <c r="O76" i="49"/>
  <c r="N191" i="49" s="1"/>
  <c r="M179" i="49"/>
  <c r="L179" i="49"/>
  <c r="K179" i="49"/>
  <c r="K155" i="49"/>
  <c r="M155" i="49"/>
  <c r="L155" i="49"/>
  <c r="M173" i="49"/>
  <c r="L173" i="49"/>
  <c r="K173" i="49"/>
  <c r="L209" i="49"/>
  <c r="K215" i="49"/>
  <c r="M161" i="49"/>
  <c r="K161" i="49"/>
  <c r="Q29" i="49"/>
  <c r="P144" i="49" s="1"/>
  <c r="H144" i="49"/>
  <c r="G13" i="48"/>
  <c r="E20" i="48" s="1"/>
  <c r="F26" i="48"/>
  <c r="F20" i="48"/>
  <c r="K185" i="49" l="1"/>
  <c r="K191" i="49"/>
  <c r="M185" i="49"/>
  <c r="M191" i="49"/>
  <c r="L185" i="49"/>
  <c r="L191" i="49"/>
  <c r="J161" i="49"/>
  <c r="O46" i="49"/>
  <c r="N161" i="49" s="1"/>
  <c r="M145" i="49"/>
  <c r="M147" i="49"/>
  <c r="J139" i="49"/>
  <c r="O24" i="49"/>
  <c r="N139" i="49" s="1"/>
  <c r="M193" i="49"/>
  <c r="M199" i="49"/>
  <c r="M201" i="49"/>
  <c r="K123" i="49"/>
  <c r="K121" i="49"/>
  <c r="K163" i="49"/>
  <c r="K165" i="49"/>
  <c r="M211" i="49"/>
  <c r="M213" i="49"/>
  <c r="J141" i="49"/>
  <c r="O26" i="49"/>
  <c r="N141" i="49" s="1"/>
  <c r="K145" i="49"/>
  <c r="K147" i="49"/>
  <c r="L141" i="49"/>
  <c r="L139" i="49"/>
  <c r="K195" i="49"/>
  <c r="K199" i="49"/>
  <c r="K201" i="49"/>
  <c r="J121" i="49"/>
  <c r="O6" i="49"/>
  <c r="N121" i="49" s="1"/>
  <c r="J197" i="49"/>
  <c r="O82" i="49"/>
  <c r="N197" i="49" s="1"/>
  <c r="J155" i="49"/>
  <c r="O40" i="49"/>
  <c r="N155" i="49" s="1"/>
  <c r="M163" i="49"/>
  <c r="M165" i="49"/>
  <c r="J211" i="49"/>
  <c r="O96" i="49"/>
  <c r="N211" i="49" s="1"/>
  <c r="J147" i="49"/>
  <c r="O32" i="49"/>
  <c r="N147" i="49" s="1"/>
  <c r="J133" i="49"/>
  <c r="O18" i="49"/>
  <c r="N133" i="49" s="1"/>
  <c r="L199" i="49"/>
  <c r="L201" i="49"/>
  <c r="M121" i="49"/>
  <c r="M123" i="49"/>
  <c r="J173" i="49"/>
  <c r="O58" i="49"/>
  <c r="N173" i="49" s="1"/>
  <c r="K129" i="49"/>
  <c r="K127" i="49"/>
  <c r="L163" i="49"/>
  <c r="L165" i="49"/>
  <c r="J213" i="49"/>
  <c r="O98" i="49"/>
  <c r="N213" i="49" s="1"/>
  <c r="J145" i="49"/>
  <c r="O30" i="49"/>
  <c r="N145" i="49" s="1"/>
  <c r="K135" i="49"/>
  <c r="K133" i="49"/>
  <c r="J201" i="49"/>
  <c r="O86" i="49"/>
  <c r="N201" i="49" s="1"/>
  <c r="L121" i="49"/>
  <c r="L123" i="49"/>
  <c r="J127" i="49"/>
  <c r="O12" i="49"/>
  <c r="N127" i="49" s="1"/>
  <c r="K153" i="49"/>
  <c r="K151" i="49"/>
  <c r="K211" i="49"/>
  <c r="K213" i="49"/>
  <c r="L145" i="49"/>
  <c r="L147" i="49"/>
  <c r="J187" i="49"/>
  <c r="O72" i="49"/>
  <c r="N187" i="49" s="1"/>
  <c r="J123" i="49"/>
  <c r="O8" i="49"/>
  <c r="N123" i="49" s="1"/>
  <c r="M129" i="49"/>
  <c r="J153" i="49"/>
  <c r="O38" i="49"/>
  <c r="N153" i="49" s="1"/>
  <c r="L211" i="49"/>
  <c r="L213" i="49"/>
  <c r="K141" i="49"/>
  <c r="K139" i="49"/>
  <c r="M135" i="49"/>
  <c r="M133" i="49"/>
  <c r="J209" i="49"/>
  <c r="O94" i="49"/>
  <c r="N209" i="49" s="1"/>
  <c r="J129" i="49"/>
  <c r="O14" i="49"/>
  <c r="N129" i="49" s="1"/>
  <c r="J179" i="49"/>
  <c r="O64" i="49"/>
  <c r="N179" i="49" s="1"/>
  <c r="M151" i="49"/>
  <c r="M153" i="49"/>
  <c r="J135" i="49"/>
  <c r="O20" i="49"/>
  <c r="N135" i="49" s="1"/>
  <c r="L161" i="49"/>
  <c r="Q46" i="49"/>
  <c r="P161" i="49" s="1"/>
  <c r="M139" i="49"/>
  <c r="M141" i="49"/>
  <c r="L133" i="49"/>
  <c r="L135" i="49"/>
  <c r="K197" i="49"/>
  <c r="K209" i="49"/>
  <c r="L129" i="49"/>
  <c r="J165" i="49"/>
  <c r="O50" i="49"/>
  <c r="N165" i="49" s="1"/>
  <c r="J151" i="49"/>
  <c r="O36" i="49"/>
  <c r="N151" i="49" s="1"/>
  <c r="J199" i="49"/>
  <c r="O84" i="49"/>
  <c r="N199" i="49" s="1"/>
  <c r="M209" i="49"/>
  <c r="J163" i="49"/>
  <c r="O48" i="49"/>
  <c r="N163" i="49" s="1"/>
  <c r="L153" i="49"/>
  <c r="L151" i="49"/>
  <c r="J19" i="40"/>
  <c r="J20" i="40"/>
  <c r="J21" i="40"/>
  <c r="J22" i="40"/>
  <c r="J23" i="40"/>
  <c r="J24" i="40"/>
  <c r="L6" i="47"/>
  <c r="L16" i="47"/>
  <c r="L42" i="47"/>
  <c r="L41" i="47"/>
  <c r="L40" i="47"/>
  <c r="L38" i="47"/>
  <c r="L37" i="47"/>
  <c r="L36" i="47"/>
  <c r="L34" i="47"/>
  <c r="L33" i="47"/>
  <c r="L32" i="47"/>
  <c r="L30" i="47"/>
  <c r="L29" i="47"/>
  <c r="L28" i="47"/>
  <c r="L26" i="47"/>
  <c r="L25" i="47"/>
  <c r="L24" i="47"/>
  <c r="L22" i="47"/>
  <c r="L21" i="47"/>
  <c r="L20" i="47"/>
  <c r="X18" i="40"/>
  <c r="W18" i="40"/>
  <c r="V18" i="40"/>
  <c r="P18" i="40"/>
  <c r="O18" i="40"/>
  <c r="N18" i="40"/>
  <c r="M18" i="40"/>
  <c r="L18" i="40"/>
  <c r="R18" i="47"/>
  <c r="Q18" i="47"/>
  <c r="P18" i="47"/>
  <c r="O18" i="47"/>
  <c r="N18" i="47"/>
  <c r="L12" i="47"/>
  <c r="F16" i="31"/>
  <c r="T24" i="40"/>
  <c r="T23" i="40"/>
  <c r="T22" i="40"/>
  <c r="T21" i="40"/>
  <c r="T20" i="40"/>
  <c r="T19" i="40"/>
  <c r="N27" i="31"/>
  <c r="N26" i="31"/>
  <c r="N22" i="31"/>
  <c r="N21" i="31"/>
  <c r="N17" i="31"/>
  <c r="N16" i="31"/>
  <c r="M21" i="40" l="1"/>
  <c r="M19" i="40"/>
  <c r="M20" i="40"/>
  <c r="M22" i="40"/>
  <c r="M24" i="40"/>
  <c r="M23" i="40"/>
  <c r="N19" i="40"/>
  <c r="N21" i="40"/>
  <c r="N20" i="40"/>
  <c r="N23" i="40"/>
  <c r="N22" i="40"/>
  <c r="N24" i="40"/>
  <c r="O21" i="40"/>
  <c r="O19" i="40"/>
  <c r="O20" i="40"/>
  <c r="O23" i="40"/>
  <c r="O22" i="40"/>
  <c r="O24" i="40"/>
  <c r="P20" i="40"/>
  <c r="P21" i="40"/>
  <c r="P19" i="40"/>
  <c r="P22" i="40"/>
  <c r="P23" i="40"/>
  <c r="P24" i="40"/>
  <c r="L19" i="40"/>
  <c r="L20" i="40"/>
  <c r="L21" i="40"/>
  <c r="L23" i="40"/>
  <c r="L22" i="40"/>
  <c r="L24" i="40"/>
  <c r="L127" i="49"/>
  <c r="Q12" i="49"/>
  <c r="P127" i="49" s="1"/>
  <c r="M127" i="49"/>
  <c r="R12" i="49"/>
  <c r="Q127" i="49" s="1"/>
  <c r="G209" i="49"/>
  <c r="G208" i="49"/>
  <c r="G207" i="49"/>
  <c r="R88" i="49"/>
  <c r="Q203" i="49" s="1"/>
  <c r="G196" i="49"/>
  <c r="G214" i="49"/>
  <c r="G213" i="49"/>
  <c r="G212" i="49"/>
  <c r="I176" i="49"/>
  <c r="R61" i="49"/>
  <c r="Q176" i="49" s="1"/>
  <c r="G181" i="49"/>
  <c r="P66" i="49"/>
  <c r="O181" i="49" s="1"/>
  <c r="H174" i="49"/>
  <c r="Q59" i="49"/>
  <c r="P174" i="49" s="1"/>
  <c r="Q79" i="49"/>
  <c r="P194" i="49" s="1"/>
  <c r="H194" i="49"/>
  <c r="G215" i="49"/>
  <c r="P100" i="49"/>
  <c r="O215" i="49" s="1"/>
  <c r="H177" i="49"/>
  <c r="Q62" i="49"/>
  <c r="P177" i="49" s="1"/>
  <c r="G175" i="49"/>
  <c r="P60" i="49"/>
  <c r="O175" i="49" s="1"/>
  <c r="H178" i="49"/>
  <c r="Q63" i="49"/>
  <c r="P178" i="49" s="1"/>
  <c r="R64" i="49"/>
  <c r="Q179" i="49" s="1"/>
  <c r="I179" i="49"/>
  <c r="P40" i="49"/>
  <c r="O155" i="49" s="1"/>
  <c r="G155" i="49"/>
  <c r="R26" i="49"/>
  <c r="Q141" i="49" s="1"/>
  <c r="I141" i="49"/>
  <c r="Q55" i="49"/>
  <c r="P170" i="49" s="1"/>
  <c r="H170" i="49"/>
  <c r="Q33" i="49"/>
  <c r="P148" i="49" s="1"/>
  <c r="H148" i="49"/>
  <c r="P13" i="49"/>
  <c r="O128" i="49" s="1"/>
  <c r="G128" i="49"/>
  <c r="Q42" i="49"/>
  <c r="P157" i="49" s="1"/>
  <c r="H157" i="49"/>
  <c r="P38" i="49"/>
  <c r="O153" i="49" s="1"/>
  <c r="G153" i="49"/>
  <c r="P16" i="49"/>
  <c r="O131" i="49" s="1"/>
  <c r="G131" i="49"/>
  <c r="Q75" i="49"/>
  <c r="P190" i="49" s="1"/>
  <c r="H190" i="49"/>
  <c r="P53" i="49"/>
  <c r="O168" i="49" s="1"/>
  <c r="G168" i="49"/>
  <c r="P31" i="49"/>
  <c r="O146" i="49" s="1"/>
  <c r="G146" i="49"/>
  <c r="P18" i="49"/>
  <c r="O133" i="49" s="1"/>
  <c r="G133" i="49"/>
  <c r="P34" i="49"/>
  <c r="O149" i="49" s="1"/>
  <c r="G149" i="49"/>
  <c r="R14" i="49"/>
  <c r="Q129" i="49" s="1"/>
  <c r="I129" i="49"/>
  <c r="P73" i="49"/>
  <c r="O188" i="49" s="1"/>
  <c r="G188" i="49"/>
  <c r="P45" i="49"/>
  <c r="O160" i="49" s="1"/>
  <c r="G160" i="49"/>
  <c r="P51" i="49"/>
  <c r="O166" i="49" s="1"/>
  <c r="G166" i="49"/>
  <c r="P29" i="49"/>
  <c r="O144" i="49" s="1"/>
  <c r="G144" i="49"/>
  <c r="P15" i="49"/>
  <c r="O130" i="49" s="1"/>
  <c r="G130" i="49"/>
  <c r="Q58" i="49"/>
  <c r="P173" i="49" s="1"/>
  <c r="H173" i="49"/>
  <c r="P32" i="49"/>
  <c r="O147" i="49" s="1"/>
  <c r="G147" i="49"/>
  <c r="P71" i="49"/>
  <c r="O186" i="49" s="1"/>
  <c r="G186" i="49"/>
  <c r="P43" i="49"/>
  <c r="O158" i="49" s="1"/>
  <c r="G158" i="49"/>
  <c r="R49" i="49"/>
  <c r="Q164" i="49" s="1"/>
  <c r="I164" i="49"/>
  <c r="R21" i="49"/>
  <c r="Q136" i="49" s="1"/>
  <c r="I136" i="49"/>
  <c r="R36" i="49"/>
  <c r="Q151" i="49" s="1"/>
  <c r="I151" i="49"/>
  <c r="P76" i="49"/>
  <c r="O191" i="49" s="1"/>
  <c r="G191" i="49"/>
  <c r="P56" i="49"/>
  <c r="O171" i="49" s="1"/>
  <c r="G171" i="49"/>
  <c r="R30" i="49"/>
  <c r="Q145" i="49" s="1"/>
  <c r="I145" i="49"/>
  <c r="R41" i="49"/>
  <c r="Q156" i="49" s="1"/>
  <c r="I156" i="49"/>
  <c r="Q47" i="49"/>
  <c r="P162" i="49" s="1"/>
  <c r="H162" i="49"/>
  <c r="Q19" i="49"/>
  <c r="P134" i="49" s="1"/>
  <c r="H134" i="49"/>
  <c r="P28" i="49"/>
  <c r="O143" i="49" s="1"/>
  <c r="G143" i="49"/>
  <c r="P74" i="49"/>
  <c r="O189" i="49" s="1"/>
  <c r="G189" i="49"/>
  <c r="P46" i="49"/>
  <c r="O161" i="49" s="1"/>
  <c r="G161" i="49"/>
  <c r="R52" i="49"/>
  <c r="Q167" i="49" s="1"/>
  <c r="I167" i="49"/>
  <c r="Q22" i="49"/>
  <c r="P137" i="49" s="1"/>
  <c r="H137" i="49"/>
  <c r="Q39" i="49"/>
  <c r="P154" i="49" s="1"/>
  <c r="H154" i="49"/>
  <c r="P27" i="49"/>
  <c r="O142" i="49" s="1"/>
  <c r="G142" i="49"/>
  <c r="P17" i="49"/>
  <c r="O132" i="49" s="1"/>
  <c r="G132" i="49"/>
  <c r="R57" i="49"/>
  <c r="Q172" i="49" s="1"/>
  <c r="I172" i="49"/>
  <c r="R72" i="49"/>
  <c r="Q187" i="49" s="1"/>
  <c r="I187" i="49"/>
  <c r="R44" i="49"/>
  <c r="Q159" i="49" s="1"/>
  <c r="I159" i="49"/>
  <c r="Q50" i="49"/>
  <c r="P165" i="49" s="1"/>
  <c r="H165" i="49"/>
  <c r="P20" i="49"/>
  <c r="O135" i="49" s="1"/>
  <c r="G135" i="49"/>
  <c r="P37" i="49"/>
  <c r="O152" i="49" s="1"/>
  <c r="G152" i="49"/>
  <c r="P25" i="49"/>
  <c r="O140" i="49" s="1"/>
  <c r="G140" i="49"/>
  <c r="N15" i="48"/>
  <c r="N13" i="48"/>
  <c r="N18" i="48" s="1"/>
  <c r="G15" i="48"/>
  <c r="G14" i="48"/>
  <c r="E26" i="48" s="1"/>
  <c r="R23" i="49"/>
  <c r="Q138" i="49" s="1"/>
  <c r="Q24" i="49"/>
  <c r="P139" i="49" s="1"/>
  <c r="Q14" i="49" l="1"/>
  <c r="P129" i="49" s="1"/>
  <c r="P8" i="49"/>
  <c r="O123" i="49" s="1"/>
  <c r="R13" i="49"/>
  <c r="Q128" i="49" s="1"/>
  <c r="I138" i="49"/>
  <c r="H139" i="49"/>
  <c r="P93" i="49"/>
  <c r="O208" i="49" s="1"/>
  <c r="P94" i="49"/>
  <c r="O209" i="49" s="1"/>
  <c r="G197" i="49"/>
  <c r="P82" i="49"/>
  <c r="O197" i="49" s="1"/>
  <c r="I195" i="49"/>
  <c r="R80" i="49"/>
  <c r="Q195" i="49" s="1"/>
  <c r="H193" i="49"/>
  <c r="Q78" i="49"/>
  <c r="P193" i="49" s="1"/>
  <c r="I192" i="49"/>
  <c r="R77" i="49"/>
  <c r="Q192" i="49" s="1"/>
  <c r="Q85" i="49"/>
  <c r="P200" i="49" s="1"/>
  <c r="R94" i="49"/>
  <c r="Q209" i="49" s="1"/>
  <c r="I203" i="49"/>
  <c r="Q80" i="49"/>
  <c r="P195" i="49" s="1"/>
  <c r="R87" i="49"/>
  <c r="Q202" i="49" s="1"/>
  <c r="H204" i="49"/>
  <c r="I197" i="49"/>
  <c r="G194" i="49"/>
  <c r="P92" i="49"/>
  <c r="O207" i="49" s="1"/>
  <c r="Q84" i="49"/>
  <c r="P199" i="49" s="1"/>
  <c r="H208" i="49"/>
  <c r="R86" i="49"/>
  <c r="Q201" i="49" s="1"/>
  <c r="H203" i="49"/>
  <c r="P81" i="49"/>
  <c r="O196" i="49" s="1"/>
  <c r="R91" i="49"/>
  <c r="Q206" i="49" s="1"/>
  <c r="I205" i="49"/>
  <c r="I180" i="49"/>
  <c r="P99" i="49"/>
  <c r="O214" i="49" s="1"/>
  <c r="I214" i="49"/>
  <c r="Q66" i="49"/>
  <c r="P181" i="49" s="1"/>
  <c r="I181" i="49"/>
  <c r="I183" i="49"/>
  <c r="P70" i="49"/>
  <c r="O185" i="49" s="1"/>
  <c r="G184" i="49"/>
  <c r="Q97" i="49"/>
  <c r="P212" i="49" s="1"/>
  <c r="P97" i="49"/>
  <c r="O212" i="49" s="1"/>
  <c r="P98" i="49"/>
  <c r="O213" i="49" s="1"/>
  <c r="P67" i="49"/>
  <c r="O182" i="49" s="1"/>
  <c r="G177" i="49"/>
  <c r="P62" i="49"/>
  <c r="O177" i="49" s="1"/>
  <c r="I182" i="49"/>
  <c r="R67" i="49"/>
  <c r="Q182" i="49" s="1"/>
  <c r="H184" i="49"/>
  <c r="Q69" i="49"/>
  <c r="P184" i="49" s="1"/>
  <c r="G178" i="49"/>
  <c r="P63" i="49"/>
  <c r="O178" i="49" s="1"/>
  <c r="I175" i="49"/>
  <c r="R60" i="49"/>
  <c r="Q175" i="49" s="1"/>
  <c r="H179" i="49"/>
  <c r="Q64" i="49"/>
  <c r="P179" i="49" s="1"/>
  <c r="H175" i="49"/>
  <c r="Q60" i="49"/>
  <c r="P175" i="49" s="1"/>
  <c r="I213" i="49"/>
  <c r="R98" i="49"/>
  <c r="Q213" i="49" s="1"/>
  <c r="H197" i="49"/>
  <c r="Q82" i="49"/>
  <c r="P197" i="49" s="1"/>
  <c r="H176" i="49"/>
  <c r="Q61" i="49"/>
  <c r="P176" i="49" s="1"/>
  <c r="H213" i="49"/>
  <c r="Q98" i="49"/>
  <c r="P213" i="49" s="1"/>
  <c r="I208" i="49"/>
  <c r="R93" i="49"/>
  <c r="Q208" i="49" s="1"/>
  <c r="I177" i="49"/>
  <c r="R62" i="49"/>
  <c r="Q177" i="49" s="1"/>
  <c r="H196" i="49"/>
  <c r="Q81" i="49"/>
  <c r="P196" i="49" s="1"/>
  <c r="Q77" i="49"/>
  <c r="P192" i="49" s="1"/>
  <c r="H192" i="49"/>
  <c r="G192" i="49"/>
  <c r="P77" i="49"/>
  <c r="O192" i="49" s="1"/>
  <c r="Q65" i="49"/>
  <c r="P180" i="49" s="1"/>
  <c r="H180" i="49"/>
  <c r="R81" i="49"/>
  <c r="Q196" i="49" s="1"/>
  <c r="I196" i="49"/>
  <c r="H206" i="49"/>
  <c r="Q91" i="49"/>
  <c r="P206" i="49" s="1"/>
  <c r="I207" i="49"/>
  <c r="R92" i="49"/>
  <c r="Q207" i="49" s="1"/>
  <c r="H205" i="49"/>
  <c r="Q90" i="49"/>
  <c r="P205" i="49" s="1"/>
  <c r="I194" i="49"/>
  <c r="R79" i="49"/>
  <c r="Q194" i="49" s="1"/>
  <c r="G176" i="49"/>
  <c r="P61" i="49"/>
  <c r="O176" i="49" s="1"/>
  <c r="G174" i="49"/>
  <c r="P59" i="49"/>
  <c r="O174" i="49" s="1"/>
  <c r="I193" i="49"/>
  <c r="R78" i="49"/>
  <c r="Q193" i="49" s="1"/>
  <c r="G179" i="49"/>
  <c r="P64" i="49"/>
  <c r="O179" i="49" s="1"/>
  <c r="I204" i="49"/>
  <c r="R89" i="49"/>
  <c r="Q204" i="49" s="1"/>
  <c r="H215" i="49"/>
  <c r="Q100" i="49"/>
  <c r="P215" i="49" s="1"/>
  <c r="I215" i="49"/>
  <c r="R100" i="49"/>
  <c r="Q215" i="49" s="1"/>
  <c r="H183" i="49"/>
  <c r="Q68" i="49"/>
  <c r="P183" i="49" s="1"/>
  <c r="H207" i="49"/>
  <c r="Q92" i="49"/>
  <c r="P207" i="49" s="1"/>
  <c r="I185" i="49"/>
  <c r="R70" i="49"/>
  <c r="Q185" i="49" s="1"/>
  <c r="G193" i="49"/>
  <c r="P78" i="49"/>
  <c r="O193" i="49" s="1"/>
  <c r="R97" i="49"/>
  <c r="Q212" i="49" s="1"/>
  <c r="I212" i="49"/>
  <c r="I178" i="49"/>
  <c r="R63" i="49"/>
  <c r="Q178" i="49" s="1"/>
  <c r="Q99" i="49"/>
  <c r="P214" i="49" s="1"/>
  <c r="H214" i="49"/>
  <c r="H209" i="49"/>
  <c r="Q94" i="49"/>
  <c r="P209" i="49" s="1"/>
  <c r="I174" i="49"/>
  <c r="R59" i="49"/>
  <c r="Q174" i="49" s="1"/>
  <c r="G195" i="49"/>
  <c r="P80" i="49"/>
  <c r="O195" i="49" s="1"/>
  <c r="R42" i="49"/>
  <c r="Q157" i="49" s="1"/>
  <c r="I157" i="49"/>
  <c r="Q54" i="49"/>
  <c r="P169" i="49" s="1"/>
  <c r="H169" i="49"/>
  <c r="Q71" i="49"/>
  <c r="P186" i="49" s="1"/>
  <c r="H186" i="49"/>
  <c r="Q15" i="49"/>
  <c r="P130" i="49" s="1"/>
  <c r="H130" i="49"/>
  <c r="Q53" i="49"/>
  <c r="P168" i="49" s="1"/>
  <c r="H168" i="49"/>
  <c r="R75" i="49"/>
  <c r="Q190" i="49" s="1"/>
  <c r="I190" i="49"/>
  <c r="R20" i="49"/>
  <c r="Q135" i="49" s="1"/>
  <c r="I135" i="49"/>
  <c r="R56" i="49"/>
  <c r="Q171" i="49" s="1"/>
  <c r="I171" i="49"/>
  <c r="R32" i="49"/>
  <c r="Q147" i="49" s="1"/>
  <c r="I147" i="49"/>
  <c r="Q36" i="49"/>
  <c r="P151" i="49" s="1"/>
  <c r="H151" i="49"/>
  <c r="Q25" i="49"/>
  <c r="P140" i="49" s="1"/>
  <c r="H140" i="49"/>
  <c r="Q49" i="49"/>
  <c r="P164" i="49" s="1"/>
  <c r="H164" i="49"/>
  <c r="R71" i="49"/>
  <c r="Q186" i="49" s="1"/>
  <c r="I186" i="49"/>
  <c r="R73" i="49"/>
  <c r="Q188" i="49" s="1"/>
  <c r="I188" i="49"/>
  <c r="P23" i="49"/>
  <c r="O138" i="49" s="1"/>
  <c r="G138" i="49"/>
  <c r="P57" i="49"/>
  <c r="O172" i="49" s="1"/>
  <c r="G172" i="49"/>
  <c r="P48" i="49"/>
  <c r="O163" i="49" s="1"/>
  <c r="G163" i="49"/>
  <c r="Q18" i="49"/>
  <c r="P133" i="49" s="1"/>
  <c r="H133" i="49"/>
  <c r="P33" i="49"/>
  <c r="O148" i="49" s="1"/>
  <c r="G148" i="49"/>
  <c r="P30" i="49"/>
  <c r="O145" i="49" s="1"/>
  <c r="G145" i="49"/>
  <c r="P36" i="49"/>
  <c r="O151" i="49" s="1"/>
  <c r="G151" i="49"/>
  <c r="P72" i="49"/>
  <c r="O187" i="49" s="1"/>
  <c r="G187" i="49"/>
  <c r="P24" i="49"/>
  <c r="O139" i="49" s="1"/>
  <c r="G139" i="49"/>
  <c r="R38" i="49"/>
  <c r="Q153" i="49" s="1"/>
  <c r="I153" i="49"/>
  <c r="Q72" i="49"/>
  <c r="P187" i="49" s="1"/>
  <c r="H187" i="49"/>
  <c r="R51" i="49"/>
  <c r="Q166" i="49" s="1"/>
  <c r="I166" i="49"/>
  <c r="Q51" i="49"/>
  <c r="P166" i="49" s="1"/>
  <c r="H166" i="49"/>
  <c r="R15" i="49"/>
  <c r="Q130" i="49" s="1"/>
  <c r="I130" i="49"/>
  <c r="P75" i="49"/>
  <c r="O190" i="49" s="1"/>
  <c r="G190" i="49"/>
  <c r="P21" i="49"/>
  <c r="O136" i="49" s="1"/>
  <c r="G136" i="49"/>
  <c r="R35" i="49"/>
  <c r="Q150" i="49" s="1"/>
  <c r="I150" i="49"/>
  <c r="R47" i="49"/>
  <c r="Q162" i="49" s="1"/>
  <c r="I162" i="49"/>
  <c r="R24" i="49"/>
  <c r="Q139" i="49" s="1"/>
  <c r="I139" i="49"/>
  <c r="Q17" i="49"/>
  <c r="P132" i="49" s="1"/>
  <c r="H132" i="49"/>
  <c r="Q32" i="49"/>
  <c r="P147" i="49" s="1"/>
  <c r="H147" i="49"/>
  <c r="Q38" i="49"/>
  <c r="P153" i="49" s="1"/>
  <c r="H153" i="49"/>
  <c r="Q74" i="49"/>
  <c r="P189" i="49" s="1"/>
  <c r="H189" i="49"/>
  <c r="R16" i="49"/>
  <c r="Q131" i="49" s="1"/>
  <c r="I131" i="49"/>
  <c r="Q26" i="49"/>
  <c r="P141" i="49" s="1"/>
  <c r="H141" i="49"/>
  <c r="P42" i="49"/>
  <c r="O157" i="49" s="1"/>
  <c r="G157" i="49"/>
  <c r="R74" i="49"/>
  <c r="Q189" i="49" s="1"/>
  <c r="I189" i="49"/>
  <c r="Q57" i="49"/>
  <c r="P172" i="49" s="1"/>
  <c r="H172" i="49"/>
  <c r="R31" i="49"/>
  <c r="Q146" i="49" s="1"/>
  <c r="I146" i="49"/>
  <c r="Q87" i="49"/>
  <c r="P202" i="49" s="1"/>
  <c r="H202" i="49"/>
  <c r="P19" i="49"/>
  <c r="O134" i="49" s="1"/>
  <c r="G134" i="49"/>
  <c r="Q35" i="49"/>
  <c r="P150" i="49" s="1"/>
  <c r="H150" i="49"/>
  <c r="Q73" i="49"/>
  <c r="P188" i="49" s="1"/>
  <c r="H188" i="49"/>
  <c r="R25" i="49"/>
  <c r="Q140" i="49" s="1"/>
  <c r="I140" i="49"/>
  <c r="Q48" i="49"/>
  <c r="P163" i="49" s="1"/>
  <c r="H163" i="49"/>
  <c r="Q37" i="49"/>
  <c r="P152" i="49" s="1"/>
  <c r="H152" i="49"/>
  <c r="R19" i="49"/>
  <c r="Q134" i="49" s="1"/>
  <c r="I134" i="49"/>
  <c r="R39" i="49"/>
  <c r="Q154" i="49" s="1"/>
  <c r="I154" i="49"/>
  <c r="P14" i="49"/>
  <c r="O129" i="49" s="1"/>
  <c r="G129" i="49"/>
  <c r="R34" i="49"/>
  <c r="Q149" i="49" s="1"/>
  <c r="I149" i="49"/>
  <c r="R40" i="49"/>
  <c r="Q155" i="49" s="1"/>
  <c r="I155" i="49"/>
  <c r="R76" i="49"/>
  <c r="Q191" i="49" s="1"/>
  <c r="I191" i="49"/>
  <c r="R28" i="49"/>
  <c r="Q143" i="49" s="1"/>
  <c r="I143" i="49"/>
  <c r="Q44" i="49"/>
  <c r="P159" i="49" s="1"/>
  <c r="H159" i="49"/>
  <c r="Q41" i="49"/>
  <c r="P156" i="49" s="1"/>
  <c r="H156" i="49"/>
  <c r="P83" i="49"/>
  <c r="O198" i="49" s="1"/>
  <c r="G198" i="49"/>
  <c r="P55" i="49"/>
  <c r="O170" i="49" s="1"/>
  <c r="G170" i="49"/>
  <c r="P41" i="49"/>
  <c r="O156" i="49" s="1"/>
  <c r="G156" i="49"/>
  <c r="P58" i="49"/>
  <c r="O173" i="49" s="1"/>
  <c r="G173" i="49"/>
  <c r="R45" i="49"/>
  <c r="Q160" i="49" s="1"/>
  <c r="I160" i="49"/>
  <c r="R55" i="49"/>
  <c r="Q170" i="49" s="1"/>
  <c r="I170" i="49"/>
  <c r="R83" i="49"/>
  <c r="Q198" i="49" s="1"/>
  <c r="I198" i="49"/>
  <c r="Q76" i="49"/>
  <c r="P191" i="49" s="1"/>
  <c r="H191" i="49"/>
  <c r="Q16" i="49"/>
  <c r="P131" i="49" s="1"/>
  <c r="H131" i="49"/>
  <c r="P44" i="49"/>
  <c r="O159" i="49" s="1"/>
  <c r="G159" i="49"/>
  <c r="P50" i="49"/>
  <c r="O165" i="49" s="1"/>
  <c r="G165" i="49"/>
  <c r="R46" i="49"/>
  <c r="Q161" i="49" s="1"/>
  <c r="I161" i="49"/>
  <c r="Q21" i="49"/>
  <c r="P136" i="49" s="1"/>
  <c r="H136" i="49"/>
  <c r="R43" i="49"/>
  <c r="Q158" i="49" s="1"/>
  <c r="I158" i="49"/>
  <c r="Q43" i="49"/>
  <c r="P158" i="49" s="1"/>
  <c r="H158" i="49"/>
  <c r="R37" i="49"/>
  <c r="Q152" i="49" s="1"/>
  <c r="I152" i="49"/>
  <c r="P85" i="49"/>
  <c r="O200" i="49" s="1"/>
  <c r="G200" i="49"/>
  <c r="R17" i="49"/>
  <c r="Q132" i="49" s="1"/>
  <c r="I132" i="49"/>
  <c r="Q34" i="49"/>
  <c r="P149" i="49" s="1"/>
  <c r="H149" i="49"/>
  <c r="P88" i="49"/>
  <c r="O203" i="49" s="1"/>
  <c r="G203" i="49"/>
  <c r="R48" i="49"/>
  <c r="Q163" i="49" s="1"/>
  <c r="I163" i="49"/>
  <c r="R50" i="49"/>
  <c r="Q165" i="49" s="1"/>
  <c r="I165" i="49"/>
  <c r="P54" i="49"/>
  <c r="O169" i="49" s="1"/>
  <c r="G169" i="49"/>
  <c r="Q56" i="49"/>
  <c r="P171" i="49" s="1"/>
  <c r="H171" i="49"/>
  <c r="Q31" i="49"/>
  <c r="P146" i="49" s="1"/>
  <c r="H146" i="49"/>
  <c r="P26" i="49"/>
  <c r="O141" i="49" s="1"/>
  <c r="G141" i="49"/>
  <c r="Q20" i="49"/>
  <c r="P135" i="49" s="1"/>
  <c r="H135" i="49"/>
  <c r="R58" i="49"/>
  <c r="Q173" i="49" s="1"/>
  <c r="I173" i="49"/>
  <c r="R33" i="49"/>
  <c r="Q148" i="49" s="1"/>
  <c r="I148" i="49"/>
  <c r="Q28" i="49"/>
  <c r="P143" i="49" s="1"/>
  <c r="H143" i="49"/>
  <c r="R18" i="49"/>
  <c r="Q133" i="49" s="1"/>
  <c r="I133" i="49"/>
  <c r="Q52" i="49"/>
  <c r="P167" i="49" s="1"/>
  <c r="H167" i="49"/>
  <c r="R29" i="49"/>
  <c r="Q144" i="49" s="1"/>
  <c r="I144" i="49"/>
  <c r="R53" i="49"/>
  <c r="Q168" i="49" s="1"/>
  <c r="I168" i="49"/>
  <c r="P39" i="49"/>
  <c r="O154" i="49" s="1"/>
  <c r="G154" i="49"/>
  <c r="P49" i="49"/>
  <c r="O164" i="49" s="1"/>
  <c r="G164" i="49"/>
  <c r="Q30" i="49"/>
  <c r="P145" i="49" s="1"/>
  <c r="H145" i="49"/>
  <c r="R22" i="49"/>
  <c r="Q137" i="49" s="1"/>
  <c r="I137" i="49"/>
  <c r="Q40" i="49"/>
  <c r="P155" i="49" s="1"/>
  <c r="H155" i="49"/>
  <c r="Q27" i="49"/>
  <c r="P142" i="49" s="1"/>
  <c r="H142" i="49"/>
  <c r="P52" i="49"/>
  <c r="O167" i="49" s="1"/>
  <c r="G167" i="49"/>
  <c r="R84" i="49"/>
  <c r="Q199" i="49" s="1"/>
  <c r="I199" i="49"/>
  <c r="P22" i="49"/>
  <c r="O137" i="49" s="1"/>
  <c r="G137" i="49"/>
  <c r="R54" i="49"/>
  <c r="Q169" i="49" s="1"/>
  <c r="I169" i="49"/>
  <c r="P86" i="49"/>
  <c r="O201" i="49" s="1"/>
  <c r="G201" i="49"/>
  <c r="Q23" i="49"/>
  <c r="P138" i="49" s="1"/>
  <c r="H138" i="49"/>
  <c r="Q13" i="49"/>
  <c r="P128" i="49" s="1"/>
  <c r="H128" i="49"/>
  <c r="R27" i="49"/>
  <c r="Q142" i="49" s="1"/>
  <c r="I142" i="49"/>
  <c r="P35" i="49"/>
  <c r="O150" i="49" s="1"/>
  <c r="G150" i="49"/>
  <c r="P47" i="49"/>
  <c r="O162" i="49" s="1"/>
  <c r="G162" i="49"/>
  <c r="Q7" i="49"/>
  <c r="P122" i="49" s="1"/>
  <c r="H122" i="49"/>
  <c r="R8" i="49"/>
  <c r="Q123" i="49" s="1"/>
  <c r="I123" i="49"/>
  <c r="P10" i="49"/>
  <c r="O125" i="49" s="1"/>
  <c r="G125" i="49"/>
  <c r="P7" i="49"/>
  <c r="O122" i="49" s="1"/>
  <c r="G122" i="49"/>
  <c r="J5" i="49"/>
  <c r="I5" i="49"/>
  <c r="H5" i="49"/>
  <c r="E32" i="48"/>
  <c r="V15" i="48"/>
  <c r="V26" i="48" s="1"/>
  <c r="H14" i="48"/>
  <c r="E27" i="48" s="1"/>
  <c r="J13" i="48"/>
  <c r="E23" i="48" s="1"/>
  <c r="I13" i="48"/>
  <c r="E22" i="48" s="1"/>
  <c r="I14" i="48"/>
  <c r="E28" i="48" s="1"/>
  <c r="H12" i="48"/>
  <c r="I12" i="48"/>
  <c r="H13" i="48"/>
  <c r="E21" i="48" s="1"/>
  <c r="I15" i="48"/>
  <c r="N25" i="48"/>
  <c r="N20" i="48"/>
  <c r="N29" i="48"/>
  <c r="N26" i="48"/>
  <c r="N19" i="48"/>
  <c r="V13" i="48"/>
  <c r="V18" i="48" s="1"/>
  <c r="N27" i="48"/>
  <c r="N22" i="48"/>
  <c r="N24" i="48"/>
  <c r="N23" i="48"/>
  <c r="J12" i="48"/>
  <c r="J15" i="48"/>
  <c r="E35" i="48" s="1"/>
  <c r="J14" i="48"/>
  <c r="E29" i="48" s="1"/>
  <c r="H11" i="48"/>
  <c r="F27" i="48" s="1"/>
  <c r="J11" i="48"/>
  <c r="F29" i="48" s="1"/>
  <c r="I11" i="48"/>
  <c r="V14" i="48"/>
  <c r="V22" i="48" s="1"/>
  <c r="F32" i="48"/>
  <c r="W26" i="48"/>
  <c r="F28" i="48" l="1"/>
  <c r="X11" i="48"/>
  <c r="G123" i="49"/>
  <c r="I128" i="49"/>
  <c r="H129" i="49"/>
  <c r="I209" i="49"/>
  <c r="R7" i="49"/>
  <c r="Q122" i="49" s="1"/>
  <c r="I122" i="49"/>
  <c r="Q8" i="49"/>
  <c r="P123" i="49" s="1"/>
  <c r="H123" i="49"/>
  <c r="R82" i="49"/>
  <c r="Q197" i="49" s="1"/>
  <c r="I206" i="49"/>
  <c r="R99" i="49"/>
  <c r="Q214" i="49" s="1"/>
  <c r="H200" i="49"/>
  <c r="Q88" i="49"/>
  <c r="P203" i="49" s="1"/>
  <c r="Q89" i="49"/>
  <c r="P204" i="49" s="1"/>
  <c r="I201" i="49"/>
  <c r="R65" i="49"/>
  <c r="Q180" i="49" s="1"/>
  <c r="P79" i="49"/>
  <c r="O194" i="49" s="1"/>
  <c r="R90" i="49"/>
  <c r="Q205" i="49" s="1"/>
  <c r="H195" i="49"/>
  <c r="H199" i="49"/>
  <c r="G185" i="49"/>
  <c r="H181" i="49"/>
  <c r="I202" i="49"/>
  <c r="R68" i="49"/>
  <c r="Q183" i="49" s="1"/>
  <c r="P69" i="49"/>
  <c r="O184" i="49" s="1"/>
  <c r="G204" i="49"/>
  <c r="P89" i="49"/>
  <c r="O204" i="49" s="1"/>
  <c r="P84" i="49"/>
  <c r="O199" i="49" s="1"/>
  <c r="G199" i="49"/>
  <c r="H201" i="49"/>
  <c r="Q86" i="49"/>
  <c r="P201" i="49" s="1"/>
  <c r="Q93" i="49"/>
  <c r="P208" i="49" s="1"/>
  <c r="G206" i="49"/>
  <c r="P91" i="49"/>
  <c r="O206" i="49" s="1"/>
  <c r="G205" i="49"/>
  <c r="P90" i="49"/>
  <c r="O205" i="49" s="1"/>
  <c r="R85" i="49"/>
  <c r="Q200" i="49" s="1"/>
  <c r="I200" i="49"/>
  <c r="G182" i="49"/>
  <c r="Q83" i="49"/>
  <c r="P198" i="49" s="1"/>
  <c r="H198" i="49"/>
  <c r="R66" i="49"/>
  <c r="Q181" i="49" s="1"/>
  <c r="P87" i="49"/>
  <c r="O202" i="49" s="1"/>
  <c r="G202" i="49"/>
  <c r="H212" i="49"/>
  <c r="I184" i="49"/>
  <c r="R69" i="49"/>
  <c r="Q184" i="49" s="1"/>
  <c r="G183" i="49"/>
  <c r="P68" i="49"/>
  <c r="O183" i="49" s="1"/>
  <c r="H182" i="49"/>
  <c r="Q67" i="49"/>
  <c r="P182" i="49" s="1"/>
  <c r="G180" i="49"/>
  <c r="P65" i="49"/>
  <c r="O180" i="49" s="1"/>
  <c r="H185" i="49"/>
  <c r="Q70" i="49"/>
  <c r="P185" i="49" s="1"/>
  <c r="Q10" i="49"/>
  <c r="P125" i="49" s="1"/>
  <c r="H125" i="49"/>
  <c r="Q6" i="49"/>
  <c r="P121" i="49" s="1"/>
  <c r="H121" i="49"/>
  <c r="Q5" i="49"/>
  <c r="P120" i="49" s="1"/>
  <c r="H120" i="49"/>
  <c r="P9" i="49"/>
  <c r="O124" i="49" s="1"/>
  <c r="G124" i="49"/>
  <c r="R9" i="49"/>
  <c r="Q124" i="49" s="1"/>
  <c r="I124" i="49"/>
  <c r="R10" i="49"/>
  <c r="Q125" i="49" s="1"/>
  <c r="I125" i="49"/>
  <c r="R5" i="49"/>
  <c r="Q120" i="49" s="1"/>
  <c r="I120" i="49"/>
  <c r="Q9" i="49"/>
  <c r="P124" i="49" s="1"/>
  <c r="H124" i="49"/>
  <c r="P5" i="49"/>
  <c r="O120" i="49" s="1"/>
  <c r="G120" i="49"/>
  <c r="R6" i="49"/>
  <c r="Q121" i="49" s="1"/>
  <c r="I121" i="49"/>
  <c r="X13" i="48"/>
  <c r="V20" i="48" s="1"/>
  <c r="F34" i="48"/>
  <c r="X12" i="48"/>
  <c r="W28" i="48" s="1"/>
  <c r="F33" i="48"/>
  <c r="W12" i="48"/>
  <c r="W27" i="48" s="1"/>
  <c r="F35" i="48"/>
  <c r="Y12" i="48"/>
  <c r="W29" i="48" s="1"/>
  <c r="E34" i="48"/>
  <c r="X15" i="48"/>
  <c r="V28" i="48" s="1"/>
  <c r="N21" i="48"/>
  <c r="X14" i="48"/>
  <c r="V24" i="48" s="1"/>
  <c r="W14" i="48"/>
  <c r="V23" i="48" s="1"/>
  <c r="Y13" i="48"/>
  <c r="V21" i="48" s="1"/>
  <c r="N28" i="48"/>
  <c r="W13" i="48"/>
  <c r="V19" i="48" s="1"/>
  <c r="N30" i="48"/>
  <c r="N31" i="48"/>
  <c r="N32" i="48"/>
  <c r="Y14" i="48"/>
  <c r="V25" i="48" s="1"/>
  <c r="Y15" i="48"/>
  <c r="V29" i="48" s="1"/>
  <c r="I211" i="49" l="1"/>
  <c r="R96" i="49"/>
  <c r="Q211" i="49" s="1"/>
  <c r="H6" i="49" l="1"/>
  <c r="H15" i="48"/>
  <c r="P12" i="49"/>
  <c r="O127" i="49" s="1"/>
  <c r="H211" i="49"/>
  <c r="Q96" i="49"/>
  <c r="P211" i="49" s="1"/>
  <c r="I10" i="48"/>
  <c r="F22" i="48" s="1"/>
  <c r="G211" i="49"/>
  <c r="P96" i="49"/>
  <c r="O211" i="49" s="1"/>
  <c r="H10" i="48"/>
  <c r="I210" i="49"/>
  <c r="R95" i="49"/>
  <c r="Q210" i="49" s="1"/>
  <c r="J10" i="48"/>
  <c r="F23" i="48" s="1"/>
  <c r="H21" i="35"/>
  <c r="H22" i="35"/>
  <c r="H20" i="35"/>
  <c r="E33" i="48" l="1"/>
  <c r="W15" i="48"/>
  <c r="V27" i="48" s="1"/>
  <c r="F21" i="48"/>
  <c r="W10" i="48"/>
  <c r="G127" i="49"/>
  <c r="P6" i="49"/>
  <c r="O121" i="49" s="1"/>
  <c r="G121" i="49"/>
  <c r="H210" i="49"/>
  <c r="Q95" i="49"/>
  <c r="P210" i="49" s="1"/>
  <c r="G210" i="49"/>
  <c r="P95" i="49"/>
  <c r="O210" i="49" s="1"/>
  <c r="K39" i="47"/>
  <c r="K35" i="47"/>
  <c r="I35" i="47"/>
  <c r="K31" i="47"/>
  <c r="K27" i="47"/>
  <c r="I27" i="47"/>
  <c r="O38" i="47" l="1"/>
  <c r="Q37" i="47"/>
  <c r="O37" i="47"/>
  <c r="O35" i="47"/>
  <c r="Q36" i="47"/>
  <c r="R37" i="47"/>
  <c r="Q35" i="47"/>
  <c r="R36" i="47"/>
  <c r="M38" i="47"/>
  <c r="M36" i="47"/>
  <c r="N37" i="47"/>
  <c r="R38" i="47"/>
  <c r="Q38" i="47"/>
  <c r="R35" i="47"/>
  <c r="P37" i="47"/>
  <c r="N36" i="47"/>
  <c r="M37" i="47"/>
  <c r="N38" i="47"/>
  <c r="N35" i="47"/>
  <c r="P36" i="47"/>
  <c r="P35" i="47"/>
  <c r="O36" i="47"/>
  <c r="M35" i="47"/>
  <c r="P38" i="47"/>
  <c r="P28" i="47"/>
  <c r="M27" i="47"/>
  <c r="R28" i="47"/>
  <c r="Q30" i="47"/>
  <c r="M30" i="47"/>
  <c r="N28" i="47"/>
  <c r="N29" i="47"/>
  <c r="N27" i="47"/>
  <c r="N30" i="47"/>
  <c r="Q28" i="47"/>
  <c r="M28" i="47"/>
  <c r="P29" i="47"/>
  <c r="M29" i="47"/>
  <c r="O27" i="47"/>
  <c r="O29" i="47"/>
  <c r="R27" i="47"/>
  <c r="O30" i="47"/>
  <c r="R29" i="47"/>
  <c r="P30" i="47"/>
  <c r="Q29" i="47"/>
  <c r="O28" i="47"/>
  <c r="R30" i="47"/>
  <c r="Q27" i="47"/>
  <c r="P27" i="47"/>
  <c r="F35" i="47"/>
  <c r="E35" i="47"/>
  <c r="D35" i="47"/>
  <c r="F27" i="47"/>
  <c r="E27" i="47"/>
  <c r="D27" i="47"/>
  <c r="K23" i="47"/>
  <c r="K19" i="47"/>
  <c r="I19" i="47"/>
  <c r="F19" i="47"/>
  <c r="E19" i="47"/>
  <c r="D19" i="47"/>
  <c r="R21" i="40"/>
  <c r="F21" i="40"/>
  <c r="E21" i="40"/>
  <c r="D21" i="40"/>
  <c r="U27" i="31"/>
  <c r="U22" i="31"/>
  <c r="U17" i="31"/>
  <c r="M20" i="47" l="1"/>
  <c r="R20" i="47"/>
  <c r="P21" i="47"/>
  <c r="N19" i="47"/>
  <c r="M22" i="47"/>
  <c r="R22" i="47"/>
  <c r="P22" i="47"/>
  <c r="M21" i="47"/>
  <c r="P20" i="47"/>
  <c r="O21" i="47"/>
  <c r="R19" i="47"/>
  <c r="Q21" i="47"/>
  <c r="N22" i="47"/>
  <c r="Q22" i="47"/>
  <c r="R21" i="47"/>
  <c r="O20" i="47"/>
  <c r="Q19" i="47"/>
  <c r="O19" i="47"/>
  <c r="Q20" i="47"/>
  <c r="P19" i="47"/>
  <c r="O22" i="47"/>
  <c r="U21" i="40"/>
  <c r="V22" i="40"/>
  <c r="W21" i="40"/>
  <c r="V21" i="40"/>
  <c r="U22" i="40"/>
  <c r="W22" i="40"/>
  <c r="X22" i="40"/>
  <c r="X21" i="40"/>
  <c r="F22" i="31"/>
  <c r="U21" i="31"/>
  <c r="S21" i="31"/>
  <c r="L21" i="31"/>
  <c r="K21" i="31"/>
  <c r="F21" i="31"/>
  <c r="C21" i="31"/>
  <c r="X19" i="31"/>
  <c r="W19" i="31"/>
  <c r="O21" i="31" l="1"/>
  <c r="P22" i="31"/>
  <c r="O22" i="31"/>
  <c r="G22" i="31"/>
  <c r="V21" i="31" l="1"/>
  <c r="X21" i="31"/>
  <c r="X22" i="31"/>
  <c r="V22" i="31"/>
  <c r="H22" i="31"/>
  <c r="W22" i="31" s="1"/>
  <c r="H21" i="31"/>
  <c r="Y21" i="31" s="1"/>
  <c r="X24" i="31"/>
  <c r="W24" i="31"/>
  <c r="X14" i="31"/>
  <c r="W14" i="31"/>
  <c r="S16" i="31"/>
  <c r="U16" i="31"/>
  <c r="S26" i="31"/>
  <c r="U26" i="31"/>
  <c r="R23" i="40"/>
  <c r="R19" i="40"/>
  <c r="F23" i="40"/>
  <c r="E23" i="40"/>
  <c r="D23" i="40"/>
  <c r="E19" i="40"/>
  <c r="F19" i="40"/>
  <c r="D19" i="40"/>
  <c r="F27" i="31"/>
  <c r="F26" i="31"/>
  <c r="F17" i="31"/>
  <c r="L26" i="31"/>
  <c r="K26" i="31"/>
  <c r="C26" i="31"/>
  <c r="C16" i="31"/>
  <c r="L16" i="31"/>
  <c r="C5" i="38"/>
  <c r="V23" i="40" l="1"/>
  <c r="X24" i="40"/>
  <c r="U23" i="40"/>
  <c r="U24" i="40"/>
  <c r="X23" i="40"/>
  <c r="W24" i="40"/>
  <c r="W23" i="40"/>
  <c r="V24" i="40"/>
  <c r="P26" i="31"/>
  <c r="O26" i="31"/>
  <c r="P27" i="31"/>
  <c r="O27" i="31"/>
  <c r="O16" i="31"/>
  <c r="X20" i="40"/>
  <c r="U20" i="40"/>
  <c r="W20" i="40"/>
  <c r="W19" i="40"/>
  <c r="V20" i="40"/>
  <c r="X19" i="40"/>
  <c r="U19" i="40"/>
  <c r="V19" i="40"/>
  <c r="W21" i="31"/>
  <c r="Y22" i="31"/>
  <c r="G27" i="31"/>
  <c r="V10" i="48"/>
  <c r="W17" i="31" l="1"/>
  <c r="V17" i="31"/>
  <c r="X17" i="31"/>
  <c r="Y17" i="31"/>
  <c r="W16" i="31"/>
  <c r="V16" i="31"/>
  <c r="X26" i="31"/>
  <c r="X16" i="31"/>
  <c r="Y16" i="31"/>
  <c r="V26" i="31"/>
  <c r="V27" i="31"/>
  <c r="X27" i="31"/>
  <c r="H26" i="31"/>
  <c r="Y26" i="31" s="1"/>
  <c r="H27" i="31"/>
  <c r="Y27" i="31" s="1"/>
  <c r="O25" i="48"/>
  <c r="O27" i="48"/>
  <c r="O26" i="48"/>
  <c r="N11" i="48"/>
  <c r="O23" i="48" s="1"/>
  <c r="V11" i="48"/>
  <c r="W22" i="48" s="1"/>
  <c r="O19" i="48"/>
  <c r="N10" i="48"/>
  <c r="O18" i="48" s="1"/>
  <c r="W18" i="48"/>
  <c r="O24" i="48"/>
  <c r="W27" i="31" l="1"/>
  <c r="W26" i="31"/>
  <c r="Y11" i="48"/>
  <c r="W25" i="48" s="1"/>
  <c r="W24" i="48"/>
  <c r="O20" i="48"/>
  <c r="W19" i="48"/>
  <c r="O22" i="48"/>
  <c r="Y10" i="48"/>
  <c r="W21" i="48" s="1"/>
  <c r="W11" i="48"/>
  <c r="O21" i="48"/>
  <c r="X10" i="48"/>
  <c r="W20" i="48" s="1"/>
  <c r="W23" i="48" l="1"/>
  <c r="P8" i="39" l="1"/>
  <c r="P7" i="39"/>
  <c r="P6"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tc={24CFD33F-F116-4ADD-B12D-1D4BACC7815A}</author>
  </authors>
  <commentList>
    <comment ref="F7" authorId="0" shapeId="0" xr:uid="{24CFD33F-F116-4ADD-B12D-1D4BACC7815A}">
      <text>
        <t>[Threaded comment]
Your version of Excel allows you to read this threaded comment; however, any edits to it will get removed if the file is opened in a newer version of Excel. Learn more: https://go.microsoft.com/fwlink/?linkid=870924
Comment:
    Click on this cell and then click freeze panes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<sst xmlns="http://schemas.openxmlformats.org/spreadsheetml/2006/main" count="3301" uniqueCount="470">
  <si>
    <t>Description of this workbook:</t>
  </si>
  <si>
    <t>Worksheet</t>
  </si>
  <si>
    <t>Description</t>
  </si>
  <si>
    <t>Calculation Summary</t>
  </si>
  <si>
    <t>Dashboard</t>
  </si>
  <si>
    <t>RR</t>
  </si>
  <si>
    <t>Aggregate RR</t>
  </si>
  <si>
    <t>As described above the remaining spreadsheets are data storage and calculation spreadsheets. These worksheets store the exposure estimates, health values and store some of the risk calculations. The user does not need to access these worksheets to use the Dashboard and RR spreadsheets as described above; all results are automatically loaded into the Dashboard and RR spreadsheets.</t>
  </si>
  <si>
    <t>Equations and Calculations Used for Risk Calculator</t>
  </si>
  <si>
    <t>Exposure Type</t>
  </si>
  <si>
    <t>Equation</t>
  </si>
  <si>
    <t>Equation Parameters</t>
  </si>
  <si>
    <t>Acute Dose (AD) (mg/kg/day)</t>
  </si>
  <si>
    <t>Inhalation Exposure Risk Calculations</t>
  </si>
  <si>
    <t>Human Equivalent Dose (HED) (mg/kg)</t>
  </si>
  <si>
    <t>see Health Data tab</t>
  </si>
  <si>
    <t>Benchmark Margin of Exposure (MOE) (unitless)</t>
  </si>
  <si>
    <t>Acute MOE (unitless)</t>
  </si>
  <si>
    <t>The calculated MOE is then compared with the Benchmark MOE; if the calculated MOE is less than the benchmark MOE then there is risk.</t>
  </si>
  <si>
    <t>Intermediate MOE (unitless)</t>
  </si>
  <si>
    <t>HED / IADD</t>
  </si>
  <si>
    <t>Chronic, Non-Cancer MOE (unitless)</t>
  </si>
  <si>
    <t>Dermal Exposures</t>
  </si>
  <si>
    <r>
      <t>IADD = APDR x EF</t>
    </r>
    <r>
      <rPr>
        <vertAlign val="subscript"/>
        <sz val="10"/>
        <color theme="1"/>
        <rFont val="Times New Roman"/>
        <family val="1"/>
      </rPr>
      <t>int</t>
    </r>
    <r>
      <rPr>
        <sz val="10"/>
        <color theme="1"/>
        <rFont val="Times New Roman"/>
        <family val="1"/>
      </rPr>
      <t xml:space="preserve"> / BW x ID</t>
    </r>
  </si>
  <si>
    <t>Dermal Exposure Risk Calculations</t>
  </si>
  <si>
    <t>Occupational Exposure Scenario</t>
  </si>
  <si>
    <t>Personal Protective Equipment (PPE)</t>
  </si>
  <si>
    <t>Dermal</t>
  </si>
  <si>
    <t>Select the Occupational Exposure Scenario (select)</t>
  </si>
  <si>
    <t>Data Type
(Auto-Fill)</t>
  </si>
  <si>
    <t>Respirator Protection Factor (Select)</t>
  </si>
  <si>
    <t>Glove Protection Factor (Select)</t>
  </si>
  <si>
    <t>Worker Type
(Default)</t>
  </si>
  <si>
    <t>Manufacturing</t>
  </si>
  <si>
    <t>Average Adult Worker</t>
  </si>
  <si>
    <t>Inhalation</t>
  </si>
  <si>
    <t>Aggregate Inhalation and Dermal</t>
  </si>
  <si>
    <t>Exposure Outputs</t>
  </si>
  <si>
    <t>Category</t>
  </si>
  <si>
    <t>Exposure Level</t>
  </si>
  <si>
    <t>Acute Dose</t>
  </si>
  <si>
    <t>Intermediate, Non-Cancer Exposures</t>
  </si>
  <si>
    <t>Average Daily Dose, Chronic Non-Cancer Exposures</t>
  </si>
  <si>
    <t>Lifetime Average Daily Dose, Cancer</t>
  </si>
  <si>
    <t>Intermediate Average Daily Dose</t>
  </si>
  <si>
    <t>AD (mg/kg/day)</t>
  </si>
  <si>
    <t>IADD (mg/kg/day)</t>
  </si>
  <si>
    <t>ADD (mg/kg/day)</t>
  </si>
  <si>
    <t>LADD (mg/kg/day)</t>
  </si>
  <si>
    <t>ADD, non-cancer (mg/kg/day)</t>
  </si>
  <si>
    <t>LADD, cancer (mg/kg/day)</t>
  </si>
  <si>
    <t>AD ((mg/kg/day))</t>
  </si>
  <si>
    <t>High-End</t>
  </si>
  <si>
    <t>Central Tendency</t>
  </si>
  <si>
    <t>ONU</t>
  </si>
  <si>
    <t>Risk Estimation for Acute, Non-Cancer Inhalation Exposures</t>
  </si>
  <si>
    <t>Risk Estimation for Acute, Non-Cancer Dermal Exposures</t>
  </si>
  <si>
    <t>Risk Estimation for Acute, Non-Cancer Aggregate Exposures</t>
  </si>
  <si>
    <t>Health Effect, Endpoint and Study</t>
  </si>
  <si>
    <t>Benchmark MOE 
(= Total UF)</t>
  </si>
  <si>
    <t>Acute Exposure Estimates</t>
  </si>
  <si>
    <t>Respirator and Glove Scenario</t>
  </si>
  <si>
    <t>Tox1</t>
  </si>
  <si>
    <t>Risk Estimation for Intermediate, Non-Cancer Inhalation Exposures</t>
  </si>
  <si>
    <t>Risk Estimation for Intermediate, Non-Cancer Dermal Exposures</t>
  </si>
  <si>
    <t>Risk Estimation for Intermediate, Non-Cancer Aggregate Exposures</t>
  </si>
  <si>
    <t>Intermediate Exposure Estimates</t>
  </si>
  <si>
    <t>Tox2</t>
  </si>
  <si>
    <t>Risk Estimation for Chronic, Non-Cancer Inhalation Exposures</t>
  </si>
  <si>
    <t>Risk Estimation for Chronic, Non-Cancer Dermal Exposures</t>
  </si>
  <si>
    <t>Risk Estimation for Chronic, Non-Cancer Aggregate Exposures</t>
  </si>
  <si>
    <t>Chronic Exposure Estimates</t>
  </si>
  <si>
    <t>Tox3</t>
  </si>
  <si>
    <t>Worker</t>
  </si>
  <si>
    <t>Risk Estimation for Inhalation Exposures</t>
  </si>
  <si>
    <t>Risk Estimation for Dermal Exposures</t>
  </si>
  <si>
    <t>Risk Type</t>
  </si>
  <si>
    <t>Toxicity Endpoint</t>
  </si>
  <si>
    <t>Study</t>
  </si>
  <si>
    <t>Assigned Protection Factor (APF)</t>
  </si>
  <si>
    <t>No Gloves</t>
  </si>
  <si>
    <t>Protection Factor (PF)</t>
  </si>
  <si>
    <t>No Respirator</t>
  </si>
  <si>
    <t>Acute, Non-Cancer</t>
  </si>
  <si>
    <t>Intermediate, Non-Cancer</t>
  </si>
  <si>
    <t>Chronic, Non-Cancer</t>
  </si>
  <si>
    <t>=</t>
  </si>
  <si>
    <t>Worker Type</t>
  </si>
  <si>
    <t>Risk Estimation for Aggregate Exposures</t>
  </si>
  <si>
    <t>Glove Protection Factor</t>
  </si>
  <si>
    <t>Respirator Assigned Protection Factors</t>
  </si>
  <si>
    <t>Exposure Days/yr</t>
  </si>
  <si>
    <t>IADD (mg/m3)</t>
  </si>
  <si>
    <t>Column1</t>
  </si>
  <si>
    <t>OES Group</t>
  </si>
  <si>
    <t>OES</t>
  </si>
  <si>
    <t>ED_High-End</t>
  </si>
  <si>
    <t>ED_Central Tendency</t>
  </si>
  <si>
    <t>TWA_High-End</t>
  </si>
  <si>
    <t>TWA_Central Tendency</t>
  </si>
  <si>
    <t>24hr_High-End</t>
  </si>
  <si>
    <t>24hr_Central Tendency</t>
  </si>
  <si>
    <t>Int_High-End</t>
  </si>
  <si>
    <t>Int_Central Tendency</t>
  </si>
  <si>
    <t>Eight-Hour TWA Data Points</t>
  </si>
  <si>
    <t>Sources &amp; Notes</t>
  </si>
  <si>
    <t>Data Type</t>
  </si>
  <si>
    <t>8-hr</t>
  </si>
  <si>
    <t>Modeled Data</t>
  </si>
  <si>
    <t>Female of Reproductive Age</t>
  </si>
  <si>
    <t>Population</t>
  </si>
  <si>
    <t>Inhalation Exposure Estimates</t>
  </si>
  <si>
    <t>Dermal Exposure Estimates</t>
  </si>
  <si>
    <t>Aggregate Exposure Estimates</t>
  </si>
  <si>
    <t>Acute</t>
  </si>
  <si>
    <t>Intermed.</t>
  </si>
  <si>
    <r>
      <t>Chroni</t>
    </r>
    <r>
      <rPr>
        <sz val="9.5"/>
        <color rgb="FF000000"/>
        <rFont val="Times New Roman"/>
        <family val="1"/>
      </rPr>
      <t>c</t>
    </r>
  </si>
  <si>
    <t>Cancer</t>
  </si>
  <si>
    <t>Inhalation Risk Estimates</t>
  </si>
  <si>
    <t>Dermal Risk Estimates (Benchmark MOE = 30)</t>
  </si>
  <si>
    <t>Aggregate Risk Estimates (Benchmark MOE = 30)</t>
  </si>
  <si>
    <t>Benchmark:</t>
  </si>
  <si>
    <t>N/A</t>
  </si>
  <si>
    <t>POD</t>
  </si>
  <si>
    <t>Exposure</t>
  </si>
  <si>
    <t>8-hr/10-hr TWA - Mist</t>
  </si>
  <si>
    <t>8-hr TWA - Dust</t>
  </si>
  <si>
    <t>Daily Dose: mg/day</t>
  </si>
  <si>
    <t>Worker Population</t>
  </si>
  <si>
    <t>Exposure Concentration Type</t>
  </si>
  <si>
    <r>
      <t>High-End</t>
    </r>
    <r>
      <rPr>
        <sz val="11"/>
        <color rgb="FF000000"/>
        <rFont val="Times New Roman"/>
        <family val="1"/>
      </rPr>
      <t> </t>
    </r>
  </si>
  <si>
    <t>8-hr TWA Exposure Concentration (mg/m3) - Mist</t>
  </si>
  <si>
    <t>Dose Rate (APDR, mg/day)</t>
  </si>
  <si>
    <t>Acute (AD, mg/kg-day)</t>
  </si>
  <si>
    <t>8-hr TWA Exposure Concentration (mg/m3) - dust</t>
  </si>
  <si>
    <t>Intermediate (IADD, mg/kg-day)</t>
  </si>
  <si>
    <t>Chronic, Non-Cancer (ADD, mg/kg-day)</t>
  </si>
  <si>
    <t>Chronic, Cancer (LADD, mg/kg-day)</t>
  </si>
  <si>
    <r>
      <t>8-hr TWA Exposure Concentration (mg/m</t>
    </r>
    <r>
      <rPr>
        <vertAlign val="superscript"/>
        <sz val="11"/>
        <color theme="1"/>
        <rFont val="Times New Roman"/>
        <family val="1"/>
      </rPr>
      <t>3</t>
    </r>
    <r>
      <rPr>
        <sz val="11"/>
        <color theme="1"/>
        <rFont val="Times New Roman"/>
        <family val="1"/>
      </rPr>
      <t>)</t>
    </r>
  </si>
  <si>
    <r>
      <t>Intermediate Average Daily Dose, Non-Cancer Exposures (IADD) (mg/m</t>
    </r>
    <r>
      <rPr>
        <vertAlign val="superscript"/>
        <sz val="11"/>
        <color theme="1"/>
        <rFont val="Times New Roman"/>
        <family val="1"/>
      </rPr>
      <t>3</t>
    </r>
    <r>
      <rPr>
        <sz val="11"/>
        <color theme="1"/>
        <rFont val="Times New Roman"/>
        <family val="1"/>
      </rPr>
      <t>)</t>
    </r>
  </si>
  <si>
    <t>Chronic Average Daily Dose, Non-Cancer Exposures (ADD) (mg/kg/day)</t>
  </si>
  <si>
    <t>Chronic Lifetime Daily Dose, Cancer Exposures (LADD) (mg/kg/day)</t>
  </si>
  <si>
    <t>Look-up Values and Risk Parameter Values</t>
  </si>
  <si>
    <t>AEGL Table</t>
  </si>
  <si>
    <t>AEGL-1</t>
  </si>
  <si>
    <t>AEGL-2</t>
  </si>
  <si>
    <t>AEGL-3</t>
  </si>
  <si>
    <t>Look-up Table Values</t>
  </si>
  <si>
    <t>Code</t>
  </si>
  <si>
    <t>AEGL-1 HEC (mg/m3)</t>
  </si>
  <si>
    <t>AEGL-1 HEC (ppm)</t>
  </si>
  <si>
    <t>AEGL-2 HEC (mg/m3)</t>
  </si>
  <si>
    <t>AEGL-2 HEC (ppm)</t>
  </si>
  <si>
    <t>AEGL-3 HEC (mg/m3)</t>
  </si>
  <si>
    <t>AEGL-3 HEC (ppm)</t>
  </si>
  <si>
    <t>HEC Percentiles</t>
  </si>
  <si>
    <t>Exposure Percentiles</t>
  </si>
  <si>
    <t>Target Cancer Risk Level</t>
  </si>
  <si>
    <t>AEGLs</t>
  </si>
  <si>
    <t>Unknown</t>
  </si>
  <si>
    <t>Maximum</t>
  </si>
  <si>
    <t>99th Percentile</t>
  </si>
  <si>
    <t>HEC</t>
  </si>
  <si>
    <t>95th Percentile</t>
  </si>
  <si>
    <t>50th Percentile</t>
  </si>
  <si>
    <t>Toxicity Table</t>
  </si>
  <si>
    <t>Acute and Chronic, Non-Cancer Parameters</t>
  </si>
  <si>
    <t>Cancer Parameters</t>
  </si>
  <si>
    <t>5th Percentile</t>
  </si>
  <si>
    <t>Health Effect</t>
  </si>
  <si>
    <t>Endpoint</t>
  </si>
  <si>
    <t>HEC (mg/m3)</t>
  </si>
  <si>
    <t>HEC (ppm)</t>
  </si>
  <si>
    <t>HED / POD (mg/kg/day)</t>
  </si>
  <si>
    <t>Benchmark MOE</t>
  </si>
  <si>
    <r>
      <t>IUR (ppm</t>
    </r>
    <r>
      <rPr>
        <b/>
        <vertAlign val="superscript"/>
        <sz val="10"/>
        <rFont val="Times New Roman"/>
        <family val="1"/>
      </rPr>
      <t>-1</t>
    </r>
    <r>
      <rPr>
        <b/>
        <sz val="10"/>
        <rFont val="Times New Roman"/>
        <family val="1"/>
      </rPr>
      <t>)</t>
    </r>
  </si>
  <si>
    <r>
      <t>CSF (mg/kg-day</t>
    </r>
    <r>
      <rPr>
        <b/>
        <vertAlign val="superscript"/>
        <sz val="10"/>
        <rFont val="Times New Roman"/>
        <family val="1"/>
      </rPr>
      <t>-1</t>
    </r>
    <r>
      <rPr>
        <b/>
        <sz val="10"/>
        <rFont val="Times New Roman"/>
        <family val="1"/>
      </rPr>
      <t>)</t>
    </r>
  </si>
  <si>
    <t>Minimum</t>
  </si>
  <si>
    <t>Mean</t>
  </si>
  <si>
    <t>HEC conversion factor</t>
  </si>
  <si>
    <r>
      <t>ppm/mg/m</t>
    </r>
    <r>
      <rPr>
        <vertAlign val="superscript"/>
        <sz val="10"/>
        <color theme="1"/>
        <rFont val="Times New Roman"/>
        <family val="1"/>
      </rPr>
      <t>3</t>
    </r>
  </si>
  <si>
    <t>g/mol</t>
  </si>
  <si>
    <t>Occupational Exposure Scenarios</t>
  </si>
  <si>
    <t>Exposure Data Types</t>
  </si>
  <si>
    <t>Monitoring Data</t>
  </si>
  <si>
    <t>Value</t>
  </si>
  <si>
    <t>Unit</t>
  </si>
  <si>
    <t>MW</t>
  </si>
  <si>
    <t>Molar Volume</t>
  </si>
  <si>
    <t>L/mol</t>
  </si>
  <si>
    <t>Parameter Name</t>
  </si>
  <si>
    <t>Symbol</t>
  </si>
  <si>
    <t>BMDL Percentile</t>
  </si>
  <si>
    <t>Exposure Duration (8-hr)</t>
  </si>
  <si>
    <t>ED_8</t>
  </si>
  <si>
    <t xml:space="preserve">hr/day </t>
  </si>
  <si>
    <t>Exposure Duration (10-hr)</t>
  </si>
  <si>
    <t>ED_10</t>
  </si>
  <si>
    <t>Acute Exposure Averaging Time</t>
  </si>
  <si>
    <t>AT</t>
  </si>
  <si>
    <t xml:space="preserve">Exposure Frequency </t>
  </si>
  <si>
    <t>EF</t>
  </si>
  <si>
    <t xml:space="preserve">day/yr </t>
  </si>
  <si>
    <t>Assigned Respirator Protection Factor</t>
  </si>
  <si>
    <t>Exposure Frequency (Intermediate)</t>
  </si>
  <si>
    <t>Days for Intermediate Duration</t>
  </si>
  <si>
    <t>ID</t>
  </si>
  <si>
    <t>Working Years Per Lifetime (Mid)</t>
  </si>
  <si>
    <t>WY_mid</t>
  </si>
  <si>
    <t xml:space="preserve">yr </t>
  </si>
  <si>
    <t>Working Years Per Lifetime (High)</t>
  </si>
  <si>
    <t>WY_high</t>
  </si>
  <si>
    <t>LT</t>
  </si>
  <si>
    <t>AT_mid</t>
  </si>
  <si>
    <t>AT_high</t>
  </si>
  <si>
    <t>Assigned Glove Protection Factor</t>
  </si>
  <si>
    <t>General uses, PF = 5</t>
  </si>
  <si>
    <t>Commercial uses, PF = 10</t>
  </si>
  <si>
    <t>Industrial uses, PF = 20</t>
  </si>
  <si>
    <t>Exposure Factors</t>
  </si>
  <si>
    <t>Characterization of Value</t>
  </si>
  <si>
    <t>Notes on Values:</t>
  </si>
  <si>
    <t>Body Weight, BW (kg)</t>
  </si>
  <si>
    <r>
      <t>1 Hand Surface Area (cm</t>
    </r>
    <r>
      <rPr>
        <b/>
        <vertAlign val="superscript"/>
        <sz val="10"/>
        <color theme="1"/>
        <rFont val="Times New Roman"/>
        <family val="1"/>
      </rPr>
      <t>2</t>
    </r>
    <r>
      <rPr>
        <b/>
        <sz val="10"/>
        <color theme="1"/>
        <rFont val="Times New Roman"/>
        <family val="1"/>
      </rPr>
      <t>)</t>
    </r>
  </si>
  <si>
    <r>
      <t>535/1070 cm</t>
    </r>
    <r>
      <rPr>
        <vertAlign val="superscript"/>
        <sz val="10"/>
        <color theme="1"/>
        <rFont val="Times New Roman"/>
        <family val="1"/>
      </rPr>
      <t>2</t>
    </r>
    <r>
      <rPr>
        <sz val="10"/>
        <color theme="1"/>
        <rFont val="Times New Roman"/>
        <family val="1"/>
      </rPr>
      <t xml:space="preserve"> is the average male 1 hand/2 hand area and 445/890 cm</t>
    </r>
    <r>
      <rPr>
        <vertAlign val="superscript"/>
        <sz val="10"/>
        <color theme="1"/>
        <rFont val="Times New Roman"/>
        <family val="1"/>
      </rPr>
      <t>2</t>
    </r>
    <r>
      <rPr>
        <sz val="10"/>
        <color theme="1"/>
        <rFont val="Times New Roman"/>
        <family val="1"/>
      </rPr>
      <t xml:space="preserve"> is the female average.</t>
    </r>
  </si>
  <si>
    <r>
      <t>2 Hand Surface Area (cm</t>
    </r>
    <r>
      <rPr>
        <b/>
        <vertAlign val="superscript"/>
        <sz val="10"/>
        <color theme="1"/>
        <rFont val="Times New Roman"/>
        <family val="1"/>
      </rPr>
      <t>2</t>
    </r>
    <r>
      <rPr>
        <b/>
        <sz val="10"/>
        <color theme="1"/>
        <rFont val="Times New Roman"/>
        <family val="1"/>
      </rPr>
      <t>)</t>
    </r>
  </si>
  <si>
    <t>Working Years - High-End (yr)</t>
  </si>
  <si>
    <t>Working Years - Central Tendency (yr)</t>
  </si>
  <si>
    <t>Lifetime</t>
  </si>
  <si>
    <r>
      <t>Worker Breathing Rate (m</t>
    </r>
    <r>
      <rPr>
        <vertAlign val="superscript"/>
        <sz val="10"/>
        <color theme="1"/>
        <rFont val="Times New Roman"/>
        <family val="1"/>
      </rPr>
      <t>3</t>
    </r>
    <r>
      <rPr>
        <sz val="10"/>
        <color theme="1"/>
        <rFont val="Times New Roman"/>
        <family val="1"/>
      </rPr>
      <t>/hr)</t>
    </r>
  </si>
  <si>
    <t>Discrete</t>
  </si>
  <si>
    <t>Worker breathing rate is the combined average for men and women.</t>
  </si>
  <si>
    <r>
      <t>Resting Breathing Rate (m</t>
    </r>
    <r>
      <rPr>
        <vertAlign val="superscript"/>
        <sz val="10"/>
        <color theme="1"/>
        <rFont val="Times New Roman"/>
        <family val="1"/>
      </rPr>
      <t>3</t>
    </r>
    <r>
      <rPr>
        <sz val="10"/>
        <color theme="1"/>
        <rFont val="Times New Roman"/>
        <family val="1"/>
      </rPr>
      <t>/hr)</t>
    </r>
  </si>
  <si>
    <t>Woman of Childbearing Age Exposure Factors:</t>
  </si>
  <si>
    <t>Body Weight:</t>
  </si>
  <si>
    <t>From the Exposure Factors Handbook Table 8-5: Mean and Percentile Body Weights (kg) for Females Derived from NHANES (1990-2006) (1)</t>
  </si>
  <si>
    <t>Age 16 to &lt;21 years: 65.9 kg (mean)</t>
  </si>
  <si>
    <t>Age 21 to &lt;30 years: 71.9 kg (mean)</t>
  </si>
  <si>
    <t>Age 30 to &lt;40 years: 74.8 kg (mean)</t>
  </si>
  <si>
    <t>Age 40 to &lt;50 years: 77.1 kg (mean)</t>
  </si>
  <si>
    <t>(1) U.S. Environmental Protection Agency (EPA). (2011) Exposure Factors Handbook: 2011 Edition. National Center for Environmental Assessment, Washington, DC; EPA/600/R-09/052F. Available from the National Technical Information Service, Springfield, VA, and online at http://www.epa.gov/ncea/efh.</t>
  </si>
  <si>
    <t xml:space="preserve">(2) U.S. Bureau of Labor Statistics (BLS), Current Population Survey (CPS) tenure data: Employee Tenure News Release (2014). http://www.bls.gov/news.release/archives/tenure_09182014.htm </t>
  </si>
  <si>
    <t>(3) U.S. Census Bureau, Survey of Income and Program Participation (SIPP): SIPP introduction and history (2019). https://www.census.gov/programs-surveys/sipp/about/sipp-introduction-history.html</t>
  </si>
  <si>
    <t>Import - Repackaging</t>
  </si>
  <si>
    <t>Processing as a Reactant</t>
  </si>
  <si>
    <t>Use of Adhesives and Sealants</t>
  </si>
  <si>
    <t>Formulation of Paints and Coatings</t>
  </si>
  <si>
    <t>Rubber Compounding</t>
  </si>
  <si>
    <t>Rubber Converting</t>
  </si>
  <si>
    <t>Use of Fabric Finishing Products</t>
  </si>
  <si>
    <t>Use of Animal Grooming Products</t>
  </si>
  <si>
    <t>Use of Printing Inks</t>
  </si>
  <si>
    <t>Use of Cleaning Products</t>
  </si>
  <si>
    <r>
      <t>EF</t>
    </r>
    <r>
      <rPr>
        <vertAlign val="subscript"/>
        <sz val="10"/>
        <rFont val="Times New Roman"/>
        <family val="1"/>
      </rPr>
      <t>int</t>
    </r>
  </si>
  <si>
    <r>
      <t>AT</t>
    </r>
    <r>
      <rPr>
        <vertAlign val="subscript"/>
        <sz val="10"/>
        <rFont val="Times New Roman"/>
        <family val="1"/>
      </rPr>
      <t>c</t>
    </r>
  </si>
  <si>
    <t>Exposure Duration (12-hr)</t>
  </si>
  <si>
    <t>ED_12</t>
  </si>
  <si>
    <t>Use of Laboratory Chemicals</t>
  </si>
  <si>
    <t>PBPK Model</t>
  </si>
  <si>
    <t>D4 MW</t>
  </si>
  <si>
    <t>Occupational Exposure Scenario (OES) Group</t>
  </si>
  <si>
    <t>Similar Exposure Group (SEG)</t>
  </si>
  <si>
    <t>Exposure Scenario</t>
  </si>
  <si>
    <t>Administrative</t>
  </si>
  <si>
    <t>Chemical Operator</t>
  </si>
  <si>
    <t>Laboratory Technician</t>
  </si>
  <si>
    <t>Logistic Technician</t>
  </si>
  <si>
    <t>Material Handler</t>
  </si>
  <si>
    <t>Production Operator</t>
  </si>
  <si>
    <t>12-hr</t>
  </si>
  <si>
    <t>10-hr</t>
  </si>
  <si>
    <t>PBZ</t>
  </si>
  <si>
    <t>Area</t>
  </si>
  <si>
    <t>TWA Exposures</t>
  </si>
  <si>
    <r>
      <t>C</t>
    </r>
    <r>
      <rPr>
        <b/>
        <vertAlign val="subscript"/>
        <sz val="10"/>
        <rFont val="Times New Roman"/>
        <family val="1"/>
      </rPr>
      <t>8, 10, or 12-hr</t>
    </r>
    <r>
      <rPr>
        <b/>
        <sz val="10"/>
        <rFont val="Times New Roman"/>
        <family val="1"/>
      </rPr>
      <t xml:space="preserve"> TWA (mg/m</t>
    </r>
    <r>
      <rPr>
        <b/>
        <vertAlign val="superscript"/>
        <sz val="10"/>
        <rFont val="Times New Roman"/>
        <family val="1"/>
      </rPr>
      <t>3</t>
    </r>
    <r>
      <rPr>
        <b/>
        <sz val="10"/>
        <rFont val="Times New Roman"/>
        <family val="1"/>
      </rPr>
      <t>)</t>
    </r>
  </si>
  <si>
    <t>Operators at polymer plants</t>
  </si>
  <si>
    <t>Derived from available systematic review data. HEROIDs 7310564, 5885380, and 5884316</t>
  </si>
  <si>
    <t>Spray Application of Paints and Coatings - 1-day application</t>
  </si>
  <si>
    <t>Spray Application of Paints and Coatings - 2-day application</t>
  </si>
  <si>
    <t>Spray Application of Paints and Coatings - 250-day application</t>
  </si>
  <si>
    <t>Derived from surrogate mist exposure data based on the Automotive Refinishing Sample Data Summary. Central tendency of worker used for ONU exposure.</t>
  </si>
  <si>
    <t>Derived from EPA Mass Balance Inahalation Model with exposure sources based on the Use of Adhesives ESD. Central tendency of worker used for ONU exposure.</t>
  </si>
  <si>
    <t>Formulation of Products Containing Greater than 3% D4</t>
  </si>
  <si>
    <t>Use of Aicraft Maintenance Products (Penetrant)</t>
  </si>
  <si>
    <t>Use of Aircraft Maintenance Products (Cold Cleaning)</t>
  </si>
  <si>
    <t>Use of Automotive Care Products</t>
  </si>
  <si>
    <t>Formulation of Products Containing Less than 3% D4</t>
  </si>
  <si>
    <t>Use of Laundry Products - Institutional</t>
  </si>
  <si>
    <t>Use of Laundry Products - Industrial</t>
  </si>
  <si>
    <t>Waste Handling, Treatment, and Disposal</t>
  </si>
  <si>
    <t>Derived from EPA Mass Balance Inahalation Model with exposure sources based on the ESD for Chemicals Used in Water Based Washing Operations. Central tendency of worker used for ONU exposure.</t>
  </si>
  <si>
    <t>Formulation of Adhesives (Neat D4)</t>
  </si>
  <si>
    <t>Formulation of Adhesives (Residual D4)</t>
  </si>
  <si>
    <t>Similar Exposure Group</t>
  </si>
  <si>
    <t>Similar Exposure Group (select)</t>
  </si>
  <si>
    <t>Acute, non-cancer</t>
  </si>
  <si>
    <t>Intermediate, non-cancer</t>
  </si>
  <si>
    <t>Chronic, non-cancer</t>
  </si>
  <si>
    <t>WWTP at Industrial Site - Routine Work</t>
  </si>
  <si>
    <t>WWTP at Industrial Site - Non-Routine Maintenance</t>
  </si>
  <si>
    <t>Sewage Treatment Plant</t>
  </si>
  <si>
    <t>Landfill</t>
  </si>
  <si>
    <t>Recycling Site</t>
  </si>
  <si>
    <t>Occupational Exposure Scenarios w/ Similar Exposure Groups</t>
  </si>
  <si>
    <t>Occupational Exposure Scenarios w/o Common Similar Exposure Groups</t>
  </si>
  <si>
    <t>Occupational Exposure Scenario to Similar Exposure Group Cross-walk</t>
  </si>
  <si>
    <t>Study Specific</t>
  </si>
  <si>
    <t>Per the exposure factors handbook 80 kg is the mean body weight for all adults. Per the D4 PBPK Model Report which cites Brown et al. (1997), the human value for body weight of a female is the one stated.</t>
  </si>
  <si>
    <t>Acute Concentration</t>
  </si>
  <si>
    <r>
      <t>AC (mg/m</t>
    </r>
    <r>
      <rPr>
        <b/>
        <vertAlign val="superscript"/>
        <sz val="10"/>
        <color theme="1"/>
        <rFont val="Times New Roman"/>
        <family val="1"/>
      </rPr>
      <t>3</t>
    </r>
    <r>
      <rPr>
        <b/>
        <sz val="10"/>
        <color theme="1"/>
        <rFont val="Times New Roman"/>
        <family val="1"/>
      </rPr>
      <t>)</t>
    </r>
  </si>
  <si>
    <r>
      <t>IADC (mg/m</t>
    </r>
    <r>
      <rPr>
        <b/>
        <vertAlign val="superscript"/>
        <sz val="10"/>
        <rFont val="Times New Roman"/>
        <family val="1"/>
      </rPr>
      <t>3</t>
    </r>
    <r>
      <rPr>
        <b/>
        <sz val="10"/>
        <rFont val="Times New Roman"/>
        <family val="1"/>
      </rPr>
      <t>)</t>
    </r>
  </si>
  <si>
    <r>
      <t>ADC (mg/m</t>
    </r>
    <r>
      <rPr>
        <b/>
        <vertAlign val="superscript"/>
        <sz val="10"/>
        <rFont val="Times New Roman"/>
        <family val="1"/>
      </rPr>
      <t>3</t>
    </r>
    <r>
      <rPr>
        <b/>
        <sz val="10"/>
        <rFont val="Times New Roman"/>
        <family val="1"/>
      </rPr>
      <t>)</t>
    </r>
  </si>
  <si>
    <t>Chronic Average Daily Concentration, Non-Cancer Exposures</t>
  </si>
  <si>
    <t>Intermediate Average Daily Concentration, Non-Cancer</t>
  </si>
  <si>
    <t>ADC_High-End</t>
  </si>
  <si>
    <t>ADC_Central Tendency</t>
  </si>
  <si>
    <t>Lifetime Years</t>
  </si>
  <si>
    <t>Averaging time, chronic</t>
  </si>
  <si>
    <t>Averaging time, non-chronic (Mid)</t>
  </si>
  <si>
    <t>Averaging time, non-chronic (High)</t>
  </si>
  <si>
    <r>
      <t>AC (mg/m</t>
    </r>
    <r>
      <rPr>
        <b/>
        <vertAlign val="superscript"/>
        <sz val="10"/>
        <rFont val="Times New Roman"/>
        <family val="1"/>
      </rPr>
      <t>3</t>
    </r>
    <r>
      <rPr>
        <b/>
        <sz val="10"/>
        <rFont val="Times New Roman"/>
        <family val="1"/>
      </rPr>
      <t>)</t>
    </r>
  </si>
  <si>
    <t>Max Yderm</t>
  </si>
  <si>
    <t>Exposure Frequency (days/yr)</t>
  </si>
  <si>
    <t>EF_High-End</t>
  </si>
  <si>
    <t>EF_Central Tendency</t>
  </si>
  <si>
    <t>Exposure Frequency (event/day)</t>
  </si>
  <si>
    <t>FT_High-End</t>
  </si>
  <si>
    <t>FT_Central Tendency</t>
  </si>
  <si>
    <r>
      <t>Quantity Remaining on Skin (Qu) (mg/cm</t>
    </r>
    <r>
      <rPr>
        <b/>
        <vertAlign val="superscript"/>
        <sz val="10"/>
        <color theme="1"/>
        <rFont val="Times New Roman"/>
        <family val="1"/>
      </rPr>
      <t>2</t>
    </r>
    <r>
      <rPr>
        <b/>
        <sz val="10"/>
        <color theme="1"/>
        <rFont val="Times New Roman"/>
        <family val="1"/>
      </rPr>
      <t>-event)</t>
    </r>
  </si>
  <si>
    <t>APDR_High-End</t>
  </si>
  <si>
    <t>APDR_Central Tendency</t>
  </si>
  <si>
    <t>Acute Applied Dose</t>
  </si>
  <si>
    <t>AAD_High-End</t>
  </si>
  <si>
    <t>AAD_Central Tendency</t>
  </si>
  <si>
    <t>Acute Potential Dose Rate (mg/day)</t>
  </si>
  <si>
    <t>Acute Applied Dose (mg/kg-day)</t>
  </si>
  <si>
    <t>Similar Exposure Group to Exposure Scenario Cross-walk</t>
  </si>
  <si>
    <t>Operators at Polymer Plants</t>
  </si>
  <si>
    <t>Reproductive Toxicity</t>
  </si>
  <si>
    <t>Parameters</t>
  </si>
  <si>
    <t>Reproductive Organs</t>
  </si>
  <si>
    <t>Inhalation Exposures</t>
  </si>
  <si>
    <t>HED (mg/kg/day)</t>
  </si>
  <si>
    <r>
      <t>HEC (mg/m</t>
    </r>
    <r>
      <rPr>
        <b/>
        <vertAlign val="superscript"/>
        <sz val="10"/>
        <rFont val="Times New Roman"/>
        <family val="1"/>
      </rPr>
      <t>3</t>
    </r>
    <r>
      <rPr>
        <b/>
        <sz val="10"/>
        <rFont val="Times New Roman"/>
        <family val="1"/>
      </rPr>
      <t>)</t>
    </r>
  </si>
  <si>
    <t>Exposure Scenario
(select)</t>
  </si>
  <si>
    <t>Worker Type
(Select)</t>
  </si>
  <si>
    <t>Occupational Exposure Scenario (select)</t>
  </si>
  <si>
    <r>
      <t>HEC 
(mg/m</t>
    </r>
    <r>
      <rPr>
        <b/>
        <vertAlign val="superscript"/>
        <sz val="10"/>
        <rFont val="Times New Roman"/>
        <family val="1"/>
      </rPr>
      <t>3</t>
    </r>
    <r>
      <rPr>
        <b/>
        <sz val="10"/>
        <rFont val="Times New Roman"/>
        <family val="1"/>
      </rPr>
      <t>)</t>
    </r>
  </si>
  <si>
    <t>Physical Form</t>
  </si>
  <si>
    <t>Liquid</t>
  </si>
  <si>
    <t>Liquid &amp; Solid</t>
  </si>
  <si>
    <t>Solid</t>
  </si>
  <si>
    <t>Qu_High-End (Liquid or Mist)</t>
  </si>
  <si>
    <t>Qu_Central Tendency (Liquid or Mist)</t>
  </si>
  <si>
    <t>Qu_High-End (Solid)</t>
  </si>
  <si>
    <t>Qu_Central Tendency (Solid)</t>
  </si>
  <si>
    <t>Liquid or Mist</t>
  </si>
  <si>
    <t>Intermediate Applied Daily Dose (mg/kg-day)</t>
  </si>
  <si>
    <t>IADD_High-End</t>
  </si>
  <si>
    <t>IADD_Central Tendency</t>
  </si>
  <si>
    <t>AADD_High-End</t>
  </si>
  <si>
    <t>AADD_Central Tendency</t>
  </si>
  <si>
    <t>AADD, non-cancer (mg/kg/day)</t>
  </si>
  <si>
    <t>AADD (mg/kg-day)</t>
  </si>
  <si>
    <t>AAD (mg/kg/day)</t>
  </si>
  <si>
    <t>Intermediate Applied Daily Dose</t>
  </si>
  <si>
    <t>Average Applied Daily Dose</t>
  </si>
  <si>
    <t>Intermediate Average Daily Concentration</t>
  </si>
  <si>
    <t>Average Daily Concentration</t>
  </si>
  <si>
    <t>AAD (mg/kg-day)</t>
  </si>
  <si>
    <t>Inhalation Exposure,
Dermal Exposure, 
Hazard Values, 
List Values, and Exposure Factors</t>
  </si>
  <si>
    <r>
      <t>Acute Concentration (AC) (mg/m</t>
    </r>
    <r>
      <rPr>
        <vertAlign val="superscript"/>
        <sz val="10"/>
        <color theme="1"/>
        <rFont val="Times New Roman"/>
        <family val="1"/>
      </rPr>
      <t>3</t>
    </r>
    <r>
      <rPr>
        <sz val="10"/>
        <color theme="1"/>
        <rFont val="Times New Roman"/>
        <family val="1"/>
      </rPr>
      <t>)</t>
    </r>
  </si>
  <si>
    <r>
      <t>AC = 8-, 10-, or 12-hr TWA Concentration x ED x BR</t>
    </r>
    <r>
      <rPr>
        <vertAlign val="subscript"/>
        <sz val="10"/>
        <color theme="1"/>
        <rFont val="Times New Roman"/>
        <family val="1"/>
      </rPr>
      <t>work</t>
    </r>
    <r>
      <rPr>
        <sz val="10"/>
        <color theme="1"/>
        <rFont val="Times New Roman"/>
        <family val="1"/>
      </rPr>
      <t xml:space="preserve"> / (AT</t>
    </r>
    <r>
      <rPr>
        <vertAlign val="subscript"/>
        <sz val="10"/>
        <color theme="1"/>
        <rFont val="Times New Roman"/>
        <family val="1"/>
      </rPr>
      <t>acute</t>
    </r>
    <r>
      <rPr>
        <sz val="10"/>
        <color theme="1"/>
        <rFont val="Times New Roman"/>
        <family val="1"/>
      </rPr>
      <t xml:space="preserve"> x BR</t>
    </r>
    <r>
      <rPr>
        <vertAlign val="subscript"/>
        <sz val="10"/>
        <color theme="1"/>
        <rFont val="Times New Roman"/>
        <family val="1"/>
      </rPr>
      <t>rest</t>
    </r>
    <r>
      <rPr>
        <sz val="10"/>
        <color theme="1"/>
        <rFont val="Times New Roman"/>
        <family val="1"/>
      </rPr>
      <t>)</t>
    </r>
  </si>
  <si>
    <t>Inhalation Exposure Calculations</t>
  </si>
  <si>
    <r>
      <t>Intermediate Average Daily Concentration (IADC) (mg/m</t>
    </r>
    <r>
      <rPr>
        <vertAlign val="superscript"/>
        <sz val="10"/>
        <color theme="1"/>
        <rFont val="Times New Roman"/>
        <family val="1"/>
      </rPr>
      <t>3</t>
    </r>
    <r>
      <rPr>
        <sz val="10"/>
        <color theme="1"/>
        <rFont val="Times New Roman"/>
        <family val="1"/>
      </rPr>
      <t>)</t>
    </r>
  </si>
  <si>
    <r>
      <t>Chronic Average Daily Concentration (ADC) (mg/m</t>
    </r>
    <r>
      <rPr>
        <vertAlign val="superscript"/>
        <sz val="10"/>
        <color theme="1"/>
        <rFont val="Times New Roman"/>
        <family val="1"/>
      </rPr>
      <t>3</t>
    </r>
    <r>
      <rPr>
        <sz val="10"/>
        <color theme="1"/>
        <rFont val="Times New Roman"/>
        <family val="1"/>
      </rPr>
      <t>)</t>
    </r>
  </si>
  <si>
    <t>HEC / AC</t>
  </si>
  <si>
    <t>HEC / IADC</t>
  </si>
  <si>
    <t>HEC / ADC</t>
  </si>
  <si>
    <t>Human Equivalent Dose (HEC) (mg/kg)</t>
  </si>
  <si>
    <t>see Hazard Values tab</t>
  </si>
  <si>
    <t>Acute Potential Dose Rate (APDR) (mg/day)</t>
  </si>
  <si>
    <t>Acute Applied Dose (AAD) (mg/kg/day)</t>
  </si>
  <si>
    <t>AAD = APDR / BW</t>
  </si>
  <si>
    <t>Intermediate Applied Daily Dose (IADD) (mg/kg/day)</t>
  </si>
  <si>
    <t>Chronic Average Applied Daily Dose (mg/kg-day)</t>
  </si>
  <si>
    <t>Chronic Average Applied Daily Dose (AADD) (mg/kg/day)</t>
  </si>
  <si>
    <t>The HED values provided by the EPA human health assessors account for the fraction of the dose absorbed. Therefore, fraction absorbed is deliberately excluded from the APDR and subsequent dermal exposure calculations and are interpreted as 'Applied' doses rather than 'Retained' doses.</t>
  </si>
  <si>
    <t>HED / AAD</t>
  </si>
  <si>
    <t>HED / AADD</t>
  </si>
  <si>
    <t>Aggregate Exposure Risk Calculations</t>
  </si>
  <si>
    <t>Acute Aggregate MOE (unitless)</t>
  </si>
  <si>
    <t>Intermediate Aggregate MOE (unitless)</t>
  </si>
  <si>
    <r>
      <t>Acute Aggregate MOE = 1 / [(1 / Acute MOE</t>
    </r>
    <r>
      <rPr>
        <vertAlign val="subscript"/>
        <sz val="10"/>
        <color theme="1"/>
        <rFont val="Times New Roman"/>
        <family val="1"/>
      </rPr>
      <t>dermal</t>
    </r>
    <r>
      <rPr>
        <sz val="10"/>
        <color theme="1"/>
        <rFont val="Times New Roman"/>
        <family val="1"/>
      </rPr>
      <t>) + (1 / Acute MOE</t>
    </r>
    <r>
      <rPr>
        <vertAlign val="subscript"/>
        <sz val="10"/>
        <color theme="1"/>
        <rFont val="Times New Roman"/>
        <family val="1"/>
      </rPr>
      <t>inhalation</t>
    </r>
    <r>
      <rPr>
        <sz val="10"/>
        <color theme="1"/>
        <rFont val="Times New Roman"/>
        <family val="1"/>
      </rPr>
      <t>)]</t>
    </r>
  </si>
  <si>
    <t>Aggregate MOE equation provided by the EPA human health assessors. The calculated aggregate MOE is then compared with the Benchmark MOE; if the calculation MOE is less than the benchmark MOE then there is risk.</t>
  </si>
  <si>
    <r>
      <t>Intermediate Aggregate MOE = 1 / [(1 / Intermediate MOE</t>
    </r>
    <r>
      <rPr>
        <vertAlign val="subscript"/>
        <sz val="10"/>
        <color theme="1"/>
        <rFont val="Times New Roman"/>
        <family val="1"/>
      </rPr>
      <t>dermal</t>
    </r>
    <r>
      <rPr>
        <sz val="10"/>
        <color theme="1"/>
        <rFont val="Times New Roman"/>
        <family val="1"/>
      </rPr>
      <t>) + (1 / Intermediate MOE</t>
    </r>
    <r>
      <rPr>
        <vertAlign val="subscript"/>
        <sz val="10"/>
        <color theme="1"/>
        <rFont val="Times New Roman"/>
        <family val="1"/>
      </rPr>
      <t>inhalation</t>
    </r>
    <r>
      <rPr>
        <sz val="10"/>
        <color theme="1"/>
        <rFont val="Times New Roman"/>
        <family val="1"/>
      </rPr>
      <t>)]</t>
    </r>
  </si>
  <si>
    <r>
      <t>Chronic Aggregate MOE = 1 / [(1 / Chronic MOE</t>
    </r>
    <r>
      <rPr>
        <vertAlign val="subscript"/>
        <sz val="10"/>
        <color theme="1"/>
        <rFont val="Times New Roman"/>
        <family val="1"/>
      </rPr>
      <t>dermal</t>
    </r>
    <r>
      <rPr>
        <sz val="10"/>
        <color theme="1"/>
        <rFont val="Times New Roman"/>
        <family val="1"/>
      </rPr>
      <t>) + (1 / Chronic MOE</t>
    </r>
    <r>
      <rPr>
        <vertAlign val="subscript"/>
        <sz val="10"/>
        <color theme="1"/>
        <rFont val="Times New Roman"/>
        <family val="1"/>
      </rPr>
      <t>inhalation</t>
    </r>
    <r>
      <rPr>
        <sz val="10"/>
        <color theme="1"/>
        <rFont val="Times New Roman"/>
        <family val="1"/>
      </rPr>
      <t>)]</t>
    </r>
  </si>
  <si>
    <t>The risk calculator workbook contains the following spreadsheets: Calculation Summary, Dashboard, RR, Aggregate RR, Inhalation Exposure, Dermal Exposure, Hazard Values, List Values, and Exposure Factors. The workbook is designed such that the user need only to use the Dashboard, RR, and Aggregate RR spreadsheets, which have tabs colored green and contain the results of the risk calculations. The remaining spreadsheets contain data storage and calculation spreadsheets. An explanation of each tab is provided below.</t>
  </si>
  <si>
    <r>
      <t>Hand Surface Area (cm</t>
    </r>
    <r>
      <rPr>
        <b/>
        <vertAlign val="superscript"/>
        <sz val="10"/>
        <color theme="1"/>
        <rFont val="Times New Roman"/>
        <family val="1"/>
      </rPr>
      <t>2</t>
    </r>
    <r>
      <rPr>
        <b/>
        <sz val="10"/>
        <color theme="1"/>
        <rFont val="Times New Roman"/>
        <family val="1"/>
      </rPr>
      <t>)</t>
    </r>
  </si>
  <si>
    <t>SA_High-End (Two hands)</t>
  </si>
  <si>
    <t>SA_Central Tendency (One hand)</t>
  </si>
  <si>
    <t>If estimates below state "Update Parameters", the combination of these three parameters is not applicable for the OES and one or more parameter must be updated.</t>
  </si>
  <si>
    <r>
      <t>Lifetime Average Daily Concentration (LADC) (mg/m</t>
    </r>
    <r>
      <rPr>
        <vertAlign val="superscript"/>
        <sz val="10"/>
        <color theme="1"/>
        <rFont val="Times New Roman"/>
        <family val="1"/>
      </rPr>
      <t>3</t>
    </r>
    <r>
      <rPr>
        <sz val="10"/>
        <color theme="1"/>
        <rFont val="Times New Roman"/>
        <family val="1"/>
      </rPr>
      <t>)</t>
    </r>
  </si>
  <si>
    <t>day</t>
  </si>
  <si>
    <t>Lifetime Average Applied Daily Dose (LAADD) (mg/kg/day)</t>
  </si>
  <si>
    <t>LAADD = APDR x EF x WY / (BW x 365 days/yr x LT)</t>
  </si>
  <si>
    <t>AADD = APDR x EF x WY/ (BW x 365 days/yr x WY)</t>
  </si>
  <si>
    <r>
      <t>IADC = 8-, 10-, or 12-hr TWA concentration x ED x BR</t>
    </r>
    <r>
      <rPr>
        <vertAlign val="subscript"/>
        <sz val="10"/>
        <color theme="1"/>
        <rFont val="Times New Roman"/>
        <family val="1"/>
      </rPr>
      <t>work</t>
    </r>
    <r>
      <rPr>
        <sz val="10"/>
        <color theme="1"/>
        <rFont val="Times New Roman"/>
        <family val="1"/>
      </rPr>
      <t xml:space="preserve"> x EF</t>
    </r>
    <r>
      <rPr>
        <vertAlign val="subscript"/>
        <sz val="10"/>
        <color theme="1"/>
        <rFont val="Times New Roman"/>
        <family val="1"/>
      </rPr>
      <t>int</t>
    </r>
    <r>
      <rPr>
        <sz val="10"/>
        <color theme="1"/>
        <rFont val="Times New Roman"/>
        <family val="1"/>
      </rPr>
      <t>/ (24 hr/day x ID x BR</t>
    </r>
    <r>
      <rPr>
        <vertAlign val="subscript"/>
        <sz val="10"/>
        <color theme="1"/>
        <rFont val="Times New Roman"/>
        <family val="1"/>
      </rPr>
      <t>rest</t>
    </r>
    <r>
      <rPr>
        <sz val="10"/>
        <color theme="1"/>
        <rFont val="Times New Roman"/>
        <family val="1"/>
      </rPr>
      <t>)</t>
    </r>
  </si>
  <si>
    <r>
      <t>ADC = 8-, 10-, or 12-hr TWA concentration x ED x BR</t>
    </r>
    <r>
      <rPr>
        <vertAlign val="subscript"/>
        <sz val="10"/>
        <color theme="1"/>
        <rFont val="Times New Roman"/>
        <family val="1"/>
      </rPr>
      <t>work</t>
    </r>
    <r>
      <rPr>
        <sz val="10"/>
        <color theme="1"/>
        <rFont val="Times New Roman"/>
        <family val="1"/>
      </rPr>
      <t xml:space="preserve">  x EF x WY/ (24 hr/day x 365 days/yr x WY x BR</t>
    </r>
    <r>
      <rPr>
        <vertAlign val="subscript"/>
        <sz val="10"/>
        <color theme="1"/>
        <rFont val="Times New Roman"/>
        <family val="1"/>
      </rPr>
      <t>rest</t>
    </r>
    <r>
      <rPr>
        <sz val="10"/>
        <color theme="1"/>
        <rFont val="Times New Roman"/>
        <family val="1"/>
      </rPr>
      <t>)</t>
    </r>
  </si>
  <si>
    <r>
      <t>- ED = Exposure duration: 8, 10, or 12 hr/day
- BR</t>
    </r>
    <r>
      <rPr>
        <vertAlign val="subscript"/>
        <sz val="10"/>
        <color theme="1"/>
        <rFont val="Times New Roman"/>
        <family val="1"/>
      </rPr>
      <t>work</t>
    </r>
    <r>
      <rPr>
        <sz val="10"/>
        <color theme="1"/>
        <rFont val="Times New Roman"/>
        <family val="1"/>
      </rPr>
      <t xml:space="preserve"> = Breathing rate (working): 1.25 m</t>
    </r>
    <r>
      <rPr>
        <vertAlign val="superscript"/>
        <sz val="10"/>
        <color theme="1"/>
        <rFont val="Times New Roman"/>
        <family val="1"/>
      </rPr>
      <t>3</t>
    </r>
    <r>
      <rPr>
        <sz val="10"/>
        <color theme="1"/>
        <rFont val="Times New Roman"/>
        <family val="1"/>
      </rPr>
      <t>/hr
- EF</t>
    </r>
    <r>
      <rPr>
        <vertAlign val="subscript"/>
        <sz val="10"/>
        <color theme="1"/>
        <rFont val="Times New Roman"/>
        <family val="1"/>
      </rPr>
      <t>int</t>
    </r>
    <r>
      <rPr>
        <sz val="10"/>
        <color theme="1"/>
        <rFont val="Times New Roman"/>
        <family val="1"/>
      </rPr>
      <t xml:space="preserve"> = Intermeidate exposure frequency: The exposure days in the numerator will typically be 22 days/yr when the total exposure days/yr is &gt;22 days/yr or equal to the total exposure days/yr if the total is &lt;22 days/yr. This maximizes the number of exposure days in the Intermediate timeframe, accounting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Intermediate duration: 30 days
- BR</t>
    </r>
    <r>
      <rPr>
        <vertAlign val="subscript"/>
        <sz val="10"/>
        <color theme="1"/>
        <rFont val="Times New Roman"/>
        <family val="1"/>
      </rPr>
      <t>rest</t>
    </r>
    <r>
      <rPr>
        <sz val="10"/>
        <color theme="1"/>
        <rFont val="Times New Roman"/>
        <family val="1"/>
      </rPr>
      <t xml:space="preserve"> = Breathing rate (rest): 0.6125 m3/hr</t>
    </r>
  </si>
  <si>
    <r>
      <t>- ED = Exposure duration: 8, 10, or 12 hr/day
- BR</t>
    </r>
    <r>
      <rPr>
        <vertAlign val="subscript"/>
        <sz val="10"/>
        <color theme="1"/>
        <rFont val="Times New Roman"/>
        <family val="1"/>
      </rPr>
      <t>work</t>
    </r>
    <r>
      <rPr>
        <sz val="10"/>
        <color theme="1"/>
        <rFont val="Times New Roman"/>
        <family val="1"/>
      </rPr>
      <t xml:space="preserve"> = Breathing rate (working): 1.25 m</t>
    </r>
    <r>
      <rPr>
        <vertAlign val="superscript"/>
        <sz val="10"/>
        <color theme="1"/>
        <rFont val="Times New Roman"/>
        <family val="1"/>
      </rPr>
      <t>3</t>
    </r>
    <r>
      <rPr>
        <sz val="10"/>
        <color theme="1"/>
        <rFont val="Times New Roman"/>
        <family val="1"/>
      </rPr>
      <t>/hr
- EF = Exposure frequency: 2 to 250 days depending on OES
- WY = Working years: 31 (central tendency) to 40 yr (high-end)
- BR</t>
    </r>
    <r>
      <rPr>
        <vertAlign val="subscript"/>
        <sz val="10"/>
        <color theme="1"/>
        <rFont val="Times New Roman"/>
        <family val="1"/>
      </rPr>
      <t>rest</t>
    </r>
    <r>
      <rPr>
        <sz val="10"/>
        <color theme="1"/>
        <rFont val="Times New Roman"/>
        <family val="1"/>
      </rPr>
      <t xml:space="preserve"> = Breathing rate (resting): 0.6125 m</t>
    </r>
    <r>
      <rPr>
        <vertAlign val="superscript"/>
        <sz val="10"/>
        <color theme="1"/>
        <rFont val="Times New Roman"/>
        <family val="1"/>
      </rPr>
      <t>3</t>
    </r>
    <r>
      <rPr>
        <sz val="10"/>
        <color theme="1"/>
        <rFont val="Times New Roman"/>
        <family val="1"/>
      </rPr>
      <t>/hr</t>
    </r>
  </si>
  <si>
    <r>
      <t>LADC = 8-, 10-, or 12-hr TWA concentration x ED x BR</t>
    </r>
    <r>
      <rPr>
        <vertAlign val="subscript"/>
        <sz val="10"/>
        <color theme="1"/>
        <rFont val="Times New Roman"/>
        <family val="1"/>
      </rPr>
      <t>work</t>
    </r>
    <r>
      <rPr>
        <sz val="10"/>
        <color theme="1"/>
        <rFont val="Times New Roman"/>
        <family val="1"/>
      </rPr>
      <t xml:space="preserve">  x EF x WY/ (24 hr/day x 365 days/yr x LT x BR</t>
    </r>
    <r>
      <rPr>
        <vertAlign val="subscript"/>
        <sz val="10"/>
        <color theme="1"/>
        <rFont val="Times New Roman"/>
        <family val="1"/>
      </rPr>
      <t>rest</t>
    </r>
    <r>
      <rPr>
        <sz val="10"/>
        <color theme="1"/>
        <rFont val="Times New Roman"/>
        <family val="1"/>
      </rPr>
      <t>)</t>
    </r>
  </si>
  <si>
    <r>
      <t>- ED = Exposure duration: 8, 10, or 12 hr/day
- BR</t>
    </r>
    <r>
      <rPr>
        <vertAlign val="subscript"/>
        <sz val="10"/>
        <color theme="1"/>
        <rFont val="Times New Roman"/>
        <family val="1"/>
      </rPr>
      <t>work</t>
    </r>
    <r>
      <rPr>
        <sz val="10"/>
        <color theme="1"/>
        <rFont val="Times New Roman"/>
        <family val="1"/>
      </rPr>
      <t xml:space="preserve"> = Breathing Rate (working): 1.25 m</t>
    </r>
    <r>
      <rPr>
        <vertAlign val="superscript"/>
        <sz val="10"/>
        <color theme="1"/>
        <rFont val="Times New Roman"/>
        <family val="1"/>
      </rPr>
      <t>3</t>
    </r>
    <r>
      <rPr>
        <sz val="10"/>
        <color theme="1"/>
        <rFont val="Times New Roman"/>
        <family val="1"/>
      </rPr>
      <t>/hr
- EF = Exposure Frequency: 2 to 250 days depending on OES
- WY = Working Years: 31 (central tendency) to 40 yr (high-end)
- LT = Lifetime Years: 78 yr
- BR</t>
    </r>
    <r>
      <rPr>
        <vertAlign val="subscript"/>
        <sz val="10"/>
        <color theme="1"/>
        <rFont val="Times New Roman"/>
        <family val="1"/>
      </rPr>
      <t>rest</t>
    </r>
    <r>
      <rPr>
        <sz val="10"/>
        <color theme="1"/>
        <rFont val="Times New Roman"/>
        <family val="1"/>
      </rPr>
      <t xml:space="preserve"> = Breathing Rate (resting): 0.6125 m</t>
    </r>
    <r>
      <rPr>
        <vertAlign val="superscript"/>
        <sz val="10"/>
        <color theme="1"/>
        <rFont val="Times New Roman"/>
        <family val="1"/>
      </rPr>
      <t>3</t>
    </r>
    <r>
      <rPr>
        <sz val="10"/>
        <color theme="1"/>
        <rFont val="Times New Roman"/>
        <family val="1"/>
      </rPr>
      <t>/hr</t>
    </r>
  </si>
  <si>
    <r>
      <t>- APDR = Acute potential dose rate (mg/day)
- SA = Hand Surface Area (cm</t>
    </r>
    <r>
      <rPr>
        <vertAlign val="superscript"/>
        <sz val="10"/>
        <color theme="1"/>
        <rFont val="Times New Roman"/>
        <family val="1"/>
      </rPr>
      <t>2</t>
    </r>
    <r>
      <rPr>
        <sz val="10"/>
        <color theme="1"/>
        <rFont val="Times New Roman"/>
        <family val="1"/>
      </rPr>
      <t>); 890 cm</t>
    </r>
    <r>
      <rPr>
        <vertAlign val="superscript"/>
        <sz val="10"/>
        <color theme="1"/>
        <rFont val="Times New Roman"/>
        <family val="1"/>
      </rPr>
      <t>2</t>
    </r>
    <r>
      <rPr>
        <sz val="10"/>
        <color theme="1"/>
        <rFont val="Times New Roman"/>
        <family val="1"/>
      </rPr>
      <t xml:space="preserve"> for high-end and 445 cm</t>
    </r>
    <r>
      <rPr>
        <vertAlign val="superscript"/>
        <sz val="10"/>
        <color theme="1"/>
        <rFont val="Times New Roman"/>
        <family val="1"/>
      </rPr>
      <t>2</t>
    </r>
    <r>
      <rPr>
        <sz val="10"/>
        <color theme="1"/>
        <rFont val="Times New Roman"/>
        <family val="1"/>
      </rPr>
      <t xml:space="preserve"> for central tendency
- Qu = Quantity Remaining on Skin (mg/cm</t>
    </r>
    <r>
      <rPr>
        <vertAlign val="superscript"/>
        <sz val="10"/>
        <color theme="1"/>
        <rFont val="Times New Roman"/>
        <family val="1"/>
      </rPr>
      <t>2</t>
    </r>
    <r>
      <rPr>
        <sz val="10"/>
        <color theme="1"/>
        <rFont val="Times New Roman"/>
        <family val="1"/>
      </rPr>
      <t>-event)
- FT = Exposure Frequency (event/day)
- Yderm = Mass fraction of chemical present on skin.
* Fraction Absorbed is deliberately excluded from this calculation and all subsequent calculations. The Human Equivalent Dose (HED) values account for the fraction absorbed. Therefore these dermal dose calculations are from here on considered 'Applied' doses and not 'Retained' doses since the amount of dose retained is not determined without the fraction absorbed parameter. The HED values provided by the EPA human health assessors account for the fraction of the dose absorbed and it can therefore be excluded from this calculation.</t>
    </r>
  </si>
  <si>
    <t>Physical Form (Vapor or Mist)</t>
  </si>
  <si>
    <t>Vapor</t>
  </si>
  <si>
    <t>Mist</t>
  </si>
  <si>
    <t>Derived from methodology outlines in the Furnishing Cleaning GS. Central tendency of worker used for ONU exposure.
Due to the nature of the products and how they are applied, the physical form of release is expected to be a mist. Based on the volatility of D4 and the basis of exposure through the Furnishing Cleaning GS, the mist is expected to volatize and lead to the primary route of inhalation exposure via vapor.</t>
  </si>
  <si>
    <t>Data derived from Brake Cleaning NF/FF Model as a surrogate.
The Brake Cleaning NF/FF Model assesses this as a release of mist that volatizes into a vapor. Therefore the primary exposure is assessed as a vapor in regards to inhalation exposure.</t>
  </si>
  <si>
    <t>Derived from methodology in the Use of Automotive Care Products GS. Central tendency of worker used for ONU exposure.
Based on the Use of Automotive Care Products GS, this inhalation exposure is driven by a release of volatile mist. The mist is expected to volatize such that the primary exposure is via vapor in regards to inhalation exposure.</t>
  </si>
  <si>
    <t>Derived from methodology in the Chemicals Used in Furnishing Cleaning Products GS. Central tendency of worker used for ONU exposure.
Based on the Chemicals Used in Furnishing Cleaning Products GS, this inhalation exposure is driven by a release of volatile mist. The mist is expected to volatize such that the primary exposure is via vapor in regards to inhalation exposure.</t>
  </si>
  <si>
    <t>Mist deposited on surfaces</t>
  </si>
  <si>
    <t>Derived from Worker Exposure Data provided by the Silicones Environmental, Health and Safety Center (SEHSC). The data did not provide physical form of exposure but, based on the sampling and analysis methods listed, and the expected OES conditions, vapor is expected to be the primary route of inhalation exposure.</t>
  </si>
  <si>
    <t>Derived from Worker Exposure Data provided by the SEHSC. The data did not provide physical form of exposure but, based on the sampling and analysis methods listed, and the expected OES conditions, vapor is expected to be the primary route of inhalation exposure.</t>
  </si>
  <si>
    <t>Derived from Worker Exposure Data provided by the SEHSC. Central tendency of worker used for ONU exposure. The data did not provide physical form of exposure but, based on the sampling and analysis methods listed, and the expected OES conditions, vapor is expected to be the primary route of inhalation exposure.</t>
  </si>
  <si>
    <t>Dermal Values</t>
  </si>
  <si>
    <t xml:space="preserve">Central Tendency </t>
  </si>
  <si>
    <t xml:space="preserve">APF = 
</t>
  </si>
  <si>
    <t xml:space="preserve">Gloves  = 
</t>
  </si>
  <si>
    <t>Respirator =</t>
  </si>
  <si>
    <t xml:space="preserve">Gloves = 
</t>
  </si>
  <si>
    <t xml:space="preserve"> - AAD = Acute applied dose (mg/kg-day)
 - APDR = Acute potential dose rate (mg/day)
 - BW = Body weight: 74 kg (Worker)</t>
  </si>
  <si>
    <t>- IADD = Intermediate applied daily dose (mg/kg-day)
- APDR	= Acute potential dose rate (mg/day)
-  EFint = The exposure days in the numerator will typically be 22 days/yr when the total exposure days/yr is &gt;22 days/yr or equal to the total exposure days/yr if the total is &lt;22 days/yr. This maximizes the number of exposure days in the Intermediate timeframe, accounting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Intermediate duration: 30 days
- BW = Body weight: 74 kg (Worker)</t>
  </si>
  <si>
    <t>- AADD = Chronic average applied daily dose
- APDR = Acute potential dose rate (mg/day)
- BW = Body weight: 74 kg (Worker)
- EF = Exposure frequency: 2 to 250 days depending on OES
- WY = Working years: 31 (central tendency) to 40 yr (high-end)</t>
  </si>
  <si>
    <t>- LAADD = Lifetime average applied daily dose
- APDR = Acute potential dose rate (mg/day)
- BW = Body weight: 74 kg (Worker)
- EF = Exposure frequency: 2 to 250 days depending on OES
- WY = Working years: 31 (central tendency) to 40 yr (high-end)
- LT = Lifetime years: 78 yr</t>
  </si>
  <si>
    <t>Central Tendency (Worker and ONU)</t>
  </si>
  <si>
    <t>Dermal Risk Estimates</t>
  </si>
  <si>
    <t>Aggregate Risk Estimates</t>
  </si>
  <si>
    <t>Acute MOE
(Without Respirator)</t>
  </si>
  <si>
    <t>Intermediate MOE
(Without Respirator)</t>
  </si>
  <si>
    <t>Chronic MOE
(Without Respirator)</t>
  </si>
  <si>
    <t>Acute MOE
(Without Gloves)</t>
  </si>
  <si>
    <t xml:space="preserve">Acute MOE
 (With Gloves)
</t>
  </si>
  <si>
    <t>Intermediate MOE 
(Without Gloves)</t>
  </si>
  <si>
    <t xml:space="preserve">Intermediate MOE
(With Gloves)
</t>
  </si>
  <si>
    <t>Chronic MOE
(Without Gloves)</t>
  </si>
  <si>
    <t xml:space="preserve">Chronic MOE
(With Gloves)
</t>
  </si>
  <si>
    <t>Acute MOE
(Without PPE)</t>
  </si>
  <si>
    <t xml:space="preserve">Acute MOE
 (With PPE)
</t>
  </si>
  <si>
    <t>Intermediate MOE 
(Without PPE)</t>
  </si>
  <si>
    <t xml:space="preserve">Intermediate MOE
(With PPE)
</t>
  </si>
  <si>
    <t>Chronic MOE
(Without PPE)</t>
  </si>
  <si>
    <t xml:space="preserve">Chronic MOE
(With PPE)
</t>
  </si>
  <si>
    <t>PUBLIC RELEASE DRAFT</t>
  </si>
  <si>
    <t>September 2025</t>
  </si>
  <si>
    <t>CASRN 556-67-2</t>
  </si>
  <si>
    <t>Draft Risk Calculator for 
Occupational Exposures for Octamethylcyclotetrasiloxane (D4)</t>
  </si>
  <si>
    <t>An overview of the inhalation and dermal equations utilized to estimate the acute-, intermediate-, and chronic dose of each Occupational Exposure Scenario (OES) from an estimated concentration or dose to workers and ONUs.</t>
  </si>
  <si>
    <r>
      <t>The Dashboard is an interactive spreadsheet that allows a user to view exposure results for a selected OES and with a single PPE option of their choosing (i.e. respirator APF or Glove Protection Factor PF). The user can select the desired OES, similar exposure group, exposure scenario (8-, 10-, or 12-hr), worker type (female or ONU), and PPE options from a drop-down menu. The exposure estimates are shown in the “Exposure Outputs” section for both inhalation and dermal exposures, for both high-end and central tendency.  The “Risk Estimation” sections are separated into acute, intermediate, and chronic non-cancer sections. For each section there is a brief description of the hazard endpoint and the hazard value (</t>
    </r>
    <r>
      <rPr>
        <i/>
        <sz val="10"/>
        <color theme="1"/>
        <rFont val="Times New Roman"/>
        <family val="1"/>
      </rPr>
      <t>i.e.,</t>
    </r>
    <r>
      <rPr>
        <sz val="10"/>
        <color theme="1"/>
        <rFont val="Times New Roman"/>
        <family val="1"/>
      </rPr>
      <t xml:space="preserve"> HEC for non-cancer effects from inhalation exposure and HED for non-cancer effects from dermal exposure, with the benchmark MOEs are provided to the right of the hazard value). The risk estimations show two columns of risk estimates: one column for exposures without PPE and one column for the results of the user-selected PPE option. These two columns allow the user to compare with and without PPE results side-by-side. The Dashboard automatically shades the MOE cells green when they exceed the benchmark MOE value (no risk) and red when they are less than the benchmark MOE value (risk).</t>
    </r>
  </si>
  <si>
    <r>
      <t>The RR spreadsheet is an expanded version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t>
    </r>
    <r>
      <rPr>
        <i/>
        <sz val="10"/>
        <color theme="1"/>
        <rFont val="Times New Roman"/>
        <family val="1"/>
      </rPr>
      <t>i.e.,</t>
    </r>
    <r>
      <rPr>
        <sz val="10"/>
        <color theme="1"/>
        <rFont val="Times New Roman"/>
        <family val="1"/>
      </rPr>
      <t xml:space="preserve"> APF or PF). The RR spreadsheet has a row for each toxicity endpoint, and each row shows the cancer risk or MOE values. Similar to the Dashboard, the RR spreadsheet shades results if the MOE or cancer risk exceeds the benchmark MOE or cancer benchmark.</t>
    </r>
  </si>
  <si>
    <r>
      <t>The Aggregate RR spreadsheet is an expanded version of the Aggregate section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t>
    </r>
    <r>
      <rPr>
        <i/>
        <sz val="10"/>
        <color theme="1"/>
        <rFont val="Times New Roman"/>
        <family val="1"/>
      </rPr>
      <t>i.e.,</t>
    </r>
    <r>
      <rPr>
        <sz val="10"/>
        <color theme="1"/>
        <rFont val="Times New Roman"/>
        <family val="1"/>
      </rPr>
      <t xml:space="preserve"> APF or PF). The RR spreadsheet has a row for each toxicity endpoint, and each row shows the cancer risk or MOE values. Similar to the Dashboard, the RR spreadsheet shades results if the MOE or cancer risk exceeds the benchmark MOE or cancer benchmark.</t>
    </r>
  </si>
  <si>
    <r>
      <t>- ED = Exposure duration: 8, 10, or 12hr/day
- BR</t>
    </r>
    <r>
      <rPr>
        <vertAlign val="subscript"/>
        <sz val="10"/>
        <color theme="1"/>
        <rFont val="Times New Roman"/>
        <family val="1"/>
      </rPr>
      <t>work</t>
    </r>
    <r>
      <rPr>
        <sz val="10"/>
        <color theme="1"/>
        <rFont val="Times New Roman"/>
        <family val="1"/>
      </rPr>
      <t xml:space="preserve"> = Breathing rate (working): 1.25 m</t>
    </r>
    <r>
      <rPr>
        <vertAlign val="superscript"/>
        <sz val="10"/>
        <color theme="1"/>
        <rFont val="Times New Roman"/>
        <family val="1"/>
      </rPr>
      <t>3</t>
    </r>
    <r>
      <rPr>
        <sz val="10"/>
        <color theme="1"/>
        <rFont val="Times New Roman"/>
        <family val="1"/>
      </rPr>
      <t>/hr
- AT</t>
    </r>
    <r>
      <rPr>
        <vertAlign val="subscript"/>
        <sz val="10"/>
        <color theme="1"/>
        <rFont val="Times New Roman"/>
        <family val="1"/>
      </rPr>
      <t>acute</t>
    </r>
    <r>
      <rPr>
        <sz val="10"/>
        <color theme="1"/>
        <rFont val="Times New Roman"/>
        <family val="1"/>
      </rPr>
      <t xml:space="preserve"> = Averaging time (acute): 24 hr/day
- BR</t>
    </r>
    <r>
      <rPr>
        <vertAlign val="subscript"/>
        <sz val="10"/>
        <color theme="1"/>
        <rFont val="Times New Roman"/>
        <family val="1"/>
      </rPr>
      <t>rest</t>
    </r>
    <r>
      <rPr>
        <sz val="10"/>
        <color theme="1"/>
        <rFont val="Times New Roman"/>
        <family val="1"/>
      </rPr>
      <t xml:space="preserve"> = Breathing rate (resting): 0.6125 m</t>
    </r>
    <r>
      <rPr>
        <vertAlign val="superscript"/>
        <sz val="10"/>
        <color theme="1"/>
        <rFont val="Times New Roman"/>
        <family val="1"/>
      </rPr>
      <t>3</t>
    </r>
    <r>
      <rPr>
        <sz val="10"/>
        <color theme="1"/>
        <rFont val="Times New Roman"/>
        <family val="1"/>
      </rPr>
      <t>/hr</t>
    </r>
  </si>
  <si>
    <t>High-End (Worker Only)</t>
  </si>
  <si>
    <t>Acute MOE
 (With Respirator)</t>
  </si>
  <si>
    <t>Intermediate MOE
(With Respiarator)</t>
  </si>
  <si>
    <t>Chronic MOE
(With Respirator)</t>
  </si>
  <si>
    <t>Inhalation Values</t>
  </si>
  <si>
    <r>
      <t>C</t>
    </r>
    <r>
      <rPr>
        <b/>
        <vertAlign val="subscript"/>
        <sz val="10"/>
        <rFont val="Times New Roman"/>
        <family val="1"/>
      </rPr>
      <t>8-, 10-, or 12-hr</t>
    </r>
    <r>
      <rPr>
        <b/>
        <sz val="10"/>
        <rFont val="Times New Roman"/>
        <family val="1"/>
      </rPr>
      <t xml:space="preserve"> TWA (mg/m</t>
    </r>
    <r>
      <rPr>
        <b/>
        <vertAlign val="superscript"/>
        <sz val="10"/>
        <rFont val="Times New Roman"/>
        <family val="1"/>
      </rPr>
      <t>3</t>
    </r>
    <r>
      <rPr>
        <b/>
        <sz val="10"/>
        <rFont val="Times New Roman"/>
        <family val="1"/>
      </rPr>
      <t>)</t>
    </r>
  </si>
  <si>
    <t>Acute Applied Dose
(mg/kg-day)</t>
  </si>
  <si>
    <t>APDR = SA x Qu x FT x Yderm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</si>
</sst>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
    <numFmt numFmtId="165" formatCode="0.000"/>
    <numFmt numFmtId="166" formatCode="0.0E+00"/>
    <numFmt numFmtId="167" formatCode="0.0000"/>
    <numFmt numFmtId="168" formatCode="0.0%"/>
    <numFmt numFmtId="169" formatCode="0.000E+00"/>
    <numFmt numFmtId="170" formatCode="_(* #,##0_);_(* \(#,##0\);_(* &quot;-&quot;??_);_(@_)"/>
    <numFmt numFmtId="171" formatCode="_(* #,##0.0_);_(* \(#,##0.0\);_(* &quot;-&quot;??_);_(@_)"/>
  </numFmts>
  <fonts count="41" x14ac:knownFonts="1">
    <font>
      <sz val="11"/>
      <color theme="1"/>
      <name val="Calibri"/>
      <family val="2"/>
      <scheme val="minor"/>
    </font>
    <font>
      <sz val="10"/>
      <name val="Arial"/>
      <family val="2"/>
    </font>
    <font>
      <sz val="8"/>
      <name val="Calibri"/>
      <family val="2"/>
      <scheme val="minor"/>
    </font>
    <font>
      <sz val="11"/>
      <color theme="1"/>
      <name val="Calibri"/>
      <family val="2"/>
      <scheme val="minor"/>
    </font>
    <font>
      <b/>
      <sz val="16"/>
      <color theme="1"/>
      <name val="Times New Roman"/>
      <family val="1"/>
    </font>
    <font>
      <b/>
      <i/>
      <sz val="14"/>
      <color theme="1"/>
      <name val="Times New Roman"/>
      <family val="1"/>
    </font>
    <font>
      <sz val="10"/>
      <color theme="1"/>
      <name val="Times New Roman"/>
      <family val="1"/>
    </font>
    <font>
      <sz val="11"/>
      <color theme="1"/>
      <name val="Times New Roman"/>
      <family val="1"/>
    </font>
    <font>
      <b/>
      <sz val="10"/>
      <color theme="1"/>
      <name val="Times New Roman"/>
      <family val="1"/>
    </font>
    <font>
      <b/>
      <sz val="10"/>
      <name val="Times New Roman"/>
      <family val="1"/>
    </font>
    <font>
      <b/>
      <vertAlign val="subscript"/>
      <sz val="10"/>
      <name val="Times New Roman"/>
      <family val="1"/>
    </font>
    <font>
      <b/>
      <vertAlign val="superscript"/>
      <sz val="10"/>
      <name val="Times New Roman"/>
      <family val="1"/>
    </font>
    <font>
      <sz val="10"/>
      <name val="Times New Roman"/>
      <family val="1"/>
    </font>
    <font>
      <sz val="10"/>
      <color rgb="FF000000"/>
      <name val="Times New Roman"/>
      <family val="1"/>
    </font>
    <font>
      <b/>
      <i/>
      <sz val="10"/>
      <name val="Times New Roman"/>
      <family val="1"/>
    </font>
    <font>
      <b/>
      <sz val="10"/>
      <color theme="8" tint="0.79998168889431442"/>
      <name val="Times New Roman"/>
      <family val="1"/>
    </font>
    <font>
      <b/>
      <sz val="10"/>
      <color rgb="FF000000"/>
      <name val="Times New Roman"/>
      <family val="1"/>
    </font>
    <font>
      <vertAlign val="superscript"/>
      <sz val="10"/>
      <color theme="1"/>
      <name val="Times New Roman"/>
      <family val="1"/>
    </font>
    <font>
      <sz val="10"/>
      <color rgb="FFFF0000"/>
      <name val="Times New Roman"/>
      <family val="1"/>
    </font>
    <font>
      <sz val="10"/>
      <color theme="0" tint="-4.9989318521683403E-2"/>
      <name val="Times New Roman"/>
      <family val="1"/>
    </font>
    <font>
      <u/>
      <sz val="10"/>
      <color theme="1"/>
      <name val="Times New Roman"/>
      <family val="1"/>
    </font>
    <font>
      <b/>
      <vertAlign val="superscript"/>
      <sz val="10"/>
      <color theme="1"/>
      <name val="Times New Roman"/>
      <family val="1"/>
    </font>
    <font>
      <b/>
      <sz val="10"/>
      <color theme="9" tint="0.79998168889431442"/>
      <name val="Times New Roman"/>
      <family val="1"/>
    </font>
    <font>
      <b/>
      <sz val="12"/>
      <name val="Times New Roman"/>
      <family val="1"/>
    </font>
    <font>
      <i/>
      <sz val="10"/>
      <color theme="1"/>
      <name val="Times New Roman"/>
      <family val="1"/>
    </font>
    <font>
      <b/>
      <sz val="12"/>
      <color theme="1"/>
      <name val="Times New Roman"/>
      <family val="1"/>
    </font>
    <font>
      <b/>
      <i/>
      <sz val="12"/>
      <name val="Times New Roman"/>
      <family val="1"/>
    </font>
    <font>
      <vertAlign val="subscript"/>
      <sz val="10"/>
      <color theme="1"/>
      <name val="Times New Roman"/>
      <family val="1"/>
    </font>
    <font>
      <sz val="10"/>
      <color theme="1"/>
      <name val="Calibri"/>
      <family val="2"/>
      <scheme val="minor"/>
    </font>
    <font>
      <b/>
      <sz val="11"/>
      <color rgb="FF000000"/>
      <name val="Times New Roman"/>
      <family val="1"/>
    </font>
    <font>
      <vertAlign val="superscript"/>
      <sz val="11"/>
      <color theme="1"/>
      <name val="Times New Roman"/>
      <family val="1"/>
    </font>
    <font>
      <b/>
      <sz val="9.5"/>
      <color rgb="FF000000"/>
      <name val="Times New Roman"/>
      <family val="1"/>
    </font>
    <font>
      <sz val="9.5"/>
      <color rgb="FF000000"/>
      <name val="Times New Roman"/>
      <family val="1"/>
    </font>
    <font>
      <b/>
      <sz val="9.5"/>
      <name val="Times New Roman"/>
      <family val="1"/>
    </font>
    <font>
      <sz val="11"/>
      <name val="Times New Roman"/>
      <family val="1"/>
    </font>
    <font>
      <sz val="11"/>
      <color rgb="FF000000"/>
      <name val="Times New Roman"/>
      <family val="1"/>
    </font>
    <font>
      <b/>
      <sz val="11"/>
      <name val="Times New Roman"/>
      <family val="1"/>
    </font>
    <font>
      <vertAlign val="subscript"/>
      <sz val="10"/>
      <name val="Times New Roman"/>
      <family val="1"/>
    </font>
    <font>
      <sz val="11"/>
      <color rgb="FFFF0000"/>
      <name val="Times New Roman"/>
      <family val="1"/>
    </font>
    <font>
      <sz val="12"/>
      <color rgb="FFFF0000"/>
      <name val="Times New Roman"/>
      <family val="1"/>
    </font>
    <font>
      <b/>
      <sz val="11"/>
      <color theme="1"/>
      <name val="Times New Roman"/>
      <family val="1"/>
    </font>
  </fonts>
  <fills count="1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3999450666829432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F2F2F2"/>
        <bgColor indexed="64"/>
      </patternFill>
    </fill>
    <fill>
      <patternFill patternType="solid">
        <fgColor theme="4" tint="0.79998168889431442"/>
        <bgColor theme="4" tint="0.79998168889431442"/>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s>
  <borders count="1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top style="dashed">
        <color auto="1"/>
      </top>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bottom style="medium">
        <color auto="1"/>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auto="1"/>
      </left>
      <right style="thin">
        <color auto="1"/>
      </right>
      <top/>
      <bottom style="medium">
        <color auto="1"/>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indexed="64"/>
      </right>
      <top/>
      <bottom/>
      <diagonal/>
    </border>
    <border>
      <left style="thin">
        <color indexed="64"/>
      </left>
      <right style="medium">
        <color indexed="64"/>
      </right>
      <top/>
      <bottom style="medium">
        <color indexed="64"/>
      </bottom>
      <diagonal/>
    </border>
    <border>
      <left/>
      <right style="medium">
        <color auto="1"/>
      </right>
      <top style="medium">
        <color auto="1"/>
      </top>
      <bottom style="thin">
        <color auto="1"/>
      </bottom>
      <diagonal/>
    </border>
    <border>
      <left style="medium">
        <color indexed="64"/>
      </left>
      <right style="medium">
        <color auto="1"/>
      </right>
      <top style="thin">
        <color indexed="64"/>
      </top>
      <bottom style="medium">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style="thin">
        <color indexed="64"/>
      </right>
      <top style="medium">
        <color auto="1"/>
      </top>
      <bottom style="thin">
        <color auto="1"/>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style="thin">
        <color theme="0" tint="-0.14996795556505021"/>
      </left>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tted">
        <color auto="1"/>
      </left>
      <right style="dotted">
        <color auto="1"/>
      </right>
      <top/>
      <bottom style="dotted">
        <color auto="1"/>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auto="1"/>
      </left>
      <right style="dotted">
        <color auto="1"/>
      </right>
      <top/>
      <bottom/>
      <diagonal/>
    </border>
    <border>
      <left style="medium">
        <color auto="1"/>
      </left>
      <right style="dotted">
        <color auto="1"/>
      </right>
      <top style="medium">
        <color auto="1"/>
      </top>
      <bottom/>
      <diagonal/>
    </border>
    <border>
      <left style="medium">
        <color auto="1"/>
      </left>
      <right style="dotted">
        <color auto="1"/>
      </right>
      <top/>
      <bottom style="medium">
        <color indexed="64"/>
      </bottom>
      <diagonal/>
    </border>
    <border>
      <left style="dotted">
        <color auto="1"/>
      </left>
      <right style="dotted">
        <color auto="1"/>
      </right>
      <top style="medium">
        <color indexed="64"/>
      </top>
      <bottom/>
      <diagonal/>
    </border>
    <border>
      <left style="dotted">
        <color indexed="64"/>
      </left>
      <right style="dotted">
        <color auto="1"/>
      </right>
      <top/>
      <bottom style="medium">
        <color indexed="64"/>
      </bottom>
      <diagonal/>
    </border>
    <border>
      <left/>
      <right style="medium">
        <color indexed="64"/>
      </right>
      <top/>
      <bottom style="medium">
        <color indexed="64"/>
      </bottom>
      <diagonal/>
    </border>
    <border>
      <left/>
      <right/>
      <top style="medium">
        <color auto="1"/>
      </top>
      <bottom style="thin">
        <color auto="1"/>
      </bottom>
      <diagonal/>
    </border>
    <border>
      <left/>
      <right style="thin">
        <color indexed="64"/>
      </right>
      <top style="medium">
        <color indexed="64"/>
      </top>
      <bottom/>
      <diagonal/>
    </border>
    <border>
      <left style="medium">
        <color indexed="64"/>
      </left>
      <right style="medium">
        <color indexed="64"/>
      </right>
      <top style="double">
        <color indexed="64"/>
      </top>
      <bottom style="thin">
        <color indexed="64"/>
      </bottom>
      <diagonal/>
    </border>
    <border>
      <left style="medium">
        <color auto="1"/>
      </left>
      <right/>
      <top/>
      <bottom/>
      <diagonal/>
    </border>
    <border>
      <left/>
      <right style="thin">
        <color auto="1"/>
      </right>
      <top style="thin">
        <color auto="1"/>
      </top>
      <bottom style="medium">
        <color indexed="64"/>
      </bottom>
      <diagonal/>
    </border>
    <border>
      <left style="dotted">
        <color auto="1"/>
      </left>
      <right/>
      <top style="medium">
        <color auto="1"/>
      </top>
      <bottom/>
      <diagonal/>
    </border>
    <border>
      <left style="dotted">
        <color auto="1"/>
      </left>
      <right/>
      <top/>
      <bottom style="dotted">
        <color auto="1"/>
      </bottom>
      <diagonal/>
    </border>
    <border>
      <left style="dotted">
        <color auto="1"/>
      </left>
      <right style="dotted">
        <color auto="1"/>
      </right>
      <top/>
      <bottom/>
      <diagonal/>
    </border>
    <border>
      <left style="dotted">
        <color auto="1"/>
      </left>
      <right style="medium">
        <color auto="1"/>
      </right>
      <top style="medium">
        <color auto="1"/>
      </top>
      <bottom/>
      <diagonal/>
    </border>
    <border>
      <left style="dotted">
        <color auto="1"/>
      </left>
      <right style="medium">
        <color auto="1"/>
      </right>
      <top/>
      <bottom/>
      <diagonal/>
    </border>
    <border>
      <left style="dotted">
        <color auto="1"/>
      </left>
      <right style="medium">
        <color auto="1"/>
      </right>
      <top/>
      <bottom style="medium">
        <color auto="1"/>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medium">
        <color indexed="64"/>
      </top>
      <bottom/>
      <diagonal/>
    </border>
    <border>
      <left style="medium">
        <color indexed="64"/>
      </left>
      <right style="medium">
        <color indexed="64"/>
      </right>
      <top style="thin">
        <color theme="1"/>
      </top>
      <bottom/>
      <diagonal/>
    </border>
    <border>
      <left/>
      <right style="medium">
        <color indexed="64"/>
      </right>
      <top style="thin">
        <color auto="1"/>
      </top>
      <bottom style="thin">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thin">
        <color auto="1"/>
      </bottom>
      <diagonal/>
    </border>
    <border>
      <left style="thin">
        <color auto="1"/>
      </left>
      <right/>
      <top style="thin">
        <color rgb="FF000000"/>
      </top>
      <bottom/>
      <diagonal/>
    </border>
    <border>
      <left style="thin">
        <color auto="1"/>
      </left>
      <right/>
      <top/>
      <bottom style="medium">
        <color rgb="FF000000"/>
      </bottom>
      <diagonal/>
    </border>
    <border>
      <left/>
      <right style="thin">
        <color indexed="64"/>
      </right>
      <top style="thin">
        <color rgb="FF000000"/>
      </top>
      <bottom style="thin">
        <color indexed="64"/>
      </bottom>
      <diagonal/>
    </border>
    <border>
      <left style="medium">
        <color rgb="FF000000"/>
      </left>
      <right style="medium">
        <color indexed="64"/>
      </right>
      <top style="medium">
        <color rgb="FF000000"/>
      </top>
      <bottom style="double">
        <color indexed="64"/>
      </bottom>
      <diagonal/>
    </border>
    <border>
      <left/>
      <right style="medium">
        <color indexed="64"/>
      </right>
      <top style="medium">
        <color rgb="FF000000"/>
      </top>
      <bottom style="double">
        <color indexed="64"/>
      </bottom>
      <diagonal/>
    </border>
    <border>
      <left/>
      <right style="medium">
        <color rgb="FF000000"/>
      </right>
      <top style="medium">
        <color rgb="FF000000"/>
      </top>
      <bottom style="double">
        <color indexed="64"/>
      </bottom>
      <diagonal/>
    </border>
    <border>
      <left style="medium">
        <color rgb="FF000000"/>
      </left>
      <right style="thin">
        <color auto="1"/>
      </right>
      <top style="double">
        <color indexed="64"/>
      </top>
      <bottom/>
      <diagonal/>
    </border>
    <border>
      <left style="thin">
        <color indexed="64"/>
      </left>
      <right style="medium">
        <color rgb="FF000000"/>
      </right>
      <top style="double">
        <color indexed="64"/>
      </top>
      <bottom style="thin">
        <color indexed="64"/>
      </bottom>
      <diagonal/>
    </border>
    <border>
      <left style="medium">
        <color rgb="FF000000"/>
      </left>
      <right style="thin">
        <color auto="1"/>
      </right>
      <top/>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medium">
        <color rgb="FF000000"/>
      </left>
      <right style="thin">
        <color auto="1"/>
      </right>
      <top style="thin">
        <color auto="1"/>
      </top>
      <bottom/>
      <diagonal/>
    </border>
    <border>
      <left style="medium">
        <color rgb="FF000000"/>
      </left>
      <right style="thin">
        <color auto="1"/>
      </right>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auto="1"/>
      </right>
      <top style="medium">
        <color rgb="FF000000"/>
      </top>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rgb="FF000000"/>
      </bottom>
      <diagonal/>
    </border>
    <border>
      <left style="medium">
        <color auto="1"/>
      </left>
      <right style="medium">
        <color auto="1"/>
      </right>
      <top/>
      <bottom style="thin">
        <color auto="1"/>
      </bottom>
      <diagonal/>
    </border>
    <border>
      <left style="medium">
        <color indexed="64"/>
      </left>
      <right/>
      <top/>
      <bottom style="thin">
        <color indexed="64"/>
      </bottom>
      <diagonal/>
    </border>
    <border>
      <left/>
      <right style="thin">
        <color auto="1"/>
      </right>
      <top/>
      <bottom style="medium">
        <color auto="1"/>
      </bottom>
      <diagonal/>
    </border>
    <border>
      <left style="thin">
        <color indexed="64"/>
      </left>
      <right/>
      <top/>
      <bottom style="medium">
        <color indexed="64"/>
      </bottom>
      <diagonal/>
    </border>
    <border>
      <left/>
      <right/>
      <top style="thin">
        <color indexed="64"/>
      </top>
      <bottom style="medium">
        <color indexed="64"/>
      </bottom>
      <diagonal/>
    </border>
    <border>
      <left style="medium">
        <color indexed="64"/>
      </left>
      <right style="medium">
        <color indexed="64"/>
      </right>
      <top/>
      <bottom style="double">
        <color indexed="64"/>
      </bottom>
      <diagonal/>
    </border>
    <border>
      <left style="thin">
        <color indexed="64"/>
      </left>
      <right style="thin">
        <color indexed="64"/>
      </right>
      <top style="double">
        <color indexed="64"/>
      </top>
      <bottom style="thin">
        <color theme="1"/>
      </bottom>
      <diagonal/>
    </border>
    <border>
      <left style="thin">
        <color indexed="64"/>
      </left>
      <right style="thin">
        <color auto="1"/>
      </right>
      <top style="thin">
        <color theme="1"/>
      </top>
      <bottom style="thin">
        <color auto="1"/>
      </bottom>
      <diagonal/>
    </border>
    <border>
      <left style="thin">
        <color indexed="64"/>
      </left>
      <right/>
      <top style="thin">
        <color theme="1"/>
      </top>
      <bottom style="thin">
        <color auto="1"/>
      </bottom>
      <diagonal/>
    </border>
    <border>
      <left/>
      <right style="medium">
        <color indexed="64"/>
      </right>
      <top style="medium">
        <color indexed="64"/>
      </top>
      <bottom/>
      <diagonal/>
    </border>
    <border>
      <left style="thin">
        <color indexed="64"/>
      </left>
      <right style="thin">
        <color auto="1"/>
      </right>
      <top style="medium">
        <color auto="1"/>
      </top>
      <bottom style="thin">
        <color rgb="FF000000"/>
      </bottom>
      <diagonal/>
    </border>
    <border>
      <left style="thin">
        <color indexed="64"/>
      </left>
      <right style="thin">
        <color auto="1"/>
      </right>
      <top style="thin">
        <color rgb="FF000000"/>
      </top>
      <bottom style="medium">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diagonal/>
    </border>
    <border>
      <left style="thin">
        <color auto="1"/>
      </left>
      <right style="thin">
        <color auto="1"/>
      </right>
      <top style="thin">
        <color auto="1"/>
      </top>
      <bottom style="double">
        <color indexed="64"/>
      </bottom>
      <diagonal/>
    </border>
    <border>
      <left style="medium">
        <color indexed="64"/>
      </left>
      <right style="thin">
        <color auto="1"/>
      </right>
      <top style="thin">
        <color indexed="64"/>
      </top>
      <bottom style="double">
        <color indexed="64"/>
      </bottom>
      <diagonal/>
    </border>
    <border>
      <left style="thin">
        <color auto="1"/>
      </left>
      <right style="medium">
        <color indexed="64"/>
      </right>
      <top style="thin">
        <color auto="1"/>
      </top>
      <bottom style="double">
        <color indexed="64"/>
      </bottom>
      <diagonal/>
    </border>
    <border>
      <left style="medium">
        <color indexed="64"/>
      </left>
      <right/>
      <top/>
      <bottom style="double">
        <color indexed="64"/>
      </bottom>
      <diagonal/>
    </border>
    <border>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s>
  <cellStyleXfs count="4">
    <xf numFmtId="0" fontId="0" fillId="0" borderId="0"/>
    <xf numFmtId="0" fontId="1" fillId="0" borderId="0"/>
    <xf numFmtId="9" fontId="3" fillId="0" borderId="0" applyFont="0" applyFill="0" applyBorder="0" applyAlignment="0" applyProtection="0"/>
    <xf numFmtId="43" fontId="3" fillId="0" borderId="0" applyFont="0" applyFill="0" applyBorder="0" applyAlignment="0" applyProtection="0"/>
  </cellStyleXfs>
  <cellXfs count="735">
    <xf numFmtId="0" fontId="0" fillId="0" borderId="0" xfId="0"/>
    <xf numFmtId="0" fontId="6" fillId="0" borderId="0" xfId="0" applyFont="1"/>
    <xf numFmtId="0" fontId="6" fillId="0" borderId="0" xfId="0" applyFont="1" applyAlignment="1">
      <alignment horizontal="center" vertical="center"/>
    </xf>
    <xf numFmtId="0" fontId="6" fillId="0" borderId="0" xfId="0" applyFont="1" applyAlignment="1">
      <alignment vertical="center"/>
    </xf>
    <xf numFmtId="0" fontId="7" fillId="0" borderId="0" xfId="0" applyFont="1"/>
    <xf numFmtId="0" fontId="6" fillId="3" borderId="0" xfId="0" applyFont="1" applyFill="1"/>
    <xf numFmtId="0" fontId="8" fillId="2" borderId="25" xfId="0" applyFont="1" applyFill="1" applyBorder="1" applyAlignment="1">
      <alignment vertical="center" wrapText="1"/>
    </xf>
    <xf numFmtId="0" fontId="8" fillId="2" borderId="26" xfId="0" applyFont="1" applyFill="1" applyBorder="1" applyAlignment="1">
      <alignment vertical="center" wrapText="1"/>
    </xf>
    <xf numFmtId="0" fontId="12" fillId="0" borderId="0" xfId="0" applyFont="1"/>
    <xf numFmtId="0" fontId="6" fillId="0" borderId="1" xfId="0" applyFont="1" applyBorder="1" applyAlignment="1">
      <alignment vertical="center" wrapText="1"/>
    </xf>
    <xf numFmtId="0" fontId="6" fillId="0" borderId="0" xfId="0" applyFont="1" applyAlignment="1">
      <alignment horizontal="center"/>
    </xf>
    <xf numFmtId="0" fontId="6" fillId="3" borderId="0" xfId="0" applyFont="1" applyFill="1" applyAlignment="1">
      <alignment horizontal="center" vertical="center"/>
    </xf>
    <xf numFmtId="0" fontId="6" fillId="3" borderId="0" xfId="0" applyFont="1" applyFill="1" applyAlignment="1">
      <alignment vertical="center" wrapText="1"/>
    </xf>
    <xf numFmtId="0" fontId="6" fillId="3" borderId="0" xfId="0" applyFont="1" applyFill="1" applyAlignment="1">
      <alignment horizontal="center" vertical="center" wrapText="1"/>
    </xf>
    <xf numFmtId="0" fontId="6" fillId="3" borderId="0" xfId="0" applyFont="1" applyFill="1" applyAlignment="1">
      <alignment vertical="center"/>
    </xf>
    <xf numFmtId="0" fontId="12" fillId="3" borderId="0" xfId="0" applyFont="1" applyFill="1" applyAlignment="1">
      <alignment vertical="center"/>
    </xf>
    <xf numFmtId="0" fontId="14" fillId="3" borderId="0" xfId="0" applyFont="1" applyFill="1" applyAlignment="1">
      <alignment vertical="center"/>
    </xf>
    <xf numFmtId="0" fontId="12" fillId="3" borderId="0" xfId="0" applyFont="1" applyFill="1" applyAlignment="1">
      <alignment vertical="center" wrapText="1"/>
    </xf>
    <xf numFmtId="0" fontId="8" fillId="3" borderId="0" xfId="0" applyFont="1" applyFill="1" applyAlignment="1">
      <alignment vertical="center"/>
    </xf>
    <xf numFmtId="0" fontId="12" fillId="2" borderId="22" xfId="0" applyFont="1" applyFill="1" applyBorder="1" applyAlignment="1" applyProtection="1">
      <alignment horizontal="center" vertical="center" wrapText="1"/>
      <protection locked="0"/>
    </xf>
    <xf numFmtId="0" fontId="9" fillId="5" borderId="19" xfId="0" applyFont="1" applyFill="1" applyBorder="1" applyAlignment="1">
      <alignment horizontal="center" vertical="center" wrapText="1"/>
    </xf>
    <xf numFmtId="0" fontId="12" fillId="3" borderId="0" xfId="0" applyFont="1" applyFill="1" applyAlignment="1">
      <alignment horizontal="left" vertical="center" wrapText="1"/>
    </xf>
    <xf numFmtId="0" fontId="9" fillId="5" borderId="16"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12" fillId="3" borderId="0" xfId="0" applyFont="1" applyFill="1" applyAlignment="1">
      <alignment horizontal="center" vertical="center"/>
    </xf>
    <xf numFmtId="0" fontId="9" fillId="5" borderId="32" xfId="0" applyFont="1" applyFill="1" applyBorder="1" applyAlignment="1">
      <alignment horizontal="center" vertical="center" wrapText="1"/>
    </xf>
    <xf numFmtId="0" fontId="6" fillId="0" borderId="22" xfId="0" applyFont="1" applyBorder="1" applyAlignment="1">
      <alignment horizontal="center" vertical="center"/>
    </xf>
    <xf numFmtId="0" fontId="9" fillId="3" borderId="0" xfId="0" applyFont="1" applyFill="1" applyAlignment="1">
      <alignment horizontal="center" vertical="center" wrapText="1"/>
    </xf>
    <xf numFmtId="0" fontId="12" fillId="3" borderId="0" xfId="0" applyFont="1" applyFill="1" applyAlignment="1">
      <alignment horizontal="center" vertical="center" wrapText="1"/>
    </xf>
    <xf numFmtId="0" fontId="9" fillId="3" borderId="0" xfId="0" applyFont="1" applyFill="1" applyAlignment="1">
      <alignment vertical="center" wrapText="1"/>
    </xf>
    <xf numFmtId="0" fontId="9" fillId="3" borderId="0" xfId="0" applyFont="1" applyFill="1" applyAlignment="1">
      <alignment vertical="center"/>
    </xf>
    <xf numFmtId="0" fontId="9" fillId="3" borderId="30" xfId="0" applyFont="1" applyFill="1" applyBorder="1" applyAlignment="1">
      <alignment vertical="center"/>
    </xf>
    <xf numFmtId="0" fontId="8" fillId="8" borderId="46" xfId="0" applyFont="1" applyFill="1" applyBorder="1" applyAlignment="1">
      <alignment horizontal="center" vertical="center"/>
    </xf>
    <xf numFmtId="0" fontId="8" fillId="8" borderId="53" xfId="0" applyFont="1" applyFill="1" applyBorder="1" applyAlignment="1">
      <alignment horizontal="center" vertical="center"/>
    </xf>
    <xf numFmtId="0" fontId="16" fillId="5" borderId="16" xfId="0" applyFont="1" applyFill="1" applyBorder="1" applyAlignment="1">
      <alignment horizontal="center" vertical="center" wrapText="1"/>
    </xf>
    <xf numFmtId="0" fontId="6" fillId="8" borderId="53" xfId="0" applyFont="1" applyFill="1" applyBorder="1" applyAlignment="1">
      <alignment horizontal="left" vertical="center"/>
    </xf>
    <xf numFmtId="2" fontId="12" fillId="0" borderId="24" xfId="0" applyNumberFormat="1" applyFont="1" applyBorder="1" applyAlignment="1">
      <alignment horizontal="center" vertical="center"/>
    </xf>
    <xf numFmtId="2" fontId="12" fillId="0" borderId="28" xfId="0" applyNumberFormat="1" applyFont="1" applyBorder="1" applyAlignment="1">
      <alignment horizontal="center" vertical="center"/>
    </xf>
    <xf numFmtId="0" fontId="6" fillId="3" borderId="16" xfId="0" applyFont="1" applyFill="1" applyBorder="1" applyAlignment="1">
      <alignment vertical="center"/>
    </xf>
    <xf numFmtId="2" fontId="12" fillId="0" borderId="16" xfId="0" applyNumberFormat="1" applyFont="1" applyBorder="1" applyAlignment="1">
      <alignment horizontal="center" vertical="center"/>
    </xf>
    <xf numFmtId="0" fontId="6" fillId="8" borderId="53" xfId="0" applyFont="1" applyFill="1" applyBorder="1" applyAlignment="1">
      <alignment horizontal="left" vertical="center" wrapText="1"/>
    </xf>
    <xf numFmtId="0" fontId="6" fillId="3" borderId="15" xfId="0" applyFont="1" applyFill="1" applyBorder="1" applyAlignment="1">
      <alignment vertical="center"/>
    </xf>
    <xf numFmtId="2" fontId="12" fillId="0" borderId="15" xfId="0" applyNumberFormat="1" applyFont="1" applyBorder="1" applyAlignment="1">
      <alignment horizontal="center" vertical="center"/>
    </xf>
    <xf numFmtId="2" fontId="12" fillId="0" borderId="19" xfId="0" applyNumberFormat="1" applyFont="1" applyBorder="1" applyAlignment="1">
      <alignment horizontal="center" vertical="center"/>
    </xf>
    <xf numFmtId="0" fontId="18" fillId="3" borderId="0" xfId="0" applyFont="1" applyFill="1" applyAlignment="1">
      <alignment horizontal="center" vertical="center"/>
    </xf>
    <xf numFmtId="0" fontId="19" fillId="3" borderId="0" xfId="0" applyFont="1" applyFill="1" applyAlignment="1">
      <alignment vertical="center" wrapText="1"/>
    </xf>
    <xf numFmtId="0" fontId="18" fillId="3" borderId="0" xfId="0" applyFont="1" applyFill="1" applyAlignment="1">
      <alignment vertical="center" wrapText="1"/>
    </xf>
    <xf numFmtId="0" fontId="18" fillId="3" borderId="0" xfId="0" applyFont="1" applyFill="1" applyAlignment="1">
      <alignment horizontal="center" vertical="center" wrapText="1"/>
    </xf>
    <xf numFmtId="0" fontId="19" fillId="3" borderId="0" xfId="0" applyFont="1" applyFill="1" applyAlignment="1">
      <alignment vertical="center"/>
    </xf>
    <xf numFmtId="165" fontId="12" fillId="3" borderId="0" xfId="0" applyNumberFormat="1" applyFont="1" applyFill="1" applyAlignment="1">
      <alignment horizontal="center" vertical="center"/>
    </xf>
    <xf numFmtId="3" fontId="12" fillId="3" borderId="0" xfId="0" applyNumberFormat="1" applyFont="1" applyFill="1" applyAlignment="1">
      <alignment horizontal="center" vertical="center" wrapText="1"/>
    </xf>
    <xf numFmtId="0" fontId="9" fillId="7" borderId="19" xfId="0" applyFont="1" applyFill="1" applyBorder="1" applyAlignment="1">
      <alignment horizontal="center" vertical="center" wrapText="1"/>
    </xf>
    <xf numFmtId="1" fontId="9" fillId="7" borderId="15" xfId="0" applyNumberFormat="1" applyFont="1" applyFill="1" applyBorder="1" applyAlignment="1">
      <alignment horizontal="center" vertical="center" wrapText="1"/>
    </xf>
    <xf numFmtId="168" fontId="9" fillId="5" borderId="32" xfId="0" applyNumberFormat="1" applyFont="1" applyFill="1" applyBorder="1" applyAlignment="1">
      <alignment horizontal="center" vertical="center" wrapText="1"/>
    </xf>
    <xf numFmtId="165" fontId="12" fillId="0" borderId="15" xfId="0" applyNumberFormat="1" applyFont="1" applyBorder="1" applyAlignment="1">
      <alignment horizontal="center" vertical="center"/>
    </xf>
    <xf numFmtId="2" fontId="12" fillId="0" borderId="43" xfId="0" applyNumberFormat="1" applyFont="1" applyBorder="1" applyAlignment="1">
      <alignment horizontal="center" vertical="center"/>
    </xf>
    <xf numFmtId="165" fontId="12" fillId="0" borderId="37" xfId="0" applyNumberFormat="1" applyFont="1" applyBorder="1" applyAlignment="1">
      <alignment horizontal="center" vertical="center"/>
    </xf>
    <xf numFmtId="2" fontId="12" fillId="0" borderId="74" xfId="0" applyNumberFormat="1" applyFont="1" applyBorder="1" applyAlignment="1">
      <alignment horizontal="center" vertical="center"/>
    </xf>
    <xf numFmtId="0" fontId="12" fillId="3" borderId="30" xfId="0" applyFont="1" applyFill="1" applyBorder="1" applyAlignment="1">
      <alignment horizontal="center" vertical="center" wrapText="1"/>
    </xf>
    <xf numFmtId="1" fontId="12" fillId="0" borderId="15" xfId="0" applyNumberFormat="1" applyFont="1" applyBorder="1" applyAlignment="1">
      <alignment horizontal="center" vertical="center"/>
    </xf>
    <xf numFmtId="1" fontId="12" fillId="0" borderId="19" xfId="0" applyNumberFormat="1" applyFont="1" applyBorder="1" applyAlignment="1">
      <alignment horizontal="center" vertical="center"/>
    </xf>
    <xf numFmtId="2" fontId="12" fillId="3" borderId="0" xfId="0" applyNumberFormat="1" applyFont="1" applyFill="1" applyAlignment="1">
      <alignment horizontal="center" vertical="center"/>
    </xf>
    <xf numFmtId="1" fontId="12" fillId="0" borderId="16" xfId="0" applyNumberFormat="1" applyFont="1" applyBorder="1" applyAlignment="1">
      <alignment horizontal="center" vertical="center"/>
    </xf>
    <xf numFmtId="1" fontId="12" fillId="0" borderId="23" xfId="0" applyNumberFormat="1" applyFont="1" applyBorder="1" applyAlignment="1">
      <alignment horizontal="center" vertical="center"/>
    </xf>
    <xf numFmtId="2" fontId="12" fillId="3" borderId="0" xfId="0" applyNumberFormat="1" applyFont="1" applyFill="1" applyAlignment="1">
      <alignment horizontal="center" vertical="center" wrapText="1"/>
    </xf>
    <xf numFmtId="1" fontId="9" fillId="3" borderId="0" xfId="0" applyNumberFormat="1" applyFont="1" applyFill="1" applyAlignment="1">
      <alignment horizontal="center" vertical="center" wrapText="1"/>
    </xf>
    <xf numFmtId="169" fontId="12" fillId="3" borderId="0" xfId="0" applyNumberFormat="1" applyFont="1" applyFill="1" applyAlignment="1">
      <alignment vertical="center"/>
    </xf>
    <xf numFmtId="11" fontId="12" fillId="3" borderId="0" xfId="0" applyNumberFormat="1" applyFont="1" applyFill="1" applyAlignment="1">
      <alignment vertical="center"/>
    </xf>
    <xf numFmtId="167" fontId="12" fillId="3" borderId="0" xfId="0" applyNumberFormat="1" applyFont="1" applyFill="1" applyAlignment="1">
      <alignment horizontal="center" vertical="center"/>
    </xf>
    <xf numFmtId="0" fontId="14" fillId="5" borderId="36"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12" fillId="2" borderId="56"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1" fontId="12" fillId="3" borderId="0" xfId="2" applyNumberFormat="1" applyFont="1" applyFill="1" applyBorder="1" applyAlignment="1">
      <alignment horizontal="center" vertical="center" wrapText="1"/>
    </xf>
    <xf numFmtId="0" fontId="22" fillId="3" borderId="30" xfId="0" applyFont="1" applyFill="1" applyBorder="1" applyAlignment="1">
      <alignment vertical="center"/>
    </xf>
    <xf numFmtId="0" fontId="22" fillId="3" borderId="0" xfId="0" applyFont="1" applyFill="1" applyAlignment="1">
      <alignment vertical="center"/>
    </xf>
    <xf numFmtId="0" fontId="9" fillId="3" borderId="30" xfId="0" applyFont="1" applyFill="1" applyBorder="1" applyAlignment="1">
      <alignment horizontal="center" vertical="center" wrapText="1"/>
    </xf>
    <xf numFmtId="165" fontId="9" fillId="3" borderId="30" xfId="0" applyNumberFormat="1" applyFont="1" applyFill="1" applyBorder="1" applyAlignment="1">
      <alignment vertical="center" wrapText="1"/>
    </xf>
    <xf numFmtId="0" fontId="9" fillId="3" borderId="30" xfId="0" applyFont="1" applyFill="1" applyBorder="1" applyAlignment="1">
      <alignment vertical="center" wrapText="1"/>
    </xf>
    <xf numFmtId="0" fontId="6" fillId="0" borderId="0" xfId="0" applyFont="1" applyAlignment="1">
      <alignment vertical="center" wrapText="1"/>
    </xf>
    <xf numFmtId="0" fontId="8" fillId="3" borderId="0" xfId="0" applyFont="1" applyFill="1"/>
    <xf numFmtId="0" fontId="6" fillId="3" borderId="2" xfId="0" applyFont="1" applyFill="1" applyBorder="1"/>
    <xf numFmtId="0" fontId="6" fillId="3" borderId="3" xfId="0" applyFont="1" applyFill="1" applyBorder="1"/>
    <xf numFmtId="0" fontId="12" fillId="3" borderId="0" xfId="0" applyFont="1" applyFill="1"/>
    <xf numFmtId="0" fontId="9" fillId="3" borderId="13" xfId="0" applyFont="1" applyFill="1" applyBorder="1" applyAlignment="1">
      <alignment horizontal="center"/>
    </xf>
    <xf numFmtId="0" fontId="9" fillId="3" borderId="13" xfId="0" applyFont="1" applyFill="1" applyBorder="1" applyAlignment="1">
      <alignment horizontal="center" wrapText="1"/>
    </xf>
    <xf numFmtId="0" fontId="8" fillId="3" borderId="12" xfId="0" applyFont="1" applyFill="1" applyBorder="1" applyAlignment="1">
      <alignment horizontal="center" wrapText="1"/>
    </xf>
    <xf numFmtId="0" fontId="8" fillId="3" borderId="13" xfId="0" applyFont="1" applyFill="1" applyBorder="1" applyAlignment="1">
      <alignment horizontal="center" wrapText="1"/>
    </xf>
    <xf numFmtId="0" fontId="8" fillId="3" borderId="14" xfId="0" applyFont="1" applyFill="1" applyBorder="1" applyAlignment="1">
      <alignment horizontal="center" wrapText="1"/>
    </xf>
    <xf numFmtId="0" fontId="12" fillId="3" borderId="11" xfId="0" applyFont="1" applyFill="1" applyBorder="1" applyAlignment="1">
      <alignment horizontal="left"/>
    </xf>
    <xf numFmtId="0" fontId="6" fillId="3" borderId="0" xfId="0" applyFont="1" applyFill="1" applyAlignment="1">
      <alignment horizontal="left" vertical="center" wrapText="1"/>
    </xf>
    <xf numFmtId="0" fontId="6" fillId="3" borderId="11" xfId="0" applyFont="1" applyFill="1" applyBorder="1" applyAlignment="1">
      <alignment vertical="center" wrapText="1"/>
    </xf>
    <xf numFmtId="0" fontId="12" fillId="3" borderId="11" xfId="0" applyFont="1" applyFill="1" applyBorder="1" applyAlignment="1">
      <alignment horizontal="center" vertical="center"/>
    </xf>
    <xf numFmtId="2" fontId="12" fillId="3" borderId="11" xfId="0" applyNumberFormat="1" applyFont="1" applyFill="1" applyBorder="1" applyAlignment="1">
      <alignment horizontal="center" vertical="center"/>
    </xf>
    <xf numFmtId="164" fontId="12" fillId="3" borderId="11" xfId="0" applyNumberFormat="1" applyFont="1" applyFill="1" applyBorder="1" applyAlignment="1">
      <alignment horizontal="center" vertical="center"/>
    </xf>
    <xf numFmtId="0" fontId="12" fillId="3" borderId="11" xfId="0" quotePrefix="1" applyFont="1" applyFill="1" applyBorder="1" applyAlignment="1">
      <alignment horizontal="center" vertical="center"/>
    </xf>
    <xf numFmtId="1" fontId="12" fillId="3" borderId="11" xfId="0" quotePrefix="1" applyNumberFormat="1" applyFont="1" applyFill="1" applyBorder="1" applyAlignment="1">
      <alignment horizontal="center" vertical="center"/>
    </xf>
    <xf numFmtId="0" fontId="6" fillId="3" borderId="5" xfId="0" applyFont="1" applyFill="1" applyBorder="1"/>
    <xf numFmtId="166" fontId="6" fillId="3" borderId="7" xfId="0" applyNumberFormat="1" applyFont="1" applyFill="1" applyBorder="1"/>
    <xf numFmtId="0" fontId="12" fillId="3" borderId="0" xfId="0" applyFont="1" applyFill="1" applyAlignment="1">
      <alignment horizontal="left" vertical="center"/>
    </xf>
    <xf numFmtId="0" fontId="12" fillId="3" borderId="0" xfId="0" quotePrefix="1" applyFont="1" applyFill="1" applyAlignment="1">
      <alignment horizontal="center" vertical="center"/>
    </xf>
    <xf numFmtId="164" fontId="12" fillId="3" borderId="0" xfId="0" quotePrefix="1" applyNumberFormat="1" applyFont="1" applyFill="1" applyAlignment="1">
      <alignment horizontal="center" vertical="center"/>
    </xf>
    <xf numFmtId="0" fontId="6" fillId="3" borderId="8" xfId="0" applyFont="1" applyFill="1" applyBorder="1"/>
    <xf numFmtId="0" fontId="6" fillId="3" borderId="7" xfId="0" applyFont="1" applyFill="1" applyBorder="1"/>
    <xf numFmtId="0" fontId="8" fillId="3" borderId="3" xfId="0" applyFont="1" applyFill="1" applyBorder="1"/>
    <xf numFmtId="0" fontId="6" fillId="3" borderId="7" xfId="0" applyFont="1" applyFill="1" applyBorder="1" applyAlignment="1">
      <alignment wrapText="1"/>
    </xf>
    <xf numFmtId="0" fontId="6" fillId="3" borderId="11" xfId="0" applyFont="1" applyFill="1" applyBorder="1" applyAlignment="1">
      <alignment horizontal="center" vertical="center" wrapText="1"/>
    </xf>
    <xf numFmtId="0" fontId="6" fillId="3" borderId="6" xfId="0" applyFont="1" applyFill="1" applyBorder="1"/>
    <xf numFmtId="0" fontId="6" fillId="3" borderId="9" xfId="0" applyFont="1" applyFill="1" applyBorder="1"/>
    <xf numFmtId="0" fontId="6" fillId="3" borderId="0" xfId="0" applyFont="1" applyFill="1" applyAlignment="1">
      <alignment horizontal="left"/>
    </xf>
    <xf numFmtId="0" fontId="6" fillId="3" borderId="11" xfId="0" applyFont="1" applyFill="1" applyBorder="1"/>
    <xf numFmtId="0" fontId="6" fillId="3" borderId="11" xfId="0" applyFont="1" applyFill="1" applyBorder="1" applyAlignment="1">
      <alignment horizontal="center"/>
    </xf>
    <xf numFmtId="165" fontId="6" fillId="3" borderId="1" xfId="0" applyNumberFormat="1" applyFont="1" applyFill="1" applyBorder="1"/>
    <xf numFmtId="0" fontId="6" fillId="3" borderId="1" xfId="0" applyFont="1" applyFill="1" applyBorder="1"/>
    <xf numFmtId="165" fontId="12" fillId="3" borderId="0" xfId="0" applyNumberFormat="1" applyFont="1" applyFill="1" applyAlignment="1">
      <alignment horizontal="center" vertical="center" wrapText="1"/>
    </xf>
    <xf numFmtId="0" fontId="6" fillId="10" borderId="0" xfId="0" applyFont="1" applyFill="1" applyAlignment="1">
      <alignment vertical="center" wrapText="1"/>
    </xf>
    <xf numFmtId="0" fontId="12" fillId="10" borderId="0" xfId="1" applyFont="1" applyFill="1"/>
    <xf numFmtId="0" fontId="6" fillId="10" borderId="0" xfId="0" applyFont="1" applyFill="1" applyAlignment="1">
      <alignment wrapText="1"/>
    </xf>
    <xf numFmtId="0" fontId="12" fillId="0" borderId="35" xfId="1" applyFont="1" applyBorder="1" applyAlignment="1">
      <alignment vertical="center" wrapText="1"/>
    </xf>
    <xf numFmtId="0" fontId="12" fillId="0" borderId="28" xfId="1" applyFont="1" applyBorder="1" applyAlignment="1">
      <alignment vertical="center" wrapText="1"/>
    </xf>
    <xf numFmtId="0" fontId="12" fillId="0" borderId="22" xfId="1" applyFont="1" applyBorder="1" applyAlignment="1">
      <alignment vertical="center" wrapText="1"/>
    </xf>
    <xf numFmtId="0" fontId="12" fillId="0" borderId="16" xfId="1" applyFont="1" applyBorder="1" applyAlignment="1">
      <alignment horizontal="center" vertical="center" wrapText="1"/>
    </xf>
    <xf numFmtId="0" fontId="12" fillId="0" borderId="23" xfId="1" applyFont="1" applyBorder="1" applyAlignment="1">
      <alignment vertical="center" wrapText="1"/>
    </xf>
    <xf numFmtId="0" fontId="12" fillId="0" borderId="62" xfId="1" applyFont="1" applyBorder="1" applyAlignment="1">
      <alignment vertical="center" wrapText="1"/>
    </xf>
    <xf numFmtId="0" fontId="12" fillId="0" borderId="63" xfId="1" applyFont="1" applyBorder="1" applyAlignment="1">
      <alignment horizontal="center" vertical="center" wrapText="1"/>
    </xf>
    <xf numFmtId="0" fontId="12" fillId="0" borderId="64" xfId="1" applyFont="1" applyBorder="1" applyAlignment="1">
      <alignment vertical="center" wrapText="1"/>
    </xf>
    <xf numFmtId="0" fontId="12" fillId="0" borderId="20" xfId="1" applyFont="1" applyBorder="1" applyAlignment="1">
      <alignment vertical="center" wrapText="1"/>
    </xf>
    <xf numFmtId="0" fontId="12" fillId="0" borderId="1" xfId="1" applyFont="1" applyBorder="1" applyAlignment="1">
      <alignment horizontal="center" vertical="center" wrapText="1"/>
    </xf>
    <xf numFmtId="0" fontId="12" fillId="0" borderId="21" xfId="1" applyFont="1" applyBorder="1" applyAlignment="1">
      <alignment vertical="center" wrapText="1"/>
    </xf>
    <xf numFmtId="3" fontId="12" fillId="0" borderId="1" xfId="1" applyNumberFormat="1" applyFont="1" applyBorder="1" applyAlignment="1">
      <alignment horizontal="center" vertical="center" wrapText="1"/>
    </xf>
    <xf numFmtId="0" fontId="16" fillId="3" borderId="78" xfId="0" applyFont="1" applyFill="1" applyBorder="1" applyAlignment="1">
      <alignment horizontal="left" vertical="center" wrapText="1"/>
    </xf>
    <xf numFmtId="3" fontId="12" fillId="0" borderId="16" xfId="1" applyNumberFormat="1" applyFont="1" applyBorder="1" applyAlignment="1">
      <alignment horizontal="center" vertical="center" wrapText="1"/>
    </xf>
    <xf numFmtId="0" fontId="6" fillId="10" borderId="0" xfId="0" applyFont="1" applyFill="1"/>
    <xf numFmtId="0" fontId="9" fillId="9" borderId="46" xfId="1" applyFont="1" applyFill="1" applyBorder="1" applyAlignment="1">
      <alignment horizontal="center" vertical="center" wrapText="1"/>
    </xf>
    <xf numFmtId="0" fontId="9" fillId="9" borderId="57" xfId="1" applyFont="1" applyFill="1" applyBorder="1" applyAlignment="1">
      <alignment horizontal="center" vertical="center" wrapText="1"/>
    </xf>
    <xf numFmtId="0" fontId="6" fillId="10" borderId="61" xfId="0" applyFont="1" applyFill="1" applyBorder="1" applyAlignment="1">
      <alignment horizontal="center" vertical="center"/>
    </xf>
    <xf numFmtId="0" fontId="6" fillId="0" borderId="45" xfId="0" applyFont="1" applyBorder="1"/>
    <xf numFmtId="9" fontId="6" fillId="0" borderId="45" xfId="0" applyNumberFormat="1" applyFont="1" applyBorder="1"/>
    <xf numFmtId="0" fontId="6" fillId="0" borderId="44" xfId="0" applyFont="1" applyBorder="1"/>
    <xf numFmtId="9" fontId="6" fillId="0" borderId="44" xfId="0" applyNumberFormat="1" applyFont="1" applyBorder="1"/>
    <xf numFmtId="0" fontId="9" fillId="9" borderId="58" xfId="1" applyFont="1" applyFill="1" applyBorder="1" applyAlignment="1">
      <alignment horizontal="center" vertical="center" wrapText="1"/>
    </xf>
    <xf numFmtId="0" fontId="6" fillId="0" borderId="59" xfId="0" applyFont="1" applyBorder="1"/>
    <xf numFmtId="0" fontId="6" fillId="0" borderId="60" xfId="0" applyFont="1" applyBorder="1"/>
    <xf numFmtId="9" fontId="6" fillId="0" borderId="45" xfId="0" applyNumberFormat="1" applyFont="1" applyBorder="1" applyAlignment="1">
      <alignment horizontal="center"/>
    </xf>
    <xf numFmtId="9" fontId="6" fillId="0" borderId="44" xfId="0" applyNumberFormat="1" applyFont="1" applyBorder="1" applyAlignment="1">
      <alignment horizontal="center"/>
    </xf>
    <xf numFmtId="0" fontId="6" fillId="0" borderId="77" xfId="0" applyFont="1" applyBorder="1"/>
    <xf numFmtId="0" fontId="8" fillId="6" borderId="46"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50" xfId="0" applyFont="1" applyFill="1" applyBorder="1" applyAlignment="1">
      <alignment horizontal="left" wrapText="1"/>
    </xf>
    <xf numFmtId="0" fontId="6" fillId="3" borderId="20" xfId="0" applyFont="1" applyFill="1" applyBorder="1" applyAlignment="1">
      <alignment horizontal="center"/>
    </xf>
    <xf numFmtId="0" fontId="6" fillId="3" borderId="1" xfId="0" applyFont="1" applyFill="1" applyBorder="1" applyAlignment="1">
      <alignment horizontal="center"/>
    </xf>
    <xf numFmtId="3" fontId="6" fillId="0" borderId="20" xfId="0" applyNumberFormat="1" applyFont="1" applyBorder="1" applyAlignment="1">
      <alignment horizontal="center" vertical="center"/>
    </xf>
    <xf numFmtId="1" fontId="6" fillId="3" borderId="1" xfId="0" applyNumberFormat="1" applyFont="1" applyFill="1" applyBorder="1" applyAlignment="1">
      <alignment horizontal="center"/>
    </xf>
    <xf numFmtId="0" fontId="8" fillId="6" borderId="56" xfId="0" applyFont="1" applyFill="1" applyBorder="1" applyAlignment="1">
      <alignment horizontal="left" wrapText="1"/>
    </xf>
    <xf numFmtId="0" fontId="24" fillId="3" borderId="0" xfId="0" applyFont="1" applyFill="1"/>
    <xf numFmtId="0" fontId="25" fillId="3" borderId="0" xfId="0" applyFont="1" applyFill="1"/>
    <xf numFmtId="0" fontId="26" fillId="3" borderId="0" xfId="0" applyFont="1" applyFill="1" applyAlignment="1">
      <alignment vertical="center"/>
    </xf>
    <xf numFmtId="0" fontId="25" fillId="3" borderId="0" xfId="0" applyFont="1" applyFill="1" applyAlignment="1">
      <alignment vertical="center"/>
    </xf>
    <xf numFmtId="0" fontId="23" fillId="3" borderId="0" xfId="0" applyFont="1" applyFill="1" applyAlignment="1">
      <alignment vertical="center"/>
    </xf>
    <xf numFmtId="0" fontId="23" fillId="3" borderId="30" xfId="0" applyFont="1" applyFill="1" applyBorder="1" applyAlignment="1">
      <alignment vertical="center"/>
    </xf>
    <xf numFmtId="0" fontId="25" fillId="0" borderId="0" xfId="0" applyFont="1" applyAlignment="1">
      <alignment vertical="center"/>
    </xf>
    <xf numFmtId="0" fontId="6" fillId="3" borderId="1" xfId="0" applyFont="1" applyFill="1" applyBorder="1" applyAlignment="1">
      <alignment vertical="center"/>
    </xf>
    <xf numFmtId="2" fontId="12" fillId="0" borderId="1" xfId="0" applyNumberFormat="1" applyFont="1" applyBorder="1" applyAlignment="1">
      <alignment horizontal="center" vertical="center"/>
    </xf>
    <xf numFmtId="0" fontId="16" fillId="5" borderId="1" xfId="0" applyFont="1" applyFill="1" applyBorder="1" applyAlignment="1">
      <alignment horizontal="center"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16" fillId="5" borderId="15"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8" fillId="6" borderId="1" xfId="0" applyFont="1" applyFill="1" applyBorder="1" applyAlignment="1">
      <alignment horizontal="center"/>
    </xf>
    <xf numFmtId="0" fontId="6" fillId="3" borderId="1" xfId="0" applyFont="1" applyFill="1" applyBorder="1" applyAlignment="1">
      <alignment horizontal="left" wrapText="1"/>
    </xf>
    <xf numFmtId="0" fontId="8" fillId="3" borderId="31" xfId="0" applyFont="1" applyFill="1" applyBorder="1" applyAlignment="1">
      <alignment horizontal="left"/>
    </xf>
    <xf numFmtId="0" fontId="8" fillId="3" borderId="24" xfId="0" applyFont="1" applyFill="1" applyBorder="1" applyAlignment="1">
      <alignment horizontal="left"/>
    </xf>
    <xf numFmtId="0" fontId="6" fillId="3" borderId="1" xfId="0" quotePrefix="1" applyFont="1" applyFill="1" applyBorder="1" applyAlignment="1">
      <alignment wrapText="1"/>
    </xf>
    <xf numFmtId="0" fontId="6" fillId="3" borderId="1" xfId="0" quotePrefix="1" applyFont="1" applyFill="1" applyBorder="1" applyAlignment="1">
      <alignment vertical="center" wrapText="1"/>
    </xf>
    <xf numFmtId="0" fontId="18" fillId="3" borderId="0" xfId="0" applyFont="1" applyFill="1" applyAlignment="1">
      <alignment vertical="center"/>
    </xf>
    <xf numFmtId="11" fontId="6" fillId="3" borderId="0" xfId="0" applyNumberFormat="1" applyFont="1" applyFill="1" applyAlignment="1">
      <alignment horizontal="center" vertical="center"/>
    </xf>
    <xf numFmtId="2" fontId="6" fillId="3" borderId="0" xfId="0" applyNumberFormat="1" applyFont="1" applyFill="1" applyAlignment="1">
      <alignment horizontal="center" vertical="center"/>
    </xf>
    <xf numFmtId="0" fontId="8" fillId="3" borderId="0" xfId="0" applyFont="1" applyFill="1" applyAlignment="1">
      <alignment vertical="center" wrapText="1"/>
    </xf>
    <xf numFmtId="0" fontId="8" fillId="3" borderId="0" xfId="0" applyFont="1" applyFill="1" applyAlignment="1">
      <alignment horizontal="center" vertical="center"/>
    </xf>
    <xf numFmtId="0" fontId="16" fillId="3" borderId="0" xfId="0" applyFont="1" applyFill="1" applyAlignment="1">
      <alignment horizontal="left" vertical="center" wrapText="1"/>
    </xf>
    <xf numFmtId="0" fontId="8" fillId="3" borderId="0" xfId="0" applyFont="1" applyFill="1" applyAlignment="1">
      <alignment horizontal="center" vertical="center" wrapText="1"/>
    </xf>
    <xf numFmtId="11" fontId="6" fillId="3" borderId="0" xfId="0" applyNumberFormat="1" applyFont="1" applyFill="1" applyAlignment="1">
      <alignment horizontal="center" vertical="center" wrapText="1"/>
    </xf>
    <xf numFmtId="2" fontId="12" fillId="0" borderId="37" xfId="0" applyNumberFormat="1" applyFont="1" applyBorder="1" applyAlignment="1">
      <alignment horizontal="center" vertical="center"/>
    </xf>
    <xf numFmtId="2" fontId="6" fillId="0" borderId="19" xfId="0" applyNumberFormat="1" applyFont="1" applyBorder="1" applyAlignment="1">
      <alignment horizontal="center" vertical="center"/>
    </xf>
    <xf numFmtId="2" fontId="6" fillId="0" borderId="23" xfId="0" applyNumberFormat="1" applyFont="1" applyBorder="1" applyAlignment="1">
      <alignment horizontal="center" vertical="center"/>
    </xf>
    <xf numFmtId="2" fontId="6" fillId="0" borderId="15"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0" borderId="42" xfId="0" applyNumberFormat="1" applyFont="1" applyBorder="1" applyAlignment="1">
      <alignment horizontal="center" vertical="center"/>
    </xf>
    <xf numFmtId="0" fontId="6" fillId="3" borderId="51" xfId="0" applyFont="1" applyFill="1" applyBorder="1"/>
    <xf numFmtId="0" fontId="6" fillId="3" borderId="29" xfId="0" applyFont="1" applyFill="1" applyBorder="1"/>
    <xf numFmtId="0" fontId="8" fillId="6" borderId="86" xfId="0" applyFont="1" applyFill="1" applyBorder="1" applyAlignment="1">
      <alignment horizontal="center" vertical="center" wrapText="1"/>
    </xf>
    <xf numFmtId="0" fontId="6" fillId="3" borderId="88" xfId="0" applyFont="1" applyFill="1" applyBorder="1" applyAlignment="1">
      <alignment wrapText="1"/>
    </xf>
    <xf numFmtId="0" fontId="6" fillId="3" borderId="89" xfId="0" applyFont="1" applyFill="1" applyBorder="1" applyAlignment="1">
      <alignment wrapText="1"/>
    </xf>
    <xf numFmtId="2" fontId="6" fillId="3" borderId="0" xfId="0" applyNumberFormat="1" applyFont="1" applyFill="1" applyAlignment="1">
      <alignment vertical="center"/>
    </xf>
    <xf numFmtId="0" fontId="6" fillId="0" borderId="93" xfId="0" applyFont="1" applyBorder="1"/>
    <xf numFmtId="0" fontId="16" fillId="3" borderId="0" xfId="0" applyFont="1" applyFill="1" applyAlignment="1">
      <alignment horizontal="center" vertical="center" wrapText="1"/>
    </xf>
    <xf numFmtId="0" fontId="28" fillId="3" borderId="0" xfId="0" applyFont="1" applyFill="1" applyAlignment="1">
      <alignment horizontal="left" vertical="center"/>
    </xf>
    <xf numFmtId="0" fontId="6" fillId="3" borderId="29" xfId="0" applyFont="1" applyFill="1" applyBorder="1" applyAlignment="1">
      <alignment horizontal="center" vertical="center"/>
    </xf>
    <xf numFmtId="0" fontId="16" fillId="5" borderId="32" xfId="0" applyFont="1" applyFill="1" applyBorder="1" applyAlignment="1">
      <alignment horizontal="center" vertical="center" wrapText="1"/>
    </xf>
    <xf numFmtId="165" fontId="12" fillId="0" borderId="15" xfId="0" applyNumberFormat="1" applyFont="1" applyBorder="1" applyAlignment="1">
      <alignment horizontal="center" vertical="center" wrapText="1"/>
    </xf>
    <xf numFmtId="165" fontId="12" fillId="0" borderId="37" xfId="0" applyNumberFormat="1" applyFont="1" applyBorder="1" applyAlignment="1">
      <alignment horizontal="center" vertical="center" wrapText="1"/>
    </xf>
    <xf numFmtId="165" fontId="12" fillId="0" borderId="19" xfId="0" applyNumberFormat="1" applyFont="1" applyBorder="1" applyAlignment="1">
      <alignment horizontal="center" vertical="center"/>
    </xf>
    <xf numFmtId="165" fontId="12" fillId="0" borderId="42" xfId="0" applyNumberFormat="1" applyFont="1" applyBorder="1" applyAlignment="1">
      <alignment horizontal="center" vertical="center"/>
    </xf>
    <xf numFmtId="0" fontId="6" fillId="3" borderId="1" xfId="0" quotePrefix="1" applyFont="1" applyFill="1" applyBorder="1" applyAlignment="1">
      <alignment horizontal="left" wrapText="1"/>
    </xf>
    <xf numFmtId="0" fontId="13" fillId="0" borderId="1" xfId="0" applyFont="1" applyBorder="1" applyAlignment="1">
      <alignment horizontal="center" vertical="center" wrapText="1"/>
    </xf>
    <xf numFmtId="2" fontId="6" fillId="0" borderId="1" xfId="0" applyNumberFormat="1" applyFont="1" applyBorder="1" applyAlignment="1">
      <alignment horizontal="center" vertical="center"/>
    </xf>
    <xf numFmtId="0" fontId="29" fillId="13" borderId="57" xfId="0" applyFont="1" applyFill="1" applyBorder="1" applyAlignment="1">
      <alignment horizontal="center" vertical="center"/>
    </xf>
    <xf numFmtId="0" fontId="29" fillId="13" borderId="58" xfId="0" applyFont="1" applyFill="1" applyBorder="1" applyAlignment="1">
      <alignment horizontal="center" vertical="center"/>
    </xf>
    <xf numFmtId="0" fontId="6" fillId="0" borderId="41" xfId="0" applyFont="1" applyBorder="1" applyAlignment="1">
      <alignment horizontal="center" vertical="center"/>
    </xf>
    <xf numFmtId="2" fontId="6" fillId="0" borderId="26" xfId="0" applyNumberFormat="1" applyFont="1" applyBorder="1" applyAlignment="1">
      <alignment horizontal="center" vertical="center"/>
    </xf>
    <xf numFmtId="2" fontId="6" fillId="0" borderId="96" xfId="0" applyNumberFormat="1" applyFont="1" applyBorder="1" applyAlignment="1">
      <alignment horizontal="center" vertical="center"/>
    </xf>
    <xf numFmtId="2" fontId="6" fillId="0" borderId="21" xfId="0" applyNumberFormat="1" applyFont="1" applyBorder="1" applyAlignment="1">
      <alignment horizontal="center" vertical="center"/>
    </xf>
    <xf numFmtId="0" fontId="13" fillId="0" borderId="34" xfId="0" applyFont="1" applyBorder="1" applyAlignment="1">
      <alignment horizontal="center" vertical="center" wrapText="1"/>
    </xf>
    <xf numFmtId="0" fontId="13" fillId="0" borderId="20" xfId="0" applyFont="1" applyBorder="1" applyAlignment="1">
      <alignment horizontal="center" vertical="center" wrapText="1"/>
    </xf>
    <xf numFmtId="0" fontId="7" fillId="0" borderId="63" xfId="0" applyFont="1" applyBorder="1" applyAlignment="1">
      <alignment vertical="center"/>
    </xf>
    <xf numFmtId="166" fontId="6" fillId="0" borderId="1" xfId="0" applyNumberFormat="1" applyFont="1" applyBorder="1" applyAlignment="1">
      <alignment horizontal="center" vertical="center"/>
    </xf>
    <xf numFmtId="0" fontId="12" fillId="0" borderId="1" xfId="0" applyFont="1" applyBorder="1" applyAlignment="1">
      <alignment horizontal="center" vertical="center"/>
    </xf>
    <xf numFmtId="0" fontId="31" fillId="13" borderId="46" xfId="0" applyFont="1" applyFill="1" applyBorder="1" applyAlignment="1">
      <alignment vertical="center" wrapText="1"/>
    </xf>
    <xf numFmtId="0" fontId="31" fillId="13" borderId="53" xfId="0" applyFont="1" applyFill="1" applyBorder="1" applyAlignment="1">
      <alignment vertical="center" wrapText="1"/>
    </xf>
    <xf numFmtId="0" fontId="31" fillId="13" borderId="48" xfId="0" applyFont="1" applyFill="1" applyBorder="1" applyAlignment="1">
      <alignment vertical="center" wrapText="1"/>
    </xf>
    <xf numFmtId="0" fontId="31" fillId="13" borderId="0" xfId="0" applyFont="1" applyFill="1" applyAlignment="1">
      <alignment vertical="center" wrapText="1"/>
    </xf>
    <xf numFmtId="0" fontId="31" fillId="13" borderId="52" xfId="0" applyFont="1" applyFill="1" applyBorder="1" applyAlignment="1">
      <alignment vertical="center" wrapText="1"/>
    </xf>
    <xf numFmtId="0" fontId="12" fillId="0" borderId="1" xfId="0" applyFont="1" applyBorder="1" applyAlignment="1">
      <alignment vertical="center"/>
    </xf>
    <xf numFmtId="0" fontId="9" fillId="0" borderId="1" xfId="0" applyFont="1" applyBorder="1" applyAlignment="1">
      <alignment horizontal="center" vertical="center"/>
    </xf>
    <xf numFmtId="2" fontId="33" fillId="0" borderId="1" xfId="0" applyNumberFormat="1" applyFont="1" applyBorder="1" applyAlignment="1">
      <alignment vertical="center"/>
    </xf>
    <xf numFmtId="0" fontId="31" fillId="13" borderId="55" xfId="0" applyFont="1" applyFill="1" applyBorder="1" applyAlignment="1">
      <alignment horizontal="left" vertical="center" wrapText="1"/>
    </xf>
    <xf numFmtId="0" fontId="6" fillId="3" borderId="0" xfId="0" applyFont="1" applyFill="1" applyAlignment="1">
      <alignment horizontal="right" vertical="center"/>
    </xf>
    <xf numFmtId="0" fontId="31" fillId="13" borderId="53" xfId="0" applyFont="1" applyFill="1" applyBorder="1" applyAlignment="1">
      <alignment horizontal="right" vertical="center" wrapText="1"/>
    </xf>
    <xf numFmtId="170" fontId="12" fillId="0" borderId="15" xfId="3" applyNumberFormat="1" applyFont="1" applyBorder="1" applyAlignment="1">
      <alignment horizontal="center" vertical="center" wrapText="1"/>
    </xf>
    <xf numFmtId="0" fontId="8" fillId="2" borderId="7" xfId="0" applyFont="1" applyFill="1" applyBorder="1" applyAlignment="1">
      <alignment horizontal="center" vertical="center" wrapText="1"/>
    </xf>
    <xf numFmtId="0" fontId="12" fillId="0" borderId="0" xfId="0" applyFont="1" applyAlignment="1">
      <alignment vertical="center"/>
    </xf>
    <xf numFmtId="0" fontId="9" fillId="0" borderId="0" xfId="0" applyFont="1" applyAlignment="1">
      <alignment horizontal="center" vertical="center"/>
    </xf>
    <xf numFmtId="2" fontId="12" fillId="0" borderId="0" xfId="0" applyNumberFormat="1" applyFont="1" applyAlignment="1">
      <alignment horizontal="center" vertical="center"/>
    </xf>
    <xf numFmtId="2" fontId="33" fillId="0" borderId="0" xfId="0" applyNumberFormat="1" applyFont="1" applyAlignment="1">
      <alignment vertical="center"/>
    </xf>
    <xf numFmtId="0" fontId="16" fillId="11" borderId="1" xfId="0" applyFont="1" applyFill="1" applyBorder="1" applyAlignment="1">
      <alignment horizontal="center" vertical="center" wrapText="1"/>
    </xf>
    <xf numFmtId="0" fontId="14" fillId="5" borderId="40" xfId="0" applyFont="1" applyFill="1" applyBorder="1" applyAlignment="1">
      <alignment vertical="center" wrapText="1"/>
    </xf>
    <xf numFmtId="0" fontId="9" fillId="5" borderId="19" xfId="0" applyFont="1" applyFill="1" applyBorder="1" applyAlignment="1">
      <alignment vertical="center" wrapText="1"/>
    </xf>
    <xf numFmtId="0" fontId="12" fillId="2" borderId="23" xfId="0" applyFont="1" applyFill="1" applyBorder="1" applyAlignment="1" applyProtection="1">
      <alignment vertical="center" wrapText="1"/>
      <protection locked="0"/>
    </xf>
    <xf numFmtId="166" fontId="6" fillId="0" borderId="24" xfId="0" applyNumberFormat="1" applyFont="1" applyBorder="1" applyAlignment="1">
      <alignment horizontal="center" vertical="center"/>
    </xf>
    <xf numFmtId="0" fontId="29" fillId="13" borderId="101" xfId="0" applyFont="1" applyFill="1" applyBorder="1" applyAlignment="1">
      <alignment horizontal="center" vertical="center"/>
    </xf>
    <xf numFmtId="0" fontId="29" fillId="13" borderId="102" xfId="0" applyFont="1" applyFill="1" applyBorder="1" applyAlignment="1">
      <alignment horizontal="center" vertical="center"/>
    </xf>
    <xf numFmtId="0" fontId="29" fillId="13" borderId="103" xfId="0" applyFont="1" applyFill="1" applyBorder="1" applyAlignment="1">
      <alignment horizontal="center" vertical="center"/>
    </xf>
    <xf numFmtId="0" fontId="7" fillId="0" borderId="111" xfId="0" applyFont="1" applyBorder="1" applyAlignment="1">
      <alignment vertical="center"/>
    </xf>
    <xf numFmtId="0" fontId="29" fillId="13" borderId="113" xfId="0" applyFont="1" applyFill="1" applyBorder="1" applyAlignment="1">
      <alignment horizontal="center" vertical="center"/>
    </xf>
    <xf numFmtId="0" fontId="29" fillId="13" borderId="102" xfId="0" applyFont="1" applyFill="1" applyBorder="1" applyAlignment="1">
      <alignment horizontal="left" vertical="center"/>
    </xf>
    <xf numFmtId="0" fontId="29" fillId="13" borderId="103" xfId="0" applyFont="1" applyFill="1" applyBorder="1" applyAlignment="1">
      <alignment horizontal="left" vertical="center"/>
    </xf>
    <xf numFmtId="0" fontId="34" fillId="3" borderId="0" xfId="0" applyFont="1" applyFill="1" applyAlignment="1">
      <alignment vertical="center"/>
    </xf>
    <xf numFmtId="0" fontId="7" fillId="3" borderId="0" xfId="0" applyFont="1" applyFill="1" applyAlignment="1">
      <alignment vertical="center"/>
    </xf>
    <xf numFmtId="0" fontId="36" fillId="3" borderId="0" xfId="0" applyFont="1" applyFill="1" applyAlignment="1">
      <alignment horizontal="center" vertical="center" wrapText="1"/>
    </xf>
    <xf numFmtId="1" fontId="34" fillId="3" borderId="0" xfId="2" applyNumberFormat="1" applyFont="1" applyFill="1" applyBorder="1" applyAlignment="1">
      <alignment horizontal="center" vertical="center" wrapText="1"/>
    </xf>
    <xf numFmtId="0" fontId="7" fillId="0" borderId="0" xfId="0" applyFont="1" applyAlignment="1">
      <alignment vertical="center"/>
    </xf>
    <xf numFmtId="166" fontId="7" fillId="0" borderId="63" xfId="0" applyNumberFormat="1" applyFont="1" applyBorder="1" applyAlignment="1">
      <alignment horizontal="center" vertical="center"/>
    </xf>
    <xf numFmtId="166" fontId="7" fillId="0" borderId="105" xfId="0" applyNumberFormat="1" applyFont="1" applyBorder="1" applyAlignment="1">
      <alignment horizontal="center" vertical="center"/>
    </xf>
    <xf numFmtId="2" fontId="7" fillId="0" borderId="63" xfId="0" applyNumberFormat="1" applyFont="1" applyBorder="1" applyAlignment="1">
      <alignment horizontal="center" vertical="center"/>
    </xf>
    <xf numFmtId="2" fontId="7" fillId="0" borderId="105" xfId="0" applyNumberFormat="1" applyFont="1" applyBorder="1" applyAlignment="1">
      <alignment horizontal="center" vertical="center"/>
    </xf>
    <xf numFmtId="166" fontId="7" fillId="0" borderId="24" xfId="0" applyNumberFormat="1" applyFont="1" applyBorder="1" applyAlignment="1">
      <alignment horizontal="center" vertical="center"/>
    </xf>
    <xf numFmtId="2" fontId="7" fillId="0" borderId="24" xfId="0" applyNumberFormat="1" applyFont="1" applyBorder="1" applyAlignment="1">
      <alignment horizontal="center" vertical="center"/>
    </xf>
    <xf numFmtId="166" fontId="7" fillId="0" borderId="1" xfId="0" applyNumberFormat="1" applyFont="1" applyBorder="1" applyAlignment="1">
      <alignment horizontal="center" vertical="center"/>
    </xf>
    <xf numFmtId="166" fontId="7" fillId="0" borderId="107" xfId="0" applyNumberFormat="1" applyFont="1" applyBorder="1" applyAlignment="1">
      <alignment horizontal="center" vertical="center"/>
    </xf>
    <xf numFmtId="3" fontId="34" fillId="3" borderId="0" xfId="0" applyNumberFormat="1" applyFont="1" applyFill="1" applyAlignment="1">
      <alignment horizontal="center" vertical="center" wrapText="1"/>
    </xf>
    <xf numFmtId="2" fontId="7" fillId="0" borderId="1" xfId="0" applyNumberFormat="1" applyFont="1" applyBorder="1" applyAlignment="1">
      <alignment horizontal="center" vertical="center"/>
    </xf>
    <xf numFmtId="2" fontId="7" fillId="0" borderId="107" xfId="0" applyNumberFormat="1" applyFont="1" applyBorder="1" applyAlignment="1">
      <alignment horizontal="center" vertical="center"/>
    </xf>
    <xf numFmtId="166" fontId="7" fillId="0" borderId="111" xfId="0" applyNumberFormat="1" applyFont="1" applyBorder="1" applyAlignment="1">
      <alignment horizontal="center" vertical="center"/>
    </xf>
    <xf numFmtId="166" fontId="7" fillId="0" borderId="112" xfId="0" applyNumberFormat="1" applyFont="1" applyBorder="1" applyAlignment="1">
      <alignment horizontal="center" vertical="center"/>
    </xf>
    <xf numFmtId="0" fontId="7" fillId="3" borderId="0" xfId="0" applyFont="1" applyFill="1" applyAlignment="1">
      <alignment horizontal="center" vertical="center"/>
    </xf>
    <xf numFmtId="0" fontId="36" fillId="3" borderId="0" xfId="0" applyFont="1" applyFill="1" applyAlignment="1">
      <alignment vertical="center" wrapText="1"/>
    </xf>
    <xf numFmtId="11" fontId="7" fillId="0" borderId="107" xfId="0" applyNumberFormat="1" applyFont="1" applyBorder="1" applyAlignment="1">
      <alignment horizontal="center" vertical="center"/>
    </xf>
    <xf numFmtId="0" fontId="9" fillId="5" borderId="15"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15" fillId="3" borderId="0" xfId="0" applyFont="1" applyFill="1" applyAlignment="1">
      <alignment horizontal="center" vertical="center" wrapText="1"/>
    </xf>
    <xf numFmtId="0" fontId="6" fillId="3" borderId="16" xfId="0" applyFont="1" applyFill="1" applyBorder="1" applyAlignment="1">
      <alignment horizontal="center" vertical="center"/>
    </xf>
    <xf numFmtId="0" fontId="6" fillId="3" borderId="15" xfId="0" applyFont="1" applyFill="1" applyBorder="1" applyAlignment="1">
      <alignment horizontal="center" vertical="center"/>
    </xf>
    <xf numFmtId="0" fontId="7" fillId="0" borderId="1" xfId="0" applyFont="1" applyBorder="1" applyAlignment="1">
      <alignment vertical="center"/>
    </xf>
    <xf numFmtId="0" fontId="7" fillId="0" borderId="24" xfId="0" applyFont="1" applyBorder="1" applyAlignment="1">
      <alignment vertical="center"/>
    </xf>
    <xf numFmtId="0" fontId="6" fillId="3" borderId="0" xfId="0" applyFont="1" applyFill="1" applyAlignment="1">
      <alignment horizontal="center"/>
    </xf>
    <xf numFmtId="0" fontId="6" fillId="3" borderId="0" xfId="0" applyFont="1" applyFill="1" applyAlignment="1">
      <alignment wrapText="1"/>
    </xf>
    <xf numFmtId="164" fontId="12" fillId="0" borderId="15" xfId="0" applyNumberFormat="1" applyFont="1" applyBorder="1" applyAlignment="1">
      <alignment horizontal="center" vertical="center" wrapText="1"/>
    </xf>
    <xf numFmtId="171" fontId="12" fillId="0" borderId="15" xfId="3" applyNumberFormat="1" applyFont="1" applyBorder="1" applyAlignment="1">
      <alignment horizontal="center" vertical="center" wrapText="1"/>
    </xf>
    <xf numFmtId="11" fontId="6" fillId="3" borderId="11" xfId="0" applyNumberFormat="1" applyFont="1" applyFill="1" applyBorder="1" applyAlignment="1">
      <alignment horizontal="center" vertical="center" wrapText="1"/>
    </xf>
    <xf numFmtId="11" fontId="6" fillId="3" borderId="0" xfId="0" applyNumberFormat="1" applyFont="1" applyFill="1" applyAlignment="1">
      <alignment horizontal="center" wrapText="1"/>
    </xf>
    <xf numFmtId="11" fontId="6" fillId="3" borderId="11" xfId="0" quotePrefix="1" applyNumberFormat="1" applyFont="1" applyFill="1" applyBorder="1" applyAlignment="1">
      <alignment horizontal="center" vertical="center"/>
    </xf>
    <xf numFmtId="0" fontId="13" fillId="0" borderId="24" xfId="0" applyFont="1" applyBorder="1" applyAlignment="1">
      <alignment horizontal="center" vertical="center" wrapText="1"/>
    </xf>
    <xf numFmtId="0" fontId="8" fillId="2" borderId="25" xfId="0" applyFont="1" applyFill="1" applyBorder="1" applyAlignment="1">
      <alignment vertical="center"/>
    </xf>
    <xf numFmtId="0" fontId="8" fillId="2" borderId="27" xfId="0" applyFont="1" applyFill="1" applyBorder="1" applyAlignment="1">
      <alignment vertical="center"/>
    </xf>
    <xf numFmtId="0" fontId="8" fillId="2" borderId="96" xfId="0" applyFont="1" applyFill="1" applyBorder="1" applyAlignment="1">
      <alignment vertical="center" wrapText="1"/>
    </xf>
    <xf numFmtId="0" fontId="9" fillId="2" borderId="37" xfId="0" applyFont="1" applyFill="1" applyBorder="1" applyAlignment="1">
      <alignment vertical="center" wrapText="1"/>
    </xf>
    <xf numFmtId="0" fontId="9" fillId="2" borderId="16"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9" fillId="2" borderId="42" xfId="0" applyFont="1" applyFill="1" applyBorder="1" applyAlignment="1">
      <alignment vertical="center" wrapText="1"/>
    </xf>
    <xf numFmtId="11" fontId="6" fillId="0" borderId="1" xfId="0" applyNumberFormat="1" applyFont="1" applyBorder="1" applyAlignment="1">
      <alignment horizontal="center" vertical="center"/>
    </xf>
    <xf numFmtId="0" fontId="6" fillId="0" borderId="45" xfId="0" applyFont="1" applyBorder="1" applyAlignment="1">
      <alignment vertical="center" wrapText="1"/>
    </xf>
    <xf numFmtId="0" fontId="6" fillId="0" borderId="24" xfId="0" applyFont="1" applyBorder="1" applyAlignment="1">
      <alignment horizontal="center" vertical="center"/>
    </xf>
    <xf numFmtId="11" fontId="6" fillId="0" borderId="24" xfId="0" applyNumberFormat="1" applyFont="1" applyBorder="1" applyAlignment="1">
      <alignment horizontal="center" vertical="center"/>
    </xf>
    <xf numFmtId="2" fontId="6" fillId="0" borderId="24" xfId="0" applyNumberFormat="1" applyFont="1" applyBorder="1" applyAlignment="1">
      <alignment horizontal="center" vertical="center"/>
    </xf>
    <xf numFmtId="1" fontId="6" fillId="0" borderId="24" xfId="0" applyNumberFormat="1" applyFont="1" applyBorder="1" applyAlignment="1">
      <alignment horizontal="center" vertical="center"/>
    </xf>
    <xf numFmtId="0" fontId="6" fillId="0" borderId="24" xfId="0" applyFont="1" applyBorder="1" applyAlignment="1">
      <alignment vertical="center" wrapText="1"/>
    </xf>
    <xf numFmtId="0" fontId="6" fillId="0" borderId="28" xfId="0" applyFont="1" applyBorder="1" applyAlignment="1">
      <alignment vertical="center" wrapText="1"/>
    </xf>
    <xf numFmtId="0" fontId="6" fillId="0" borderId="1" xfId="0" applyFont="1" applyBorder="1" applyAlignment="1">
      <alignment horizontal="center" vertical="center"/>
    </xf>
    <xf numFmtId="1" fontId="6" fillId="0" borderId="1" xfId="0" applyNumberFormat="1" applyFont="1" applyBorder="1" applyAlignment="1">
      <alignment horizontal="center" vertical="center"/>
    </xf>
    <xf numFmtId="0" fontId="6" fillId="0" borderId="21" xfId="0" applyFont="1" applyBorder="1" applyAlignment="1">
      <alignment vertical="center" wrapText="1"/>
    </xf>
    <xf numFmtId="165" fontId="6" fillId="0" borderId="1" xfId="0" applyNumberFormat="1" applyFont="1" applyBorder="1" applyAlignment="1">
      <alignment horizontal="center" vertical="center" wrapText="1"/>
    </xf>
    <xf numFmtId="0" fontId="12" fillId="0" borderId="117" xfId="0" applyFont="1" applyBorder="1" applyAlignment="1">
      <alignment horizontal="center" vertical="center" wrapText="1"/>
    </xf>
    <xf numFmtId="0" fontId="12" fillId="0" borderId="50" xfId="0" applyFont="1" applyBorder="1" applyAlignment="1">
      <alignment horizontal="center" vertical="center" wrapText="1"/>
    </xf>
    <xf numFmtId="0" fontId="6" fillId="0" borderId="50" xfId="0" applyFont="1" applyBorder="1" applyAlignment="1">
      <alignment horizontal="center" vertical="center" wrapText="1"/>
    </xf>
    <xf numFmtId="0" fontId="12" fillId="0" borderId="9" xfId="0" applyFont="1" applyBorder="1" applyAlignment="1">
      <alignment vertical="center" wrapText="1"/>
    </xf>
    <xf numFmtId="0" fontId="12" fillId="0" borderId="67" xfId="0" applyFont="1" applyBorder="1" applyAlignment="1">
      <alignment vertical="center" wrapText="1"/>
    </xf>
    <xf numFmtId="0" fontId="12" fillId="0" borderId="116" xfId="0" applyFont="1" applyBorder="1" applyAlignment="1">
      <alignment vertical="center" wrapText="1"/>
    </xf>
    <xf numFmtId="0" fontId="12" fillId="0" borderId="45" xfId="0" applyFont="1" applyBorder="1" applyAlignment="1">
      <alignment vertical="center" wrapText="1"/>
    </xf>
    <xf numFmtId="0" fontId="8" fillId="2" borderId="52" xfId="0" applyFont="1" applyFill="1" applyBorder="1" applyAlignment="1">
      <alignment vertical="center" wrapText="1"/>
    </xf>
    <xf numFmtId="0" fontId="8" fillId="2" borderId="78" xfId="0" applyFont="1" applyFill="1" applyBorder="1" applyAlignment="1">
      <alignment vertical="center" wrapText="1"/>
    </xf>
    <xf numFmtId="0" fontId="8" fillId="2" borderId="76" xfId="0" applyFont="1" applyFill="1" applyBorder="1" applyAlignment="1">
      <alignment vertical="center" wrapText="1"/>
    </xf>
    <xf numFmtId="0" fontId="8" fillId="2" borderId="7" xfId="0" applyFont="1" applyFill="1" applyBorder="1" applyAlignment="1">
      <alignment vertical="center" wrapText="1"/>
    </xf>
    <xf numFmtId="0" fontId="8" fillId="2" borderId="46" xfId="0" applyFont="1" applyFill="1" applyBorder="1" applyAlignment="1">
      <alignment vertical="center" wrapText="1"/>
    </xf>
    <xf numFmtId="0" fontId="8" fillId="2" borderId="53" xfId="0" applyFont="1" applyFill="1" applyBorder="1" applyAlignment="1">
      <alignment vertical="center" wrapText="1"/>
    </xf>
    <xf numFmtId="0" fontId="6" fillId="0" borderId="1" xfId="0" applyFont="1" applyBorder="1"/>
    <xf numFmtId="0" fontId="12" fillId="0" borderId="24" xfId="1" applyFont="1" applyBorder="1" applyAlignment="1">
      <alignment horizontal="center" vertical="center" wrapText="1"/>
    </xf>
    <xf numFmtId="165" fontId="12" fillId="0" borderId="16" xfId="1" applyNumberFormat="1" applyFont="1" applyBorder="1" applyAlignment="1">
      <alignment horizontal="center" vertical="center" wrapText="1"/>
    </xf>
    <xf numFmtId="0" fontId="6" fillId="0" borderId="97" xfId="0" applyFont="1" applyBorder="1" applyAlignment="1">
      <alignment horizontal="left" vertical="center" indent="1"/>
    </xf>
    <xf numFmtId="0" fontId="6" fillId="0" borderId="45" xfId="0" applyFont="1" applyBorder="1" applyAlignment="1">
      <alignment horizontal="left" vertical="center" indent="1"/>
    </xf>
    <xf numFmtId="0" fontId="6" fillId="0" borderId="45" xfId="0" applyFont="1" applyBorder="1" applyAlignment="1">
      <alignment horizontal="left" vertical="center" wrapText="1" indent="1"/>
    </xf>
    <xf numFmtId="0" fontId="6" fillId="0" borderId="116" xfId="0" applyFont="1" applyBorder="1" applyAlignment="1">
      <alignment horizontal="left" vertical="center" indent="1"/>
    </xf>
    <xf numFmtId="0" fontId="6" fillId="0" borderId="49" xfId="0" applyFont="1" applyBorder="1" applyAlignment="1">
      <alignment horizontal="left" vertical="center" indent="1"/>
    </xf>
    <xf numFmtId="0" fontId="6" fillId="0" borderId="49" xfId="0" applyFont="1" applyBorder="1"/>
    <xf numFmtId="0" fontId="9" fillId="5" borderId="75" xfId="0" applyFont="1" applyFill="1" applyBorder="1" applyAlignment="1">
      <alignment horizontal="center" vertical="center" wrapText="1"/>
    </xf>
    <xf numFmtId="0" fontId="6" fillId="0" borderId="11" xfId="0" applyFont="1" applyBorder="1" applyAlignment="1">
      <alignment horizontal="left" vertical="center" wrapText="1"/>
    </xf>
    <xf numFmtId="2" fontId="6" fillId="0" borderId="37" xfId="0" applyNumberFormat="1" applyFont="1" applyBorder="1" applyAlignment="1">
      <alignment horizontal="center" vertical="center"/>
    </xf>
    <xf numFmtId="0" fontId="6" fillId="0" borderId="7" xfId="0" applyFont="1" applyBorder="1"/>
    <xf numFmtId="0" fontId="12" fillId="0" borderId="1" xfId="0" applyFont="1" applyBorder="1" applyAlignment="1">
      <alignment vertical="center" wrapText="1"/>
    </xf>
    <xf numFmtId="0" fontId="9" fillId="5" borderId="18"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2" xfId="0" applyFont="1" applyFill="1" applyBorder="1" applyAlignment="1">
      <alignment horizontal="center" vertical="center" wrapText="1"/>
    </xf>
    <xf numFmtId="2" fontId="6" fillId="0" borderId="42" xfId="0" applyNumberFormat="1" applyFont="1" applyBorder="1" applyAlignment="1">
      <alignment horizontal="center" vertical="center"/>
    </xf>
    <xf numFmtId="2" fontId="6" fillId="0" borderId="18" xfId="0" applyNumberFormat="1" applyFont="1" applyBorder="1" applyAlignment="1">
      <alignment horizontal="center" vertical="center"/>
    </xf>
    <xf numFmtId="2" fontId="6" fillId="0" borderId="119" xfId="0" applyNumberFormat="1" applyFont="1" applyBorder="1" applyAlignment="1">
      <alignment horizontal="center" vertical="center"/>
    </xf>
    <xf numFmtId="0" fontId="12" fillId="2" borderId="120" xfId="0" applyFont="1" applyFill="1" applyBorder="1" applyAlignment="1" applyProtection="1">
      <alignment horizontal="center" vertical="center" wrapText="1"/>
      <protection locked="0"/>
    </xf>
    <xf numFmtId="0" fontId="6" fillId="0" borderId="45" xfId="0" applyFont="1" applyBorder="1" applyAlignment="1">
      <alignment horizontal="center"/>
    </xf>
    <xf numFmtId="0" fontId="6" fillId="0" borderId="44" xfId="0" applyFont="1" applyBorder="1" applyAlignment="1">
      <alignment horizontal="center"/>
    </xf>
    <xf numFmtId="0" fontId="9" fillId="9" borderId="121" xfId="1" applyFont="1" applyFill="1" applyBorder="1" applyAlignment="1">
      <alignment horizontal="left" vertical="center" wrapText="1"/>
    </xf>
    <xf numFmtId="0" fontId="12" fillId="0" borderId="63" xfId="0" applyFont="1" applyBorder="1" applyAlignment="1">
      <alignment vertical="center" wrapText="1"/>
    </xf>
    <xf numFmtId="0" fontId="6" fillId="0" borderId="63" xfId="0" applyFont="1" applyBorder="1"/>
    <xf numFmtId="0" fontId="6" fillId="0" borderId="122" xfId="0" applyFont="1" applyBorder="1"/>
    <xf numFmtId="0" fontId="6" fillId="0" borderId="5" xfId="0" applyFont="1" applyBorder="1"/>
    <xf numFmtId="0" fontId="6" fillId="0" borderId="123" xfId="0" applyFont="1" applyBorder="1"/>
    <xf numFmtId="0" fontId="6" fillId="0" borderId="51" xfId="0" applyFont="1" applyBorder="1"/>
    <xf numFmtId="0" fontId="6" fillId="0" borderId="124" xfId="0" applyFont="1" applyBorder="1"/>
    <xf numFmtId="0" fontId="6" fillId="0" borderId="26" xfId="0" applyFont="1" applyBorder="1"/>
    <xf numFmtId="0" fontId="6" fillId="0" borderId="1" xfId="0" applyFont="1" applyBorder="1" applyAlignment="1">
      <alignment wrapText="1"/>
    </xf>
    <xf numFmtId="0" fontId="9" fillId="2" borderId="7" xfId="0" applyFont="1" applyFill="1" applyBorder="1" applyAlignment="1">
      <alignment horizontal="center" vertical="center" wrapText="1"/>
    </xf>
    <xf numFmtId="0" fontId="9" fillId="9" borderId="121" xfId="1" applyFont="1" applyFill="1" applyBorder="1" applyAlignment="1">
      <alignment horizontal="left" vertical="center"/>
    </xf>
    <xf numFmtId="0" fontId="12" fillId="14" borderId="63" xfId="0" applyFont="1" applyFill="1" applyBorder="1" applyAlignment="1">
      <alignment vertical="center" wrapText="1"/>
    </xf>
    <xf numFmtId="0" fontId="12" fillId="14" borderId="24" xfId="0" applyFont="1" applyFill="1" applyBorder="1" applyAlignment="1">
      <alignment vertical="center" wrapText="1"/>
    </xf>
    <xf numFmtId="0" fontId="6" fillId="15" borderId="0" xfId="0" applyFont="1" applyFill="1"/>
    <xf numFmtId="0" fontId="6" fillId="0" borderId="11" xfId="0" applyFont="1" applyBorder="1" applyAlignment="1">
      <alignment horizontal="center" vertical="center" wrapText="1"/>
    </xf>
    <xf numFmtId="1" fontId="12" fillId="0" borderId="0" xfId="0" applyNumberFormat="1" applyFont="1" applyAlignment="1">
      <alignment horizontal="center" vertical="center"/>
    </xf>
    <xf numFmtId="0" fontId="14" fillId="5" borderId="47" xfId="0" applyFont="1" applyFill="1" applyBorder="1" applyAlignment="1">
      <alignment horizontal="center" vertical="center" wrapText="1"/>
    </xf>
    <xf numFmtId="0" fontId="9" fillId="5" borderId="117" xfId="0" applyFont="1" applyFill="1" applyBorder="1" applyAlignment="1">
      <alignment horizontal="center" vertical="center" wrapText="1"/>
    </xf>
    <xf numFmtId="1" fontId="12" fillId="2" borderId="23" xfId="2" applyNumberFormat="1" applyFont="1" applyFill="1" applyBorder="1" applyAlignment="1" applyProtection="1">
      <alignment horizontal="center" vertical="center" wrapText="1"/>
      <protection locked="0"/>
    </xf>
    <xf numFmtId="2" fontId="6" fillId="0" borderId="28" xfId="0" applyNumberFormat="1" applyFont="1" applyBorder="1" applyAlignment="1">
      <alignment horizontal="center" vertical="center"/>
    </xf>
    <xf numFmtId="0" fontId="9" fillId="7" borderId="15" xfId="0" applyFont="1" applyFill="1" applyBorder="1" applyAlignment="1">
      <alignment horizontal="center" vertical="center" wrapText="1"/>
    </xf>
    <xf numFmtId="168" fontId="9" fillId="5" borderId="23" xfId="0" applyNumberFormat="1" applyFont="1" applyFill="1" applyBorder="1" applyAlignment="1">
      <alignment horizontal="center" vertical="center" wrapText="1"/>
    </xf>
    <xf numFmtId="168" fontId="9" fillId="5" borderId="29" xfId="0" applyNumberFormat="1" applyFont="1" applyFill="1" applyBorder="1" applyAlignment="1">
      <alignment horizontal="center" vertical="center" wrapText="1"/>
    </xf>
    <xf numFmtId="2" fontId="6" fillId="0" borderId="0" xfId="0" applyNumberFormat="1" applyFont="1" applyAlignment="1">
      <alignment horizontal="center" vertical="center"/>
    </xf>
    <xf numFmtId="0" fontId="6" fillId="8" borderId="49" xfId="0" applyFont="1" applyFill="1" applyBorder="1" applyAlignment="1">
      <alignment horizontal="left" vertical="center" wrapText="1"/>
    </xf>
    <xf numFmtId="0" fontId="6" fillId="8" borderId="0" xfId="0" applyFont="1" applyFill="1" applyAlignment="1">
      <alignment horizontal="left" vertical="center"/>
    </xf>
    <xf numFmtId="0" fontId="6" fillId="3" borderId="1" xfId="0" applyFont="1" applyFill="1" applyBorder="1" applyAlignment="1">
      <alignment horizontal="left" vertical="center" wrapText="1"/>
    </xf>
    <xf numFmtId="0" fontId="6" fillId="3" borderId="1" xfId="0" applyFont="1" applyFill="1" applyBorder="1" applyAlignment="1">
      <alignment horizontal="left" vertical="center"/>
    </xf>
    <xf numFmtId="0" fontId="15" fillId="3" borderId="0" xfId="0" applyFont="1" applyFill="1" applyAlignment="1">
      <alignment vertical="center" wrapText="1"/>
    </xf>
    <xf numFmtId="0" fontId="6" fillId="0" borderId="1" xfId="0" quotePrefix="1" applyFont="1" applyBorder="1" applyAlignment="1">
      <alignment vertical="center"/>
    </xf>
    <xf numFmtId="0" fontId="6" fillId="0" borderId="1" xfId="0" quotePrefix="1" applyFont="1" applyBorder="1" applyAlignment="1">
      <alignment vertical="center" wrapText="1"/>
    </xf>
    <xf numFmtId="0" fontId="6" fillId="0" borderId="1" xfId="0" quotePrefix="1" applyFont="1" applyBorder="1" applyAlignment="1">
      <alignment wrapText="1"/>
    </xf>
    <xf numFmtId="0" fontId="8" fillId="2" borderId="66" xfId="0" applyFont="1" applyFill="1" applyBorder="1" applyAlignment="1">
      <alignment vertical="center" wrapText="1"/>
    </xf>
    <xf numFmtId="0" fontId="8" fillId="2" borderId="5" xfId="0" applyFont="1" applyFill="1" applyBorder="1" applyAlignment="1">
      <alignment vertical="center" wrapText="1"/>
    </xf>
    <xf numFmtId="0" fontId="6" fillId="16" borderId="11" xfId="0" applyFont="1" applyFill="1" applyBorder="1" applyAlignment="1">
      <alignment horizontal="center" vertical="center" wrapText="1"/>
    </xf>
    <xf numFmtId="0" fontId="6" fillId="16" borderId="11" xfId="0" applyFont="1" applyFill="1" applyBorder="1" applyAlignment="1">
      <alignment horizontal="center"/>
    </xf>
    <xf numFmtId="0" fontId="9" fillId="2" borderId="47" xfId="0" applyFont="1" applyFill="1" applyBorder="1" applyAlignment="1">
      <alignment horizontal="right" vertical="top" wrapText="1"/>
    </xf>
    <xf numFmtId="0" fontId="9" fillId="2" borderId="48" xfId="0" applyFont="1" applyFill="1" applyBorder="1" applyAlignment="1">
      <alignment horizontal="left" vertical="center" wrapText="1"/>
    </xf>
    <xf numFmtId="0" fontId="6" fillId="0" borderId="6" xfId="0" applyFont="1" applyBorder="1" applyAlignment="1">
      <alignment horizontal="center" vertical="center"/>
    </xf>
    <xf numFmtId="0" fontId="6" fillId="0" borderId="51" xfId="0" applyFont="1" applyBorder="1" applyAlignment="1">
      <alignment horizontal="center" vertical="center"/>
    </xf>
    <xf numFmtId="0" fontId="8" fillId="2" borderId="0" xfId="0" applyFont="1" applyFill="1" applyAlignment="1">
      <alignment horizontal="right"/>
    </xf>
    <xf numFmtId="0" fontId="6" fillId="16" borderId="87" xfId="0" applyFont="1" applyFill="1" applyBorder="1" applyAlignment="1">
      <alignment wrapText="1"/>
    </xf>
    <xf numFmtId="0" fontId="9"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15" xfId="0" applyFont="1" applyFill="1" applyBorder="1" applyAlignment="1">
      <alignment horizontal="center" vertical="center" wrapText="1"/>
    </xf>
    <xf numFmtId="1" fontId="6" fillId="3" borderId="15" xfId="0" applyNumberFormat="1" applyFont="1" applyFill="1" applyBorder="1" applyAlignment="1">
      <alignment horizontal="center" vertical="center"/>
    </xf>
    <xf numFmtId="0" fontId="14" fillId="5" borderId="47" xfId="0" applyFont="1" applyFill="1" applyBorder="1" applyAlignment="1">
      <alignment horizontal="center" vertical="center" wrapText="1"/>
    </xf>
    <xf numFmtId="0" fontId="9" fillId="5" borderId="75" xfId="0" applyFont="1" applyFill="1" applyBorder="1" applyAlignment="1">
      <alignment horizontal="center" vertical="center" wrapText="1"/>
    </xf>
    <xf numFmtId="0" fontId="15" fillId="3" borderId="0" xfId="0" applyFont="1" applyFill="1" applyAlignment="1">
      <alignment horizontal="center" vertical="center" wrapText="1"/>
    </xf>
    <xf numFmtId="0" fontId="6" fillId="3" borderId="16" xfId="0" applyFont="1" applyFill="1" applyBorder="1" applyAlignment="1">
      <alignment horizontal="center" vertical="center"/>
    </xf>
    <xf numFmtId="0" fontId="6" fillId="3" borderId="15" xfId="0" applyFont="1" applyFill="1" applyBorder="1" applyAlignment="1">
      <alignment horizontal="center" vertical="center"/>
    </xf>
    <xf numFmtId="0" fontId="9" fillId="5" borderId="1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51" xfId="0" applyFont="1" applyFill="1" applyBorder="1" applyAlignment="1">
      <alignment horizontal="center" vertical="center" wrapText="1"/>
    </xf>
    <xf numFmtId="0" fontId="6" fillId="0" borderId="37" xfId="0" applyFont="1" applyBorder="1" applyAlignment="1">
      <alignment horizontal="center" vertical="center" wrapText="1"/>
    </xf>
    <xf numFmtId="0" fontId="7" fillId="0" borderId="0" xfId="0" applyFont="1" applyFill="1"/>
    <xf numFmtId="0" fontId="5" fillId="0" borderId="0" xfId="0" quotePrefix="1" applyFont="1" applyFill="1" applyAlignment="1"/>
    <xf numFmtId="0" fontId="38" fillId="0" borderId="0" xfId="0" applyFont="1"/>
    <xf numFmtId="0" fontId="4" fillId="0" borderId="0" xfId="0" applyFont="1" applyFill="1" applyAlignment="1">
      <alignment vertical="center" wrapText="1"/>
    </xf>
    <xf numFmtId="49" fontId="5" fillId="0" borderId="0" xfId="0" quotePrefix="1" applyNumberFormat="1" applyFont="1" applyAlignment="1"/>
    <xf numFmtId="0" fontId="8" fillId="10" borderId="130" xfId="0" applyFont="1" applyFill="1" applyBorder="1" applyAlignment="1">
      <alignment horizontal="center" vertical="center" wrapText="1"/>
    </xf>
    <xf numFmtId="0" fontId="6" fillId="0" borderId="0" xfId="0" applyFont="1" applyFill="1"/>
    <xf numFmtId="0" fontId="6" fillId="0" borderId="15" xfId="0" applyFont="1" applyBorder="1" applyAlignment="1">
      <alignment horizontal="center" vertical="center" wrapText="1"/>
    </xf>
    <xf numFmtId="0" fontId="6" fillId="0" borderId="126" xfId="0" applyFont="1" applyBorder="1" applyAlignment="1">
      <alignment horizontal="center" vertical="center" wrapText="1"/>
    </xf>
    <xf numFmtId="0" fontId="6" fillId="0" borderId="127" xfId="0" applyFont="1" applyBorder="1" applyAlignment="1">
      <alignment horizontal="center" vertical="center" wrapText="1"/>
    </xf>
    <xf numFmtId="0" fontId="6" fillId="3" borderId="17"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56" xfId="0" applyFont="1" applyFill="1" applyBorder="1" applyAlignment="1">
      <alignment horizontal="center" vertical="center"/>
    </xf>
    <xf numFmtId="0" fontId="9" fillId="2" borderId="49" xfId="0" applyFont="1" applyFill="1" applyBorder="1" applyAlignment="1">
      <alignment horizontal="center" vertical="center" wrapText="1"/>
    </xf>
    <xf numFmtId="0" fontId="9" fillId="2" borderId="118"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7" fillId="3" borderId="0" xfId="0" applyFont="1" applyFill="1"/>
    <xf numFmtId="0" fontId="7" fillId="3" borderId="0" xfId="0" applyFont="1" applyFill="1" applyBorder="1" applyAlignment="1">
      <alignment horizontal="center"/>
    </xf>
    <xf numFmtId="0" fontId="7" fillId="0" borderId="0" xfId="0" applyFont="1" applyAlignment="1">
      <alignment horizontal="center"/>
    </xf>
    <xf numFmtId="11" fontId="7" fillId="3" borderId="20" xfId="0" applyNumberFormat="1" applyFont="1" applyFill="1" applyBorder="1"/>
    <xf numFmtId="11" fontId="7" fillId="3" borderId="1" xfId="0" applyNumberFormat="1" applyFont="1" applyFill="1" applyBorder="1"/>
    <xf numFmtId="11" fontId="7" fillId="3" borderId="0" xfId="0" applyNumberFormat="1" applyFont="1" applyFill="1" applyBorder="1"/>
    <xf numFmtId="0" fontId="12" fillId="3" borderId="116" xfId="0" applyFont="1" applyFill="1" applyBorder="1" applyAlignment="1">
      <alignment vertical="center" wrapText="1"/>
    </xf>
    <xf numFmtId="0" fontId="12" fillId="3" borderId="9" xfId="0" applyFont="1" applyFill="1" applyBorder="1" applyAlignment="1">
      <alignment vertical="center" wrapText="1"/>
    </xf>
    <xf numFmtId="0" fontId="13" fillId="3" borderId="6" xfId="0" applyFont="1" applyFill="1" applyBorder="1" applyAlignment="1">
      <alignment horizontal="center" vertical="center" wrapText="1"/>
    </xf>
    <xf numFmtId="1" fontId="7" fillId="0" borderId="20" xfId="0" applyNumberFormat="1" applyFont="1" applyBorder="1" applyAlignment="1">
      <alignment horizontal="center"/>
    </xf>
    <xf numFmtId="1" fontId="7" fillId="0" borderId="1" xfId="0" applyNumberFormat="1" applyFont="1" applyBorder="1" applyAlignment="1">
      <alignment horizontal="center"/>
    </xf>
    <xf numFmtId="1" fontId="7" fillId="0" borderId="21" xfId="0" applyNumberFormat="1" applyFont="1" applyBorder="1" applyAlignment="1">
      <alignment horizontal="center"/>
    </xf>
    <xf numFmtId="1" fontId="7" fillId="0" borderId="20" xfId="0" applyNumberFormat="1" applyFont="1" applyBorder="1" applyAlignment="1">
      <alignment horizontal="center" vertical="center"/>
    </xf>
    <xf numFmtId="1" fontId="7" fillId="0" borderId="1" xfId="0" applyNumberFormat="1" applyFont="1" applyBorder="1" applyAlignment="1">
      <alignment horizontal="center" vertical="center"/>
    </xf>
    <xf numFmtId="1" fontId="7" fillId="0" borderId="21" xfId="0" applyNumberFormat="1" applyFont="1" applyBorder="1" applyAlignment="1">
      <alignment horizontal="center" vertical="center"/>
    </xf>
    <xf numFmtId="0" fontId="12" fillId="3" borderId="50" xfId="0" applyFont="1" applyFill="1" applyBorder="1" applyAlignment="1">
      <alignment horizontal="center" vertical="center" wrapText="1"/>
    </xf>
    <xf numFmtId="0" fontId="12" fillId="3" borderId="45" xfId="0" applyFont="1" applyFill="1" applyBorder="1" applyAlignment="1">
      <alignment vertical="center" wrapText="1"/>
    </xf>
    <xf numFmtId="0" fontId="12" fillId="3" borderId="67" xfId="0" applyFont="1" applyFill="1" applyBorder="1" applyAlignment="1">
      <alignment vertical="center" wrapText="1"/>
    </xf>
    <xf numFmtId="0" fontId="13" fillId="3" borderId="51" xfId="0" applyFont="1" applyFill="1" applyBorder="1" applyAlignment="1">
      <alignment horizontal="center" vertical="center" wrapText="1"/>
    </xf>
    <xf numFmtId="166" fontId="7" fillId="3" borderId="20" xfId="0" applyNumberFormat="1" applyFont="1" applyFill="1" applyBorder="1"/>
    <xf numFmtId="166" fontId="7" fillId="3" borderId="1" xfId="0" applyNumberFormat="1" applyFont="1" applyFill="1" applyBorder="1"/>
    <xf numFmtId="0" fontId="6" fillId="3" borderId="50" xfId="0" applyFont="1" applyFill="1" applyBorder="1" applyAlignment="1">
      <alignment horizontal="center" vertical="center" wrapText="1"/>
    </xf>
    <xf numFmtId="0" fontId="7" fillId="0" borderId="20" xfId="0" applyFont="1" applyFill="1" applyBorder="1"/>
    <xf numFmtId="0" fontId="7" fillId="0" borderId="1" xfId="0" applyFont="1" applyFill="1" applyBorder="1"/>
    <xf numFmtId="0" fontId="6" fillId="3" borderId="45" xfId="0" applyFont="1" applyFill="1" applyBorder="1" applyAlignment="1">
      <alignment vertical="center" wrapText="1"/>
    </xf>
    <xf numFmtId="1" fontId="7" fillId="0" borderId="0" xfId="0" applyNumberFormat="1" applyFont="1"/>
    <xf numFmtId="11" fontId="7" fillId="3" borderId="0" xfId="0" applyNumberFormat="1" applyFont="1" applyFill="1"/>
    <xf numFmtId="11" fontId="7" fillId="3" borderId="35" xfId="0" applyNumberFormat="1" applyFont="1" applyFill="1" applyBorder="1"/>
    <xf numFmtId="11" fontId="7" fillId="3" borderId="24" xfId="0" applyNumberFormat="1" applyFont="1" applyFill="1" applyBorder="1"/>
    <xf numFmtId="0" fontId="9" fillId="3" borderId="131" xfId="0" applyFont="1" applyFill="1" applyBorder="1" applyAlignment="1">
      <alignment horizontal="center" vertical="center" wrapText="1"/>
    </xf>
    <xf numFmtId="0" fontId="9" fillId="3" borderId="130" xfId="0" applyFont="1" applyFill="1" applyBorder="1" applyAlignment="1">
      <alignment horizontal="center" vertical="center" wrapText="1"/>
    </xf>
    <xf numFmtId="0" fontId="8" fillId="3" borderId="130" xfId="0" applyFont="1" applyFill="1" applyBorder="1" applyAlignment="1">
      <alignment horizontal="center" vertical="center" wrapText="1"/>
    </xf>
    <xf numFmtId="0" fontId="9" fillId="3" borderId="132" xfId="0" applyFont="1" applyFill="1" applyBorder="1" applyAlignment="1">
      <alignment horizontal="center" vertical="center" wrapText="1"/>
    </xf>
    <xf numFmtId="11" fontId="7" fillId="3" borderId="21" xfId="0" applyNumberFormat="1" applyFont="1" applyFill="1" applyBorder="1"/>
    <xf numFmtId="11" fontId="7" fillId="3" borderId="38" xfId="0" applyNumberFormat="1" applyFont="1" applyFill="1" applyBorder="1"/>
    <xf numFmtId="11" fontId="7" fillId="3" borderId="28" xfId="0" applyNumberFormat="1" applyFont="1" applyFill="1" applyBorder="1"/>
    <xf numFmtId="11" fontId="7" fillId="3" borderId="22" xfId="0" applyNumberFormat="1" applyFont="1" applyFill="1" applyBorder="1"/>
    <xf numFmtId="11" fontId="7" fillId="3" borderId="16" xfId="0" applyNumberFormat="1" applyFont="1" applyFill="1" applyBorder="1"/>
    <xf numFmtId="11" fontId="7" fillId="3" borderId="23" xfId="0" applyNumberFormat="1" applyFont="1" applyFill="1" applyBorder="1"/>
    <xf numFmtId="0" fontId="12" fillId="3" borderId="116" xfId="0" applyFont="1" applyFill="1" applyBorder="1" applyAlignment="1">
      <alignment horizontal="center" vertical="center" wrapText="1"/>
    </xf>
    <xf numFmtId="166" fontId="7" fillId="3" borderId="35" xfId="0" applyNumberFormat="1" applyFont="1" applyFill="1" applyBorder="1"/>
    <xf numFmtId="166" fontId="7" fillId="3" borderId="24" xfId="0" applyNumberFormat="1" applyFont="1" applyFill="1" applyBorder="1"/>
    <xf numFmtId="0" fontId="8" fillId="3" borderId="57" xfId="0" applyFont="1" applyFill="1" applyBorder="1" applyAlignment="1">
      <alignment horizontal="center" vertical="center" wrapText="1"/>
    </xf>
    <xf numFmtId="0" fontId="16" fillId="3" borderId="57" xfId="0" applyFont="1" applyFill="1" applyBorder="1" applyAlignment="1">
      <alignment horizontal="center" vertical="center" wrapText="1"/>
    </xf>
    <xf numFmtId="1" fontId="7" fillId="0" borderId="35" xfId="0" applyNumberFormat="1" applyFont="1" applyBorder="1" applyAlignment="1">
      <alignment horizontal="center" vertical="center"/>
    </xf>
    <xf numFmtId="1" fontId="7" fillId="0" borderId="24" xfId="0" applyNumberFormat="1" applyFont="1" applyBorder="1" applyAlignment="1">
      <alignment horizontal="center" vertical="center"/>
    </xf>
    <xf numFmtId="1" fontId="7" fillId="0" borderId="28" xfId="0" applyNumberFormat="1" applyFont="1" applyBorder="1" applyAlignment="1">
      <alignment horizontal="center" vertical="center"/>
    </xf>
    <xf numFmtId="0" fontId="9" fillId="2" borderId="57" xfId="0" applyFont="1" applyFill="1" applyBorder="1" applyAlignment="1">
      <alignment horizontal="center" vertical="center" wrapText="1"/>
    </xf>
    <xf numFmtId="1" fontId="7" fillId="18" borderId="35" xfId="0" applyNumberFormat="1" applyFont="1" applyFill="1" applyBorder="1" applyAlignment="1">
      <alignment horizontal="center"/>
    </xf>
    <xf numFmtId="1" fontId="7" fillId="0" borderId="24" xfId="0" applyNumberFormat="1" applyFont="1" applyBorder="1" applyAlignment="1">
      <alignment horizontal="center"/>
    </xf>
    <xf numFmtId="1" fontId="7" fillId="0" borderId="28" xfId="0" applyNumberFormat="1" applyFont="1" applyBorder="1" applyAlignment="1">
      <alignment horizontal="center"/>
    </xf>
    <xf numFmtId="0" fontId="9" fillId="2" borderId="133" xfId="0" applyFont="1" applyFill="1" applyBorder="1" applyAlignment="1">
      <alignment horizontal="center" vertical="center" wrapText="1"/>
    </xf>
    <xf numFmtId="0" fontId="9" fillId="2" borderId="121" xfId="0" applyFont="1" applyFill="1" applyBorder="1" applyAlignment="1">
      <alignment horizontal="center" vertical="center" wrapText="1"/>
    </xf>
    <xf numFmtId="0" fontId="9" fillId="2" borderId="134" xfId="0" applyFont="1" applyFill="1" applyBorder="1" applyAlignment="1">
      <alignment horizontal="center" vertical="center" wrapText="1"/>
    </xf>
    <xf numFmtId="0" fontId="9" fillId="2" borderId="135" xfId="0" applyFont="1" applyFill="1" applyBorder="1" applyAlignment="1">
      <alignment horizontal="center" vertical="center" wrapText="1"/>
    </xf>
    <xf numFmtId="0" fontId="9" fillId="2" borderId="136" xfId="0" applyFont="1" applyFill="1" applyBorder="1" applyAlignment="1">
      <alignment horizontal="center" vertical="center" wrapText="1"/>
    </xf>
    <xf numFmtId="1" fontId="7" fillId="0" borderId="22" xfId="0" applyNumberFormat="1" applyFont="1" applyBorder="1" applyAlignment="1">
      <alignment horizontal="center" vertical="center"/>
    </xf>
    <xf numFmtId="1" fontId="7" fillId="0" borderId="16" xfId="0" applyNumberFormat="1" applyFont="1" applyBorder="1" applyAlignment="1">
      <alignment horizontal="center" vertical="center"/>
    </xf>
    <xf numFmtId="1" fontId="7" fillId="0" borderId="23" xfId="0" applyNumberFormat="1" applyFont="1" applyBorder="1" applyAlignment="1">
      <alignment horizontal="center" vertical="center"/>
    </xf>
    <xf numFmtId="0" fontId="6" fillId="0" borderId="56" xfId="0" applyFont="1" applyBorder="1" applyAlignment="1">
      <alignment horizontal="center" vertical="center" wrapText="1"/>
    </xf>
    <xf numFmtId="0" fontId="12" fillId="0" borderId="79" xfId="0" applyFont="1" applyBorder="1" applyAlignment="1">
      <alignment vertical="center" wrapText="1"/>
    </xf>
    <xf numFmtId="0" fontId="13" fillId="0" borderId="16" xfId="0" applyFont="1" applyBorder="1" applyAlignment="1">
      <alignment horizontal="center" vertical="center" wrapText="1"/>
    </xf>
    <xf numFmtId="0" fontId="6" fillId="0" borderId="29" xfId="0" applyFont="1" applyBorder="1" applyAlignment="1">
      <alignment horizontal="center" vertical="center"/>
    </xf>
    <xf numFmtId="1" fontId="7" fillId="0" borderId="22" xfId="0" applyNumberFormat="1" applyFont="1" applyBorder="1" applyAlignment="1">
      <alignment horizontal="center"/>
    </xf>
    <xf numFmtId="1" fontId="7" fillId="0" borderId="16" xfId="0" applyNumberFormat="1" applyFont="1" applyBorder="1" applyAlignment="1">
      <alignment horizontal="center"/>
    </xf>
    <xf numFmtId="1" fontId="7" fillId="0" borderId="23" xfId="0" applyNumberFormat="1" applyFont="1" applyBorder="1" applyAlignment="1">
      <alignment horizontal="center"/>
    </xf>
    <xf numFmtId="0" fontId="8" fillId="2" borderId="46"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9" fillId="2" borderId="95" xfId="0" applyFont="1" applyFill="1" applyBorder="1" applyAlignment="1">
      <alignment horizontal="center" vertical="top" wrapText="1"/>
    </xf>
    <xf numFmtId="0" fontId="13" fillId="0" borderId="31" xfId="0" applyFont="1" applyBorder="1" applyAlignment="1">
      <alignment horizontal="center" vertical="center" wrapText="1"/>
    </xf>
    <xf numFmtId="0" fontId="6" fillId="0" borderId="31" xfId="0" applyFont="1" applyBorder="1" applyAlignment="1">
      <alignment horizontal="center" vertical="center"/>
    </xf>
    <xf numFmtId="0" fontId="6" fillId="0" borderId="1" xfId="0" applyFont="1" applyBorder="1" applyAlignment="1">
      <alignment horizontal="center" vertical="center" wrapText="1"/>
    </xf>
    <xf numFmtId="0" fontId="12" fillId="8" borderId="50" xfId="0" applyFont="1" applyFill="1" applyBorder="1" applyAlignment="1">
      <alignment horizontal="center" vertical="center" wrapText="1"/>
    </xf>
    <xf numFmtId="0" fontId="12" fillId="8" borderId="45" xfId="0" applyFont="1" applyFill="1" applyBorder="1" applyAlignment="1">
      <alignment vertical="center" wrapText="1"/>
    </xf>
    <xf numFmtId="0" fontId="12" fillId="8" borderId="67" xfId="0" applyFont="1" applyFill="1" applyBorder="1" applyAlignment="1">
      <alignment vertical="center" wrapText="1"/>
    </xf>
    <xf numFmtId="0" fontId="13" fillId="8" borderId="1"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6" fillId="8" borderId="1" xfId="0" applyFont="1" applyFill="1" applyBorder="1" applyAlignment="1">
      <alignment horizontal="center" vertical="center"/>
    </xf>
    <xf numFmtId="0" fontId="6" fillId="8" borderId="31" xfId="0" applyFont="1" applyFill="1" applyBorder="1" applyAlignment="1">
      <alignment horizontal="center" vertical="center"/>
    </xf>
    <xf numFmtId="0" fontId="6" fillId="8" borderId="1" xfId="0" applyFont="1" applyFill="1" applyBorder="1"/>
    <xf numFmtId="0" fontId="6" fillId="8" borderId="0" xfId="0" applyFont="1" applyFill="1"/>
    <xf numFmtId="0" fontId="6" fillId="8" borderId="50"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45" xfId="0" applyFont="1" applyFill="1" applyBorder="1" applyAlignment="1">
      <alignment vertical="center" wrapText="1"/>
    </xf>
    <xf numFmtId="0" fontId="12" fillId="0" borderId="67"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31" xfId="0" applyFont="1" applyFill="1" applyBorder="1" applyAlignment="1">
      <alignment horizontal="center" vertical="center"/>
    </xf>
    <xf numFmtId="0" fontId="6" fillId="16" borderId="31" xfId="0" applyFont="1" applyFill="1" applyBorder="1" applyAlignment="1">
      <alignment horizontal="center" vertical="center"/>
    </xf>
    <xf numFmtId="0" fontId="6" fillId="0" borderId="1" xfId="0" applyFont="1" applyFill="1" applyBorder="1"/>
    <xf numFmtId="0" fontId="6" fillId="8" borderId="24" xfId="0" applyFont="1" applyFill="1" applyBorder="1" applyAlignment="1">
      <alignment horizontal="center" vertical="center"/>
    </xf>
    <xf numFmtId="0" fontId="6" fillId="0" borderId="3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31" xfId="0" applyFont="1" applyFill="1" applyBorder="1" applyAlignment="1">
      <alignment horizontal="center" vertical="center" wrapText="1"/>
    </xf>
    <xf numFmtId="0" fontId="13" fillId="17" borderId="31" xfId="0" applyFont="1" applyFill="1" applyBorder="1" applyAlignment="1">
      <alignment horizontal="center" vertical="center" wrapText="1"/>
    </xf>
    <xf numFmtId="0" fontId="6" fillId="8" borderId="45" xfId="0" applyFont="1" applyFill="1" applyBorder="1" applyAlignment="1">
      <alignment vertical="center" wrapText="1"/>
    </xf>
    <xf numFmtId="0" fontId="13" fillId="17" borderId="1" xfId="0" applyFont="1" applyFill="1" applyBorder="1" applyAlignment="1">
      <alignment horizontal="center" vertical="center" wrapText="1"/>
    </xf>
    <xf numFmtId="0" fontId="6" fillId="11" borderId="0" xfId="0" applyFont="1" applyFill="1"/>
    <xf numFmtId="0" fontId="6" fillId="11" borderId="8" xfId="0" applyFont="1" applyFill="1" applyBorder="1"/>
    <xf numFmtId="0" fontId="8" fillId="11" borderId="0" xfId="0" applyFont="1" applyFill="1" applyAlignment="1">
      <alignment horizontal="center" vertical="center" wrapText="1"/>
    </xf>
    <xf numFmtId="0" fontId="6" fillId="3" borderId="18" xfId="0" applyFont="1" applyFill="1" applyBorder="1" applyAlignment="1">
      <alignment vertical="center"/>
    </xf>
    <xf numFmtId="0" fontId="8" fillId="6" borderId="50" xfId="0" applyFont="1" applyFill="1" applyBorder="1" applyAlignment="1">
      <alignment horizontal="left" vertical="center" wrapText="1"/>
    </xf>
    <xf numFmtId="0" fontId="6" fillId="0" borderId="1" xfId="0" applyFont="1" applyBorder="1" applyAlignment="1">
      <alignment horizontal="left" vertical="center"/>
    </xf>
    <xf numFmtId="0" fontId="6" fillId="3" borderId="1" xfId="0" quotePrefix="1" applyFont="1" applyFill="1" applyBorder="1" applyAlignment="1">
      <alignment horizontal="left" vertical="center"/>
    </xf>
    <xf numFmtId="0" fontId="8" fillId="3" borderId="1" xfId="0" applyFont="1" applyFill="1" applyBorder="1" applyAlignment="1">
      <alignment horizontal="left" vertical="center"/>
    </xf>
    <xf numFmtId="0" fontId="6" fillId="3" borderId="1" xfId="0" applyFont="1" applyFill="1" applyBorder="1" applyAlignment="1">
      <alignment vertical="center" wrapText="1"/>
    </xf>
    <xf numFmtId="49" fontId="5" fillId="0" borderId="0" xfId="0" quotePrefix="1" applyNumberFormat="1" applyFont="1" applyAlignment="1">
      <alignment horizontal="center"/>
    </xf>
    <xf numFmtId="0" fontId="4" fillId="0" borderId="0" xfId="0" applyFont="1" applyFill="1" applyAlignment="1">
      <alignment horizontal="center" vertical="center" wrapText="1"/>
    </xf>
    <xf numFmtId="0" fontId="38" fillId="0" borderId="0" xfId="0" applyFont="1" applyAlignment="1">
      <alignment horizontal="center"/>
    </xf>
    <xf numFmtId="0" fontId="39" fillId="0" borderId="0" xfId="0" quotePrefix="1" applyFont="1" applyAlignment="1">
      <alignment horizontal="center"/>
    </xf>
    <xf numFmtId="0" fontId="6" fillId="0" borderId="0" xfId="0" applyFont="1" applyAlignment="1">
      <alignment horizontal="left" vertical="center" wrapText="1"/>
    </xf>
    <xf numFmtId="0" fontId="8" fillId="12" borderId="1" xfId="0" applyFont="1" applyFill="1" applyBorder="1" applyAlignment="1">
      <alignment horizontal="left"/>
    </xf>
    <xf numFmtId="0" fontId="8" fillId="12" borderId="51" xfId="0" applyFont="1" applyFill="1" applyBorder="1" applyAlignment="1">
      <alignment horizontal="left"/>
    </xf>
    <xf numFmtId="0" fontId="8" fillId="12" borderId="68" xfId="0" applyFont="1" applyFill="1" applyBorder="1" applyAlignment="1">
      <alignment horizontal="left"/>
    </xf>
    <xf numFmtId="0" fontId="8" fillId="12" borderId="67" xfId="0" applyFont="1" applyFill="1" applyBorder="1" applyAlignment="1">
      <alignment horizontal="left"/>
    </xf>
    <xf numFmtId="0" fontId="12" fillId="2" borderId="34"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9" fillId="5" borderId="25" xfId="0" applyFont="1" applyFill="1" applyBorder="1" applyAlignment="1">
      <alignment horizontal="center" vertical="center"/>
    </xf>
    <xf numFmtId="0" fontId="9" fillId="5" borderId="26" xfId="0" applyFont="1" applyFill="1" applyBorder="1" applyAlignment="1">
      <alignment horizontal="center" vertical="center"/>
    </xf>
    <xf numFmtId="0" fontId="9" fillId="5" borderId="25"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9" fillId="3" borderId="30" xfId="0" applyFont="1" applyFill="1" applyBorder="1" applyAlignment="1">
      <alignment horizontal="left" vertical="center"/>
    </xf>
    <xf numFmtId="0" fontId="9" fillId="3" borderId="0" xfId="0" applyFont="1" applyFill="1" applyAlignment="1">
      <alignment horizontal="left" vertical="center"/>
    </xf>
    <xf numFmtId="0" fontId="9" fillId="5" borderId="34" xfId="0" applyFont="1" applyFill="1" applyBorder="1" applyAlignment="1">
      <alignment horizontal="center" vertical="center" wrapText="1"/>
    </xf>
    <xf numFmtId="0" fontId="9" fillId="5" borderId="41"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37" xfId="0" applyFont="1" applyFill="1" applyBorder="1" applyAlignment="1">
      <alignment horizontal="center" vertical="center"/>
    </xf>
    <xf numFmtId="0" fontId="9" fillId="5" borderId="37" xfId="0" applyFont="1" applyFill="1" applyBorder="1" applyAlignment="1">
      <alignment horizontal="center" vertical="center" wrapText="1"/>
    </xf>
    <xf numFmtId="0" fontId="9" fillId="5" borderId="34" xfId="0" applyFont="1" applyFill="1" applyBorder="1" applyAlignment="1">
      <alignment horizontal="center" vertical="center"/>
    </xf>
    <xf numFmtId="0" fontId="9" fillId="5" borderId="41" xfId="0" applyFont="1" applyFill="1" applyBorder="1" applyAlignment="1">
      <alignment horizontal="center" vertical="center"/>
    </xf>
    <xf numFmtId="0" fontId="9" fillId="5" borderId="39" xfId="0" applyFont="1" applyFill="1" applyBorder="1" applyAlignment="1">
      <alignment horizontal="center" vertical="center"/>
    </xf>
    <xf numFmtId="0" fontId="6" fillId="2" borderId="78" xfId="0" applyFont="1" applyFill="1" applyBorder="1" applyAlignment="1">
      <alignment horizontal="center" vertical="center" wrapText="1"/>
    </xf>
    <xf numFmtId="0" fontId="6" fillId="2" borderId="95"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2" xfId="0" applyFont="1" applyFill="1" applyBorder="1" applyAlignment="1">
      <alignment horizontal="center" vertical="center" wrapText="1"/>
    </xf>
    <xf numFmtId="1" fontId="6" fillId="3" borderId="25" xfId="0" applyNumberFormat="1" applyFont="1" applyFill="1" applyBorder="1" applyAlignment="1">
      <alignment horizontal="center" vertical="center"/>
    </xf>
    <xf numFmtId="1" fontId="6" fillId="3" borderId="37" xfId="0" applyNumberFormat="1" applyFont="1" applyFill="1" applyBorder="1" applyAlignment="1">
      <alignment horizontal="center" vertical="center"/>
    </xf>
    <xf numFmtId="1" fontId="6" fillId="3" borderId="15" xfId="0" applyNumberFormat="1" applyFont="1" applyFill="1" applyBorder="1" applyAlignment="1">
      <alignment horizontal="center" vertical="center"/>
    </xf>
    <xf numFmtId="1" fontId="6" fillId="3" borderId="16" xfId="0" applyNumberFormat="1" applyFont="1" applyFill="1" applyBorder="1" applyAlignment="1">
      <alignment horizontal="center" vertical="center"/>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5" borderId="47" xfId="0" applyFont="1" applyFill="1" applyBorder="1" applyAlignment="1">
      <alignment horizontal="center" vertical="center" wrapText="1"/>
    </xf>
    <xf numFmtId="0" fontId="14" fillId="5" borderId="55"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2" fillId="3" borderId="92"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8" fillId="3" borderId="53" xfId="0" applyFont="1" applyFill="1" applyBorder="1" applyAlignment="1">
      <alignment horizontal="center" vertical="center" wrapText="1"/>
    </xf>
    <xf numFmtId="0" fontId="8" fillId="3" borderId="49" xfId="0" applyFont="1" applyFill="1" applyBorder="1" applyAlignment="1">
      <alignment horizontal="center" vertical="center" wrapText="1"/>
    </xf>
    <xf numFmtId="0" fontId="20" fillId="3" borderId="72" xfId="0" applyFont="1" applyFill="1" applyBorder="1" applyAlignment="1">
      <alignment horizontal="center" vertical="center" wrapText="1"/>
    </xf>
    <xf numFmtId="0" fontId="20" fillId="3" borderId="65"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8" fillId="3" borderId="69" xfId="0" applyFont="1" applyFill="1" applyBorder="1" applyAlignment="1">
      <alignment horizontal="center" vertical="center" wrapText="1"/>
    </xf>
    <xf numFmtId="0" fontId="20" fillId="3" borderId="80" xfId="0" applyFont="1" applyFill="1" applyBorder="1" applyAlignment="1">
      <alignment horizontal="center" vertical="center" wrapText="1"/>
    </xf>
    <xf numFmtId="0" fontId="20" fillId="3" borderId="81" xfId="0" applyFont="1" applyFill="1" applyBorder="1" applyAlignment="1">
      <alignment horizontal="center" vertical="center" wrapText="1"/>
    </xf>
    <xf numFmtId="0" fontId="8" fillId="3" borderId="52" xfId="0" applyFont="1" applyFill="1" applyBorder="1" applyAlignment="1">
      <alignment horizontal="center" vertical="center" wrapText="1"/>
    </xf>
    <xf numFmtId="0" fontId="8" fillId="3" borderId="78"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66" xfId="0" applyFont="1" applyFill="1" applyBorder="1" applyAlignment="1">
      <alignment horizontal="center" vertical="center" wrapText="1"/>
    </xf>
    <xf numFmtId="0" fontId="9" fillId="5" borderId="75"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15" fillId="3" borderId="0" xfId="0" applyFont="1" applyFill="1" applyAlignment="1">
      <alignment horizontal="center" vertical="center" wrapText="1"/>
    </xf>
    <xf numFmtId="168" fontId="28" fillId="3" borderId="92" xfId="0" applyNumberFormat="1" applyFont="1" applyFill="1" applyBorder="1" applyAlignment="1">
      <alignment horizontal="center" vertical="center" wrapText="1"/>
    </xf>
    <xf numFmtId="168" fontId="28" fillId="3" borderId="0" xfId="0" applyNumberFormat="1" applyFont="1" applyFill="1" applyAlignment="1">
      <alignment horizontal="center" vertical="center" wrapText="1"/>
    </xf>
    <xf numFmtId="0" fontId="16" fillId="5" borderId="98" xfId="0" applyFont="1" applyFill="1" applyBorder="1" applyAlignment="1">
      <alignment horizontal="center" vertical="center" wrapText="1"/>
    </xf>
    <xf numFmtId="0" fontId="16" fillId="5" borderId="99"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51" xfId="0" applyFont="1" applyFill="1" applyBorder="1" applyAlignment="1">
      <alignment horizontal="center" vertical="center" wrapText="1"/>
    </xf>
    <xf numFmtId="0" fontId="9" fillId="5" borderId="68" xfId="0" applyFont="1" applyFill="1" applyBorder="1" applyAlignment="1">
      <alignment horizontal="center" vertical="center" wrapText="1"/>
    </xf>
    <xf numFmtId="0" fontId="9" fillId="5" borderId="9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20" fillId="3" borderId="73" xfId="0" applyFont="1" applyFill="1" applyBorder="1" applyAlignment="1">
      <alignment horizontal="center" vertical="center" wrapText="1"/>
    </xf>
    <xf numFmtId="1" fontId="6" fillId="3" borderId="34" xfId="0" applyNumberFormat="1" applyFont="1" applyFill="1" applyBorder="1" applyAlignment="1">
      <alignment horizontal="center" vertical="center"/>
    </xf>
    <xf numFmtId="1" fontId="6" fillId="3" borderId="39" xfId="0" applyNumberFormat="1" applyFont="1" applyFill="1" applyBorder="1" applyAlignment="1">
      <alignment horizontal="center" vertical="center"/>
    </xf>
    <xf numFmtId="0" fontId="20" fillId="3" borderId="83" xfId="0" applyFont="1" applyFill="1" applyBorder="1" applyAlignment="1">
      <alignment horizontal="center" vertical="center" wrapText="1"/>
    </xf>
    <xf numFmtId="0" fontId="20" fillId="3" borderId="85" xfId="0" applyFont="1" applyFill="1" applyBorder="1" applyAlignment="1">
      <alignment horizontal="center" vertical="center" wrapText="1"/>
    </xf>
    <xf numFmtId="1" fontId="6" fillId="3" borderId="52" xfId="0" applyNumberFormat="1" applyFont="1" applyFill="1" applyBorder="1" applyAlignment="1">
      <alignment horizontal="center" vertical="center"/>
    </xf>
    <xf numFmtId="1" fontId="6" fillId="3" borderId="95" xfId="0" applyNumberFormat="1" applyFont="1" applyFill="1" applyBorder="1" applyAlignment="1">
      <alignment horizontal="center" vertical="center"/>
    </xf>
    <xf numFmtId="0" fontId="12" fillId="3" borderId="38" xfId="0" applyFont="1" applyFill="1" applyBorder="1" applyAlignment="1">
      <alignment horizontal="center" vertical="center" wrapText="1"/>
    </xf>
    <xf numFmtId="0" fontId="20" fillId="3" borderId="82" xfId="0" applyFont="1" applyFill="1" applyBorder="1" applyAlignment="1">
      <alignment horizontal="center" vertical="center" wrapText="1"/>
    </xf>
    <xf numFmtId="0" fontId="20" fillId="3" borderId="84" xfId="0" applyFont="1" applyFill="1" applyBorder="1" applyAlignment="1">
      <alignment horizontal="center" vertical="center" wrapText="1"/>
    </xf>
    <xf numFmtId="1" fontId="6" fillId="3" borderId="67" xfId="0" applyNumberFormat="1" applyFont="1" applyFill="1" applyBorder="1" applyAlignment="1">
      <alignment horizontal="center" vertical="center"/>
    </xf>
    <xf numFmtId="1" fontId="6" fillId="3" borderId="79"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16" xfId="0" applyFont="1" applyFill="1" applyBorder="1" applyAlignment="1">
      <alignment horizontal="center" vertical="center"/>
    </xf>
    <xf numFmtId="1" fontId="6" fillId="3" borderId="20" xfId="0" applyNumberFormat="1" applyFont="1" applyFill="1" applyBorder="1" applyAlignment="1">
      <alignment horizontal="center" vertical="center"/>
    </xf>
    <xf numFmtId="1" fontId="6" fillId="3" borderId="22" xfId="0" applyNumberFormat="1" applyFont="1" applyFill="1" applyBorder="1" applyAlignment="1">
      <alignment horizontal="center" vertical="center"/>
    </xf>
    <xf numFmtId="1" fontId="6" fillId="3" borderId="1" xfId="0" applyNumberFormat="1" applyFont="1" applyFill="1" applyBorder="1" applyAlignment="1">
      <alignment horizontal="center" vertical="center"/>
    </xf>
    <xf numFmtId="1" fontId="6" fillId="3" borderId="54" xfId="0" applyNumberFormat="1" applyFont="1" applyFill="1" applyBorder="1" applyAlignment="1">
      <alignment horizontal="center" vertical="center"/>
    </xf>
    <xf numFmtId="0" fontId="6" fillId="3" borderId="15" xfId="0" applyFont="1" applyFill="1" applyBorder="1" applyAlignment="1">
      <alignment horizontal="center" vertical="center" wrapText="1"/>
    </xf>
    <xf numFmtId="0" fontId="6" fillId="3" borderId="15" xfId="0" applyFont="1" applyFill="1" applyBorder="1" applyAlignment="1">
      <alignment horizontal="center" vertical="center"/>
    </xf>
    <xf numFmtId="1" fontId="6" fillId="3" borderId="17" xfId="0" applyNumberFormat="1" applyFont="1" applyFill="1" applyBorder="1" applyAlignment="1">
      <alignment horizontal="center" vertical="center"/>
    </xf>
    <xf numFmtId="0" fontId="9" fillId="5" borderId="21"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92"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9" fillId="5" borderId="100" xfId="0" applyFont="1" applyFill="1" applyBorder="1" applyAlignment="1">
      <alignment horizontal="center" vertical="center" wrapText="1"/>
    </xf>
    <xf numFmtId="0" fontId="9" fillId="5" borderId="79" xfId="0" applyFont="1" applyFill="1" applyBorder="1" applyAlignment="1">
      <alignment horizontal="center" vertical="center" wrapText="1"/>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4" xfId="0" applyFont="1" applyFill="1" applyBorder="1" applyAlignment="1">
      <alignment horizontal="center" vertical="center"/>
    </xf>
    <xf numFmtId="0" fontId="9" fillId="5" borderId="10" xfId="0" applyFont="1" applyFill="1" applyBorder="1" applyAlignment="1">
      <alignment horizontal="center" vertical="center" wrapText="1"/>
    </xf>
    <xf numFmtId="0" fontId="9" fillId="5" borderId="78" xfId="0" applyFont="1" applyFill="1" applyBorder="1" applyAlignment="1">
      <alignment horizontal="center" vertical="center" wrapText="1"/>
    </xf>
    <xf numFmtId="0" fontId="9" fillId="5" borderId="56" xfId="0" applyFont="1" applyFill="1" applyBorder="1" applyAlignment="1">
      <alignment horizontal="center" vertical="center" wrapText="1"/>
    </xf>
    <xf numFmtId="0" fontId="40" fillId="3" borderId="0" xfId="0" applyFont="1" applyFill="1" applyBorder="1" applyAlignment="1">
      <alignment horizontal="center"/>
    </xf>
    <xf numFmtId="0" fontId="9" fillId="3" borderId="20"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40" fillId="3" borderId="17" xfId="0" applyFont="1" applyFill="1" applyBorder="1" applyAlignment="1">
      <alignment horizontal="center"/>
    </xf>
    <xf numFmtId="0" fontId="7" fillId="3" borderId="15" xfId="0" applyFont="1" applyFill="1" applyBorder="1" applyAlignment="1">
      <alignment horizontal="center"/>
    </xf>
    <xf numFmtId="0" fontId="7" fillId="3" borderId="19" xfId="0" applyFont="1" applyFill="1" applyBorder="1" applyAlignment="1">
      <alignment horizontal="center"/>
    </xf>
    <xf numFmtId="0" fontId="8" fillId="3" borderId="1"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6" fillId="0" borderId="129"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116" xfId="0" applyFont="1" applyBorder="1" applyAlignment="1">
      <alignment horizontal="center" vertical="center" wrapText="1"/>
    </xf>
    <xf numFmtId="0" fontId="6" fillId="0" borderId="53" xfId="0" applyFont="1" applyBorder="1" applyAlignment="1">
      <alignment horizontal="center" vertical="center" wrapText="1"/>
    </xf>
    <xf numFmtId="0" fontId="12" fillId="0" borderId="129" xfId="0" applyFont="1" applyBorder="1" applyAlignment="1">
      <alignment horizontal="center" vertical="center" wrapText="1"/>
    </xf>
    <xf numFmtId="0" fontId="12" fillId="0" borderId="116" xfId="0" applyFont="1" applyBorder="1" applyAlignment="1">
      <alignment horizontal="center" vertical="center" wrapText="1"/>
    </xf>
    <xf numFmtId="0" fontId="12" fillId="0" borderId="53" xfId="0" applyFont="1" applyBorder="1" applyAlignment="1">
      <alignment horizontal="center" vertical="center" wrapText="1"/>
    </xf>
    <xf numFmtId="0" fontId="8" fillId="2" borderId="128" xfId="0" applyFont="1" applyFill="1" applyBorder="1" applyAlignment="1">
      <alignment horizontal="center" vertical="center" wrapText="1"/>
    </xf>
    <xf numFmtId="0" fontId="9" fillId="2" borderId="128" xfId="0" applyFont="1" applyFill="1" applyBorder="1" applyAlignment="1">
      <alignment horizontal="center" vertical="center" wrapText="1"/>
    </xf>
    <xf numFmtId="0" fontId="40" fillId="2" borderId="47" xfId="0" applyFont="1" applyFill="1" applyBorder="1" applyAlignment="1">
      <alignment horizontal="center"/>
    </xf>
    <xf numFmtId="0" fontId="40" fillId="2" borderId="55" xfId="0" applyFont="1" applyFill="1" applyBorder="1" applyAlignment="1">
      <alignment horizontal="center"/>
    </xf>
    <xf numFmtId="0" fontId="40" fillId="2" borderId="48" xfId="0" applyFont="1" applyFill="1" applyBorder="1" applyAlignment="1">
      <alignment horizontal="center"/>
    </xf>
    <xf numFmtId="0" fontId="6" fillId="2" borderId="128" xfId="0" applyFont="1" applyFill="1" applyBorder="1" applyAlignment="1">
      <alignment horizontal="center" vertical="center" wrapText="1"/>
    </xf>
    <xf numFmtId="1" fontId="7" fillId="0" borderId="41" xfId="0" applyNumberFormat="1" applyFont="1" applyBorder="1" applyAlignment="1">
      <alignment horizontal="center" vertical="center"/>
    </xf>
    <xf numFmtId="1" fontId="7" fillId="0" borderId="35" xfId="0" applyNumberFormat="1" applyFont="1" applyBorder="1" applyAlignment="1">
      <alignment horizontal="center" vertical="center"/>
    </xf>
    <xf numFmtId="1" fontId="7" fillId="0" borderId="24" xfId="0" applyNumberFormat="1" applyFont="1" applyBorder="1" applyAlignment="1">
      <alignment horizontal="center" vertical="center"/>
    </xf>
    <xf numFmtId="1" fontId="7" fillId="0" borderId="1" xfId="0" applyNumberFormat="1" applyFont="1" applyBorder="1" applyAlignment="1">
      <alignment horizontal="center" vertical="center"/>
    </xf>
    <xf numFmtId="0" fontId="8" fillId="2" borderId="128" xfId="0" applyFont="1" applyFill="1" applyBorder="1" applyAlignment="1">
      <alignment horizontal="center" wrapText="1"/>
    </xf>
    <xf numFmtId="0" fontId="6" fillId="2" borderId="128" xfId="0" applyFont="1" applyFill="1" applyBorder="1" applyAlignment="1">
      <alignment horizontal="center" wrapText="1"/>
    </xf>
    <xf numFmtId="0" fontId="8" fillId="2" borderId="128" xfId="0" applyFont="1" applyFill="1" applyBorder="1" applyAlignment="1">
      <alignment horizontal="center" vertical="top" wrapText="1"/>
    </xf>
    <xf numFmtId="1" fontId="7" fillId="0" borderId="28" xfId="0" applyNumberFormat="1" applyFont="1" applyBorder="1" applyAlignment="1">
      <alignment horizontal="center" vertical="center"/>
    </xf>
    <xf numFmtId="1" fontId="7" fillId="0" borderId="21" xfId="0" applyNumberFormat="1" applyFont="1" applyBorder="1" applyAlignment="1">
      <alignment horizontal="center" vertical="center"/>
    </xf>
    <xf numFmtId="1" fontId="7" fillId="0" borderId="20" xfId="0" applyNumberFormat="1" applyFont="1" applyBorder="1" applyAlignment="1">
      <alignment horizontal="center" vertical="center"/>
    </xf>
    <xf numFmtId="0" fontId="8" fillId="2" borderId="52" xfId="0" applyFont="1" applyFill="1" applyBorder="1" applyAlignment="1">
      <alignment horizontal="center" vertical="top" wrapText="1"/>
    </xf>
    <xf numFmtId="0" fontId="8" fillId="2" borderId="125" xfId="0" applyFont="1" applyFill="1" applyBorder="1" applyAlignment="1">
      <alignment horizontal="center" vertical="top" wrapText="1"/>
    </xf>
    <xf numFmtId="0" fontId="8" fillId="2" borderId="95" xfId="0" applyFont="1" applyFill="1" applyBorder="1" applyAlignment="1">
      <alignment horizontal="center" vertical="top" wrapText="1"/>
    </xf>
    <xf numFmtId="0" fontId="8" fillId="2" borderId="74" xfId="0" applyFont="1" applyFill="1" applyBorder="1" applyAlignment="1">
      <alignment horizontal="center" vertical="top" wrapText="1"/>
    </xf>
    <xf numFmtId="0" fontId="9" fillId="2" borderId="52" xfId="0" applyFont="1" applyFill="1" applyBorder="1" applyAlignment="1">
      <alignment horizontal="center" vertical="center" wrapText="1"/>
    </xf>
    <xf numFmtId="0" fontId="9" fillId="2" borderId="125" xfId="0" applyFont="1" applyFill="1" applyBorder="1" applyAlignment="1">
      <alignment horizontal="center" vertical="center" wrapText="1"/>
    </xf>
    <xf numFmtId="0" fontId="9" fillId="2" borderId="78"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2" borderId="74"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8" fillId="2" borderId="51" xfId="0" applyFont="1" applyFill="1" applyBorder="1" applyAlignment="1">
      <alignment horizontal="center" vertical="center" wrapText="1"/>
    </xf>
    <xf numFmtId="0" fontId="8" fillId="2" borderId="6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31" fillId="13" borderId="95" xfId="0" applyFont="1" applyFill="1" applyBorder="1" applyAlignment="1">
      <alignment horizontal="center" vertical="center" wrapText="1"/>
    </xf>
    <xf numFmtId="0" fontId="31" fillId="13" borderId="30" xfId="0" applyFont="1" applyFill="1" applyBorder="1" applyAlignment="1">
      <alignment horizontal="center" vertical="center" wrapText="1"/>
    </xf>
    <xf numFmtId="0" fontId="31" fillId="13" borderId="74" xfId="0" applyFont="1" applyFill="1" applyBorder="1" applyAlignment="1">
      <alignment horizontal="center" vertical="center" wrapText="1"/>
    </xf>
    <xf numFmtId="0" fontId="31" fillId="13" borderId="47" xfId="0" applyFont="1" applyFill="1" applyBorder="1" applyAlignment="1">
      <alignment horizontal="center" vertical="center" wrapText="1"/>
    </xf>
    <xf numFmtId="0" fontId="31" fillId="13" borderId="55" xfId="0" applyFont="1" applyFill="1" applyBorder="1" applyAlignment="1">
      <alignment horizontal="center" vertical="center" wrapText="1"/>
    </xf>
    <xf numFmtId="0" fontId="31" fillId="13" borderId="48" xfId="0" applyFont="1" applyFill="1" applyBorder="1" applyAlignment="1">
      <alignment horizontal="center" vertical="center" wrapText="1"/>
    </xf>
    <xf numFmtId="0" fontId="7" fillId="0" borderId="114" xfId="0" applyFont="1" applyBorder="1" applyAlignment="1">
      <alignment horizontal="center" vertical="center" wrapText="1"/>
    </xf>
    <xf numFmtId="0" fontId="7" fillId="0" borderId="115"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7" xfId="0" applyFont="1" applyBorder="1" applyAlignment="1">
      <alignment horizontal="center" vertical="center" wrapText="1"/>
    </xf>
    <xf numFmtId="0" fontId="9" fillId="5" borderId="15" xfId="0" applyFont="1" applyFill="1" applyBorder="1" applyAlignment="1">
      <alignment horizontal="center" vertical="center"/>
    </xf>
    <xf numFmtId="0" fontId="9" fillId="5" borderId="31" xfId="0" applyFont="1" applyFill="1" applyBorder="1" applyAlignment="1">
      <alignment horizontal="center" vertical="center"/>
    </xf>
    <xf numFmtId="0" fontId="7" fillId="0" borderId="1" xfId="0" applyFont="1" applyBorder="1" applyAlignment="1">
      <alignment vertical="center"/>
    </xf>
    <xf numFmtId="0" fontId="7" fillId="0" borderId="24" xfId="0" applyFont="1" applyBorder="1" applyAlignment="1">
      <alignment vertical="center"/>
    </xf>
    <xf numFmtId="0" fontId="7" fillId="0" borderId="104" xfId="0" applyFont="1" applyBorder="1" applyAlignment="1">
      <alignment horizontal="center" vertical="center" wrapText="1"/>
    </xf>
    <xf numFmtId="0" fontId="7" fillId="0" borderId="106"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110" xfId="0" applyFont="1" applyBorder="1" applyAlignment="1">
      <alignment horizontal="center" vertical="center" wrapText="1"/>
    </xf>
    <xf numFmtId="0" fontId="6" fillId="3" borderId="3" xfId="0" applyFont="1" applyFill="1" applyBorder="1" applyAlignment="1">
      <alignment horizontal="center"/>
    </xf>
    <xf numFmtId="0" fontId="8" fillId="3" borderId="3" xfId="0" applyFont="1" applyFill="1" applyBorder="1" applyAlignment="1">
      <alignment horizontal="center" wrapText="1"/>
    </xf>
    <xf numFmtId="0" fontId="6" fillId="3" borderId="0" xfId="0" applyFont="1" applyFill="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6" fillId="3" borderId="8" xfId="0" applyFont="1" applyFill="1" applyBorder="1" applyAlignment="1">
      <alignment horizontal="center"/>
    </xf>
    <xf numFmtId="0" fontId="8" fillId="3" borderId="4" xfId="0" applyFont="1" applyFill="1" applyBorder="1" applyAlignment="1">
      <alignment horizontal="center" wrapText="1"/>
    </xf>
    <xf numFmtId="0" fontId="9" fillId="9" borderId="52" xfId="1" applyFont="1" applyFill="1" applyBorder="1" applyAlignment="1">
      <alignment horizontal="center" vertical="center" wrapText="1"/>
    </xf>
    <xf numFmtId="0" fontId="9" fillId="9" borderId="92" xfId="1" applyFont="1" applyFill="1" applyBorder="1" applyAlignment="1">
      <alignment horizontal="center" vertical="center" wrapText="1"/>
    </xf>
    <xf numFmtId="0" fontId="9" fillId="9" borderId="125" xfId="1" applyFont="1" applyFill="1" applyBorder="1" applyAlignment="1">
      <alignment horizontal="center" vertical="center" wrapText="1"/>
    </xf>
    <xf numFmtId="0" fontId="9" fillId="9" borderId="47" xfId="1" applyFont="1" applyFill="1" applyBorder="1" applyAlignment="1">
      <alignment horizontal="center" vertical="center"/>
    </xf>
    <xf numFmtId="0" fontId="9" fillId="9" borderId="55" xfId="1" applyFont="1" applyFill="1" applyBorder="1" applyAlignment="1">
      <alignment horizontal="center" vertical="center"/>
    </xf>
    <xf numFmtId="0" fontId="9" fillId="9" borderId="48" xfId="1" applyFont="1" applyFill="1" applyBorder="1" applyAlignment="1">
      <alignment horizontal="center" vertical="center"/>
    </xf>
    <xf numFmtId="0" fontId="6" fillId="3" borderId="90" xfId="0" applyFont="1" applyFill="1" applyBorder="1" applyAlignment="1">
      <alignment horizontal="left" wrapText="1"/>
    </xf>
    <xf numFmtId="0" fontId="6" fillId="3" borderId="91"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vertical="top" wrapText="1"/>
    </xf>
    <xf numFmtId="0" fontId="6" fillId="3" borderId="0" xfId="0" applyFont="1" applyFill="1" applyAlignment="1">
      <alignment wrapText="1"/>
    </xf>
    <xf numFmtId="0" fontId="6" fillId="3" borderId="56" xfId="0" applyFont="1" applyFill="1" applyBorder="1" applyAlignment="1">
      <alignment horizontal="center"/>
    </xf>
    <xf numFmtId="0" fontId="6" fillId="3" borderId="79" xfId="0" applyFont="1" applyFill="1" applyBorder="1" applyAlignment="1">
      <alignment horizontal="center"/>
    </xf>
    <xf numFmtId="0" fontId="6" fillId="3" borderId="50" xfId="0" applyFont="1" applyFill="1" applyBorder="1" applyAlignment="1">
      <alignment horizontal="center"/>
    </xf>
    <xf numFmtId="0" fontId="6" fillId="3" borderId="67" xfId="0" applyFont="1" applyFill="1" applyBorder="1" applyAlignment="1">
      <alignment horizontal="center"/>
    </xf>
  </cellXfs>
  <cellStyles count="4">
    <cellStyle name="Comma" xfId="3" builtinId="3"/>
    <cellStyle name="Normal" xfId="0" builtinId="0"/>
    <cellStyle name="Normal 2" xfId="1" xr:uid="{BC27F4E2-20B8-47A4-9D90-F2F490171813}"/>
    <cellStyle name="Percent" xfId="2" builtinId="5"/>
  </cellStyles>
  <dxfs count="203">
    <dxf>
      <font>
        <b val="0"/>
        <i val="0"/>
        <strike val="0"/>
        <condense val="0"/>
        <extend val="0"/>
        <outline val="0"/>
        <shadow val="0"/>
        <u val="none"/>
        <vertAlign val="baseline"/>
        <sz val="10"/>
        <color auto="1"/>
        <name val="Times New Roman"/>
        <family val="1"/>
        <scheme val="none"/>
      </font>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border diagonalUp="0" diagonalDown="0">
        <left style="thin">
          <color auto="1"/>
        </left>
        <right/>
        <top/>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border diagonalUp="0" diagonalDown="0">
        <left style="thin">
          <color auto="1"/>
        </left>
        <right/>
        <top/>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border diagonalUp="0" diagonalDown="0">
        <left style="thin">
          <color auto="1"/>
        </left>
        <right style="thin">
          <color auto="1"/>
        </right>
        <top style="thin">
          <color auto="1"/>
        </top>
        <bottom style="thin">
          <color auto="1"/>
        </bottom>
        <vertical/>
        <horizontal/>
      </border>
    </dxf>
    <dxf>
      <border outline="0">
        <top style="medium">
          <color indexed="64"/>
        </top>
      </border>
    </dxf>
    <dxf>
      <font>
        <b val="0"/>
        <i val="0"/>
        <strike val="0"/>
        <condense val="0"/>
        <extend val="0"/>
        <outline val="0"/>
        <shadow val="0"/>
        <u val="none"/>
        <vertAlign val="baseline"/>
        <sz val="10"/>
        <color theme="1"/>
        <name val="Times New Roman"/>
        <family val="1"/>
        <scheme val="none"/>
      </font>
    </dxf>
    <dxf>
      <border outline="0">
        <bottom style="double">
          <color indexed="64"/>
        </bottom>
      </border>
    </dxf>
    <dxf>
      <font>
        <b/>
        <i val="0"/>
        <strike val="0"/>
        <condense val="0"/>
        <extend val="0"/>
        <outline val="0"/>
        <shadow val="0"/>
        <u val="none"/>
        <vertAlign val="baseline"/>
        <sz val="10"/>
        <color auto="1"/>
        <name val="Times New Roman"/>
        <family val="1"/>
        <scheme val="none"/>
      </font>
      <fill>
        <patternFill patternType="solid">
          <fgColor indexed="64"/>
          <bgColor rgb="FFD9D9D9"/>
        </patternFill>
      </fill>
      <alignment horizontal="left"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border outline="0">
        <left style="thin">
          <color auto="1"/>
        </left>
        <right style="thin">
          <color auto="1"/>
        </right>
        <bottom style="thin">
          <color auto="1"/>
        </bottom>
      </border>
    </dxf>
    <dxf>
      <font>
        <strike val="0"/>
        <outline val="0"/>
        <shadow val="0"/>
        <u val="none"/>
        <vertAlign val="baseline"/>
        <sz val="10"/>
        <color auto="1"/>
        <name val="Times New Roman"/>
        <family val="1"/>
        <scheme val="none"/>
      </font>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border outline="0">
        <left style="thin">
          <color auto="1"/>
        </left>
        <right style="thin">
          <color auto="1"/>
        </right>
        <bottom style="thin">
          <color auto="1"/>
        </bottom>
      </border>
    </dxf>
    <dxf>
      <font>
        <strike val="0"/>
        <outline val="0"/>
        <shadow val="0"/>
        <u val="none"/>
        <sz val="10"/>
        <name val="Times New Roman"/>
        <family val="1"/>
        <scheme val="none"/>
      </font>
    </dxf>
    <dxf>
      <border outline="0">
        <bottom style="dashed">
          <color auto="1"/>
        </bottom>
      </border>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numFmt numFmtId="166" formatCode="0.0E+00"/>
    </dxf>
    <dxf>
      <numFmt numFmtId="2" formatCode="0.00"/>
    </dxf>
    <dxf>
      <numFmt numFmtId="164" formatCode="0.0"/>
    </dxf>
    <dxf>
      <numFmt numFmtId="1" formatCode="0"/>
    </dxf>
    <dxf>
      <numFmt numFmtId="166" formatCode="0.0E+00"/>
    </dxf>
    <dxf>
      <numFmt numFmtId="172" formatCode="0;0;"/>
    </dxf>
    <dxf>
      <numFmt numFmtId="166" formatCode="0.0E+00"/>
    </dxf>
    <dxf>
      <numFmt numFmtId="2" formatCode="0.00"/>
    </dxf>
    <dxf>
      <numFmt numFmtId="164" formatCode="0.0"/>
    </dxf>
    <dxf>
      <numFmt numFmtId="1" formatCode="0"/>
    </dxf>
    <dxf>
      <numFmt numFmtId="166" formatCode="0.0E+00"/>
    </dxf>
    <dxf>
      <numFmt numFmtId="172" formatCode="0;0;"/>
    </dxf>
    <dxf>
      <numFmt numFmtId="166" formatCode="0.0E+00"/>
    </dxf>
    <dxf>
      <numFmt numFmtId="2" formatCode="0.00"/>
    </dxf>
    <dxf>
      <numFmt numFmtId="164" formatCode="0.0"/>
    </dxf>
    <dxf>
      <numFmt numFmtId="1" formatCode="0"/>
    </dxf>
    <dxf>
      <numFmt numFmtId="166" formatCode="0.0E+00"/>
    </dxf>
    <dxf>
      <numFmt numFmtId="172" formatCode="0;0;"/>
    </dxf>
    <dxf>
      <numFmt numFmtId="166" formatCode="0.0E+00"/>
    </dxf>
    <dxf>
      <numFmt numFmtId="2" formatCode="0.00"/>
    </dxf>
    <dxf>
      <numFmt numFmtId="164" formatCode="0.0"/>
    </dxf>
    <dxf>
      <numFmt numFmtId="1" formatCode="0"/>
    </dxf>
    <dxf>
      <numFmt numFmtId="166" formatCode="0.0E+00"/>
    </dxf>
    <dxf>
      <numFmt numFmtId="172" formatCode="0;0;"/>
    </dxf>
    <dxf>
      <numFmt numFmtId="166" formatCode="0.0E+00"/>
    </dxf>
    <dxf>
      <numFmt numFmtId="2" formatCode="0.00"/>
    </dxf>
    <dxf>
      <numFmt numFmtId="164" formatCode="0.0"/>
    </dxf>
    <dxf>
      <numFmt numFmtId="1" formatCode="0"/>
    </dxf>
    <dxf>
      <numFmt numFmtId="166" formatCode="0.0E+00"/>
    </dxf>
    <dxf>
      <numFmt numFmtId="172" formatCode="0;0;"/>
    </dxf>
    <dxf>
      <numFmt numFmtId="166" formatCode="0.0E+00"/>
    </dxf>
    <dxf>
      <numFmt numFmtId="2" formatCode="0.00"/>
    </dxf>
    <dxf>
      <numFmt numFmtId="164" formatCode="0.0"/>
    </dxf>
    <dxf>
      <numFmt numFmtId="1" formatCode="0"/>
    </dxf>
    <dxf>
      <numFmt numFmtId="166" formatCode="0.0E+00"/>
    </dxf>
    <dxf>
      <numFmt numFmtId="172" formatCode="0;0;"/>
    </dxf>
    <dxf>
      <fill>
        <patternFill>
          <bgColor rgb="FF00B050"/>
        </patternFill>
      </fill>
    </dxf>
    <dxf>
      <fill>
        <patternFill>
          <bgColor theme="5"/>
        </patternFill>
      </fill>
    </dxf>
    <dxf>
      <fill>
        <patternFill>
          <bgColor theme="5"/>
        </patternFill>
      </fill>
    </dxf>
    <dxf>
      <fill>
        <patternFill>
          <bgColor rgb="FF00B050"/>
        </patternFill>
      </fill>
    </dxf>
    <dxf>
      <fill>
        <patternFill>
          <bgColor rgb="FF00B050"/>
        </patternFill>
      </fill>
    </dxf>
    <dxf>
      <fill>
        <patternFill>
          <bgColor theme="5"/>
        </patternFill>
      </fill>
    </dxf>
    <dxf>
      <fill>
        <patternFill>
          <bgColor theme="5"/>
        </patternFill>
      </fill>
    </dxf>
    <dxf>
      <fill>
        <patternFill>
          <bgColor rgb="FF00B050"/>
        </patternFill>
      </fill>
    </dxf>
    <dxf>
      <fill>
        <patternFill>
          <bgColor theme="5"/>
        </patternFill>
      </fill>
    </dxf>
    <dxf>
      <fill>
        <patternFill>
          <bgColor rgb="FF00B050"/>
        </patternFill>
      </fill>
    </dxf>
    <dxf>
      <fill>
        <patternFill>
          <bgColor rgb="FF00B050"/>
        </patternFill>
      </fill>
    </dxf>
    <dxf>
      <numFmt numFmtId="166" formatCode="0.0E+00"/>
    </dxf>
    <dxf>
      <numFmt numFmtId="2" formatCode="0.00"/>
    </dxf>
    <dxf>
      <numFmt numFmtId="164" formatCode="0.0"/>
    </dxf>
    <dxf>
      <numFmt numFmtId="1" formatCode="0"/>
    </dxf>
    <dxf>
      <numFmt numFmtId="166" formatCode="0.0E+00"/>
    </dxf>
    <dxf>
      <numFmt numFmtId="172" formatCode="0;0;"/>
    </dxf>
    <dxf>
      <numFmt numFmtId="3" formatCode="#,##0"/>
    </dxf>
    <dxf>
      <numFmt numFmtId="164" formatCode="0.0"/>
    </dxf>
    <dxf>
      <numFmt numFmtId="166" formatCode="0.0E+00"/>
    </dxf>
    <dxf>
      <fill>
        <patternFill>
          <bgColor theme="0"/>
        </patternFill>
      </fill>
    </dxf>
    <dxf>
      <font>
        <color theme="0"/>
      </font>
      <fill>
        <patternFill>
          <bgColor theme="0"/>
        </patternFill>
      </fill>
    </dxf>
    <dxf>
      <fill>
        <patternFill>
          <bgColor theme="5"/>
        </patternFill>
      </fill>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Times New Roman"/>
        <family val="1"/>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color auto="1"/>
        <name val="Times New Roman"/>
        <family val="1"/>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alignment horizontal="general" vertical="center" textRotation="0" wrapText="1" indent="0" justifyLastLine="0" shrinkToFit="0" readingOrder="0"/>
      <border diagonalUp="0" diagonalDown="0" outline="0">
        <left style="medium">
          <color auto="1"/>
        </left>
        <right style="medium">
          <color auto="1"/>
        </right>
        <top style="thin">
          <color auto="1"/>
        </top>
        <bottom style="thin">
          <color auto="1"/>
        </bottom>
      </border>
    </dxf>
    <dxf>
      <font>
        <strike val="0"/>
        <outline val="0"/>
        <shadow val="0"/>
        <u val="none"/>
        <vertAlign val="baseline"/>
        <sz val="10"/>
        <color auto="1"/>
        <name val="Times New Roman"/>
        <family val="1"/>
        <scheme val="none"/>
      </font>
      <numFmt numFmtId="166" formatCode="0.0E+00"/>
      <fill>
        <patternFill>
          <fgColor indexed="64"/>
          <bgColor theme="0"/>
        </patternFill>
      </fill>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dxf>
    <dxf>
      <border outline="0">
        <right style="thin">
          <color auto="1"/>
        </right>
        <bottom style="thin">
          <color indexed="64"/>
        </bottom>
      </border>
    </dxf>
    <dxf>
      <font>
        <strike val="0"/>
        <outline val="0"/>
        <shadow val="0"/>
        <u val="none"/>
        <vertAlign val="baseline"/>
        <sz val="10"/>
        <name val="Times New Roman"/>
        <family val="1"/>
        <scheme val="none"/>
      </font>
    </dxf>
    <dxf>
      <font>
        <strike val="0"/>
        <outline val="0"/>
        <shadow val="0"/>
        <u val="none"/>
        <sz val="10"/>
        <name val="Times New Roman"/>
        <family val="1"/>
        <scheme val="none"/>
      </font>
    </dxf>
    <dxf>
      <numFmt numFmtId="166" formatCode="0.0E+00"/>
    </dxf>
    <dxf>
      <numFmt numFmtId="2" formatCode="0.00"/>
    </dxf>
    <dxf>
      <numFmt numFmtId="164" formatCode="0.0"/>
    </dxf>
    <dxf>
      <numFmt numFmtId="1" formatCode="0"/>
    </dxf>
    <dxf>
      <numFmt numFmtId="166" formatCode="0.0E+00"/>
    </dxf>
    <dxf>
      <numFmt numFmtId="164" formatCode="0.0"/>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1"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1"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 formatCode="0"/>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numFmt numFmtId="1" formatCode="0"/>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strike val="0"/>
        <outline val="0"/>
        <shadow val="0"/>
        <u val="none"/>
        <vertAlign val="baseline"/>
        <sz val="10"/>
        <color theme="1"/>
        <name val="Times New Roman"/>
        <family val="1"/>
        <scheme val="none"/>
      </font>
      <numFmt numFmtId="15" formatCode="0.00E+00"/>
      <fill>
        <patternFill patternType="none">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strike val="0"/>
        <outline val="0"/>
        <shadow val="0"/>
        <u val="none"/>
        <vertAlign val="baseline"/>
        <sz val="10"/>
        <color theme="1"/>
        <name val="Times New Roman"/>
        <family val="1"/>
        <scheme val="none"/>
      </font>
      <numFmt numFmtId="15" formatCode="0.00E+00"/>
      <fill>
        <patternFill patternType="none">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rgb="FF000000"/>
        <name val="Times New Roman"/>
        <family val="1"/>
        <scheme val="none"/>
      </font>
      <fill>
        <patternFill patternType="solid">
          <fgColor indexed="64"/>
          <bgColor rgb="FFFFFF00"/>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alignment horizontal="general" vertical="center" textRotation="0" wrapText="1"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1" indent="0" justifyLastLine="0" shrinkToFit="0" readingOrder="0"/>
      <border diagonalUp="0" diagonalDown="0">
        <left style="medium">
          <color indexed="64"/>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border outline="0">
        <right style="thin">
          <color auto="1"/>
        </right>
      </border>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auto="1"/>
        <name val="Times New Roman"/>
        <family val="1"/>
        <scheme val="none"/>
      </font>
    </dxf>
    <dxf>
      <numFmt numFmtId="166" formatCode="0.0E+00"/>
    </dxf>
    <dxf>
      <numFmt numFmtId="2" formatCode="0.00"/>
    </dxf>
    <dxf>
      <numFmt numFmtId="164" formatCode="0.0"/>
    </dxf>
    <dxf>
      <numFmt numFmtId="1" formatCode="0"/>
    </dxf>
    <dxf>
      <numFmt numFmtId="166" formatCode="0.0E+00"/>
    </dxf>
    <dxf>
      <fill>
        <patternFill>
          <bgColor rgb="FFFFC7CE"/>
        </patternFill>
      </fill>
    </dxf>
    <dxf>
      <font>
        <b val="0"/>
        <i/>
      </font>
      <fill>
        <patternFill>
          <bgColor theme="0" tint="-0.14996795556505021"/>
        </patternFill>
      </fill>
    </dxf>
    <dxf>
      <numFmt numFmtId="166" formatCode="0.0E+00"/>
    </dxf>
    <dxf>
      <numFmt numFmtId="2" formatCode="0.00"/>
    </dxf>
    <dxf>
      <numFmt numFmtId="164" formatCode="0.0"/>
    </dxf>
    <dxf>
      <numFmt numFmtId="1" formatCode="0"/>
    </dxf>
    <dxf>
      <numFmt numFmtId="166" formatCode="0.0E+00"/>
    </dxf>
    <dxf>
      <font>
        <b val="0"/>
        <i/>
      </font>
      <fill>
        <patternFill>
          <bgColor theme="0" tint="-0.14996795556505021"/>
        </patternFill>
      </fill>
    </dxf>
    <dxf>
      <fill>
        <patternFill>
          <bgColor theme="5"/>
        </patternFill>
      </fill>
    </dxf>
    <dxf>
      <fill>
        <patternFill>
          <bgColor rgb="FF00B050"/>
        </patternFill>
      </fill>
    </dxf>
    <dxf>
      <font>
        <b val="0"/>
        <i/>
      </font>
      <fill>
        <patternFill>
          <bgColor theme="0" tint="-0.14996795556505021"/>
        </patternFill>
      </fill>
    </dxf>
    <dxf>
      <fill>
        <patternFill>
          <bgColor theme="5"/>
        </patternFill>
      </fill>
    </dxf>
    <dxf>
      <fill>
        <patternFill>
          <bgColor rgb="FF00B050"/>
        </patternFill>
      </fill>
    </dxf>
    <dxf>
      <numFmt numFmtId="166" formatCode="0.0E+00"/>
    </dxf>
    <dxf>
      <numFmt numFmtId="2" formatCode="0.00"/>
    </dxf>
    <dxf>
      <numFmt numFmtId="164" formatCode="0.0"/>
    </dxf>
    <dxf>
      <numFmt numFmtId="1" formatCode="0"/>
    </dxf>
    <dxf>
      <numFmt numFmtId="166" formatCode="0.0E+00"/>
    </dxf>
    <dxf>
      <font>
        <b val="0"/>
        <i/>
      </font>
      <fill>
        <patternFill>
          <bgColor theme="0" tint="-0.14996795556505021"/>
        </patternFill>
      </fill>
    </dxf>
    <dxf>
      <font>
        <b val="0"/>
        <i/>
      </font>
      <fill>
        <patternFill>
          <bgColor theme="0" tint="-0.14996795556505021"/>
        </patternFill>
      </fill>
    </dxf>
    <dxf>
      <fill>
        <patternFill>
          <bgColor rgb="FF00B050"/>
        </patternFill>
      </fill>
    </dxf>
    <dxf>
      <font>
        <b val="0"/>
        <i/>
      </font>
      <fill>
        <patternFill>
          <bgColor theme="0" tint="-0.14996795556505021"/>
        </patternFill>
      </fill>
    </dxf>
    <dxf>
      <fill>
        <patternFill>
          <bgColor theme="5"/>
        </patternFill>
      </fill>
    </dxf>
    <dxf>
      <numFmt numFmtId="15" formatCode="0.00E+00"/>
    </dxf>
    <dxf>
      <numFmt numFmtId="2" formatCode="0.00"/>
    </dxf>
    <dxf>
      <numFmt numFmtId="164" formatCode="0.0"/>
    </dxf>
    <dxf>
      <numFmt numFmtId="1" formatCode="0"/>
    </dxf>
    <dxf>
      <numFmt numFmtId="166" formatCode="0.0E+00"/>
    </dxf>
    <dxf>
      <font>
        <b val="0"/>
        <i/>
      </font>
      <fill>
        <patternFill>
          <bgColor theme="0" tint="-0.14996795556505021"/>
        </patternFill>
      </fill>
    </dxf>
  </dxfs>
  <tableStyles count="0" defaultTableStyle="TableStyleMedium2" defaultPivotStyle="PivotStyleLight16"/>
  <colors>
    <mruColors>
      <color rgb="FFF04B18"/>
      <color rgb="FFD43D0E"/>
      <color rgb="FFF15A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Aggregate Cancer Risk Estimates</a:t>
            </a:r>
          </a:p>
        </c:rich>
      </c:tx>
      <c:layout>
        <c:manualLayout>
          <c:xMode val="edge"/>
          <c:yMode val="edge"/>
          <c:x val="0.36062458254174651"/>
          <c:y val="3.74142531318897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201544053601726"/>
          <c:y val="0.21054931230848406"/>
          <c:w val="0.59535948857066312"/>
          <c:h val="0.64409953815536147"/>
        </c:manualLayout>
      </c:layout>
      <c:barChart>
        <c:barDir val="bar"/>
        <c:grouping val="stacked"/>
        <c:varyColors val="0"/>
        <c:ser>
          <c:idx val="4"/>
          <c:order val="0"/>
          <c:tx>
            <c:strRef>
              <c:f>Dashboard!#REF!</c:f>
              <c:strCache>
                <c:ptCount val="1"/>
                <c:pt idx="0">
                  <c:v>#REF!</c:v>
                </c:pt>
              </c:strCache>
            </c:strRef>
          </c:tx>
          <c:spPr>
            <a:solidFill>
              <a:schemeClr val="accent5"/>
            </a:solidFill>
            <a:ln>
              <a:noFill/>
            </a:ln>
            <a:effectLst/>
          </c:spPr>
          <c:invertIfNegative val="0"/>
          <c:val>
            <c:numRef>
              <c:f>Dashboard!#REF!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Dashboard!#REF!</c15:sqref>
                        </c15:formulaRef>
                      </c:ext>
                    </c:extLst>
                  </c:multiLvlStrRef>
                </c15:cat>
              </c15:filteredCategoryTitle>
            </c:ext>
            <c:ext xmlns:c16="http://schemas.microsoft.com/office/drawing/2014/chart" uri="{C3380CC4-5D6E-409C-BE32-E72D297353CC}">
              <c16:uniqueId val="{00000000-3B55-4CB3-BDAB-2D02D0235C9D}"/>
            </c:ext>
          </c:extLst>
        </c:ser>
        <c:ser>
          <c:idx val="0"/>
          <c:order val="1"/>
          <c:tx>
            <c:strRef>
              <c:f>Dashboard!#REF!</c:f>
              <c:strCache>
                <c:ptCount val="1"/>
                <c:pt idx="0">
                  <c:v>#REF!</c:v>
                </c:pt>
              </c:strCache>
            </c:strRef>
          </c:tx>
          <c:spPr>
            <a:solidFill>
              <a:schemeClr val="accent1"/>
            </a:solidFill>
            <a:ln>
              <a:noFill/>
            </a:ln>
            <a:effectLst/>
          </c:spPr>
          <c:invertIfNegative val="0"/>
          <c:val>
            <c:numRef>
              <c:f>Dashboard!#REF!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Dashboard!#REF!</c15:sqref>
                        </c15:formulaRef>
                      </c:ext>
                    </c:extLst>
                  </c:multiLvlStrRef>
                </c15:cat>
              </c15:filteredCategoryTitle>
            </c:ext>
            <c:ext xmlns:c16="http://schemas.microsoft.com/office/drawing/2014/chart" uri="{C3380CC4-5D6E-409C-BE32-E72D297353CC}">
              <c16:uniqueId val="{00000003-3B55-4CB3-BDAB-2D02D0235C9D}"/>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4-3B55-4CB3-BDAB-2D02D0235C9D}"/>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5-3B55-4CB3-BDAB-2D02D0235C9D}"/>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6-3B55-4CB3-BDAB-2D02D0235C9D}"/>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0"/>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000">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chemeClr val="tx1"/>
          </a:solidFill>
        </a:ln>
        <a:effectLst/>
      </c:spPr>
    </c:plotArea>
    <c:legend>
      <c:legendPos val="r"/>
      <c:legendEntry>
        <c:idx val="2"/>
        <c:delete val="1"/>
      </c:legendEntry>
      <c:legendEntry>
        <c:idx val="3"/>
        <c:delete val="1"/>
      </c:legendEntry>
      <c:legendEntry>
        <c:idx val="4"/>
        <c:delete val="1"/>
      </c:legendEntry>
      <c:layout>
        <c:manualLayout>
          <c:xMode val="edge"/>
          <c:yMode val="edge"/>
          <c:x val="0.84666892501423174"/>
          <c:y val="0.46328339630668497"/>
          <c:w val="0.14389088631019784"/>
          <c:h val="0.122340157048809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18</xdr:col>
      <xdr:colOff>338667</xdr:colOff>
      <xdr:row>30</xdr:row>
      <xdr:rowOff>42334</xdr:rowOff>
    </xdr:from>
    <xdr:to>
      <xdr:col>23</xdr:col>
      <xdr:colOff>304272</xdr:colOff>
      <xdr:row>55</xdr:row>
      <xdr:rowOff>0</xdr:rowOff>
    </xdr:to>
    <xdr:graphicFrame macro="">
      <xdr:nvGraphicFramePr>
        <xdr:cNvPr id="4" name="Chart 3">
          <a:extLst>
            <a:ext uri="{FF2B5EF4-FFF2-40B4-BE49-F238E27FC236}">
              <a16:creationId xmlns:a16="http://schemas.microsoft.com/office/drawing/2014/main" id="{C55DC01D-AACD-4CAE-9642-850E08A36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3</xdr:row>
      <xdr:rowOff>102869</xdr:rowOff>
    </xdr:from>
    <xdr:to>
      <xdr:col>5</xdr:col>
      <xdr:colOff>864870</xdr:colOff>
      <xdr:row>7</xdr:row>
      <xdr:rowOff>252888</xdr:rowOff>
    </xdr:to>
    <xdr:sp macro="" textlink="">
      <xdr:nvSpPr>
        <xdr:cNvPr id="4" name="TextBox 3">
          <a:extLst>
            <a:ext uri="{FF2B5EF4-FFF2-40B4-BE49-F238E27FC236}">
              <a16:creationId xmlns:a16="http://schemas.microsoft.com/office/drawing/2014/main" id="{2C23DA81-FB55-437E-9302-C2E02213CA4A}"/>
            </a:ext>
          </a:extLst>
        </xdr:cNvPr>
        <xdr:cNvSpPr txBox="1"/>
      </xdr:nvSpPr>
      <xdr:spPr>
        <a:xfrm>
          <a:off x="257175" y="1314449"/>
          <a:ext cx="4288155" cy="126253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Risk &gt; Benchmark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Risk ≤ Benchmark Risk Level</a:t>
          </a:r>
          <a:endParaRPr lang="en-US" sz="1000" i="1">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889635</xdr:colOff>
      <xdr:row>6</xdr:row>
      <xdr:rowOff>87629</xdr:rowOff>
    </xdr:from>
    <xdr:to>
      <xdr:col>5</xdr:col>
      <xdr:colOff>843915</xdr:colOff>
      <xdr:row>10</xdr:row>
      <xdr:rowOff>121920</xdr:rowOff>
    </xdr:to>
    <xdr:sp macro="" textlink="">
      <xdr:nvSpPr>
        <xdr:cNvPr id="3" name="TextBox 2">
          <a:extLst>
            <a:ext uri="{FF2B5EF4-FFF2-40B4-BE49-F238E27FC236}">
              <a16:creationId xmlns:a16="http://schemas.microsoft.com/office/drawing/2014/main" id="{00C24D45-490A-452B-9CC3-B52F76EE2535}"/>
            </a:ext>
          </a:extLst>
        </xdr:cNvPr>
        <xdr:cNvSpPr txBox="1"/>
      </xdr:nvSpPr>
      <xdr:spPr>
        <a:xfrm>
          <a:off x="1621155" y="2068829"/>
          <a:ext cx="4114800" cy="108585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Risk &gt; Benchmark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Risk ≤ Benchmark Risk Level</a:t>
          </a:r>
          <a:endParaRPr lang="en-US" sz="1000" i="1">
            <a:solidFill>
              <a:schemeClr val="dk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asternresearchgroup.sharepoint.com/sites/TSCARiskEvaluations/Shared%20Documents/D4%20siloxane/Exposures/D4%20Inhalation%20Exposure%20Data%20Summary_11.01.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HERO-OES Tracking"/>
      <sheetName val="Manufacture W-ONU Key"/>
      <sheetName val="Read Me"/>
      <sheetName val="Exposure Summary"/>
      <sheetName val="Constants"/>
      <sheetName val="Column Header Key"/>
      <sheetName val="OES with Consortium Data_Calcs"/>
      <sheetName val="OES with Consortium Data_Raw"/>
      <sheetName val="Processing as a Reactant"/>
      <sheetName val="Spray App. of Paints Coatings"/>
      <sheetName val="Use of Adhesives and Sealants"/>
      <sheetName val="Aircraft Maintenance (CC)"/>
      <sheetName val="Aircraft Maintenance (PEN)"/>
      <sheetName val="Use of Auto Detailing Products"/>
      <sheetName val="Use of Animal Grooming Products"/>
      <sheetName val="Use of Cleaning Products"/>
      <sheetName val="Use of Laundry - Institutional"/>
      <sheetName val="Use of Laundry - Industrial"/>
      <sheetName val="Use of Printing Inks"/>
      <sheetName val="Waste Handling, Treatment, Disp"/>
      <sheetName val="Unknown"/>
    </sheetNames>
    <sheetDataSet>
      <sheetData sheetId="0"/>
      <sheetData sheetId="1"/>
      <sheetData sheetId="2"/>
      <sheetData sheetId="3"/>
      <sheetData sheetId="4"/>
      <sheetData sheetId="5">
        <row r="10">
          <cell r="C10">
            <v>24</v>
          </cell>
        </row>
        <row r="11">
          <cell r="C11">
            <v>30</v>
          </cell>
        </row>
        <row r="18">
          <cell r="C18">
            <v>2.0408163265306123</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Rappold, Joseph" id="{3560D488-DB46-45E8-873F-59BFA1B9DC36}" userId="S::rappold.joseph@epa.gov::28f25295-2c85-464c-9acf-16994efc5b7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401935-84AF-4270-8FB1-5E2E43DBF2D4}" name="Inhalation_Exp" displayName="Inhalation_Exp" ref="A4:T109" totalsRowShown="0" headerRowDxfId="168" dataDxfId="167">
  <autoFilter ref="A4:T109" xr:uid="{D8401935-84AF-4270-8FB1-5E2E43DBF2D4}"/>
  <tableColumns count="20">
    <tableColumn id="1" xr3:uid="{8B9E498B-E535-487D-BD43-3A1DC38F8269}" name="Column1" dataDxfId="166"/>
    <tableColumn id="2" xr3:uid="{031D3ED0-7732-4916-93A6-570184F31658}" name="Occupational Exposure Scenario (OES) Group" dataDxfId="165"/>
    <tableColumn id="3" xr3:uid="{C54AC08B-2171-4932-9675-344FCE6A4CAE}" name="OES" dataDxfId="164"/>
    <tableColumn id="12" xr3:uid="{9B558F41-4A1D-4BF2-9D2C-E46111FB94A3}" name="Similar Exposure Group (SEG)" dataDxfId="163"/>
    <tableColumn id="4" xr3:uid="{F737B7D7-234B-4298-9FE4-C56434A78344}" name="Worker Type" dataDxfId="162"/>
    <tableColumn id="5" xr3:uid="{89394E55-C669-41DA-8B58-BEB3216B6932}" name="Exposure Scenario" dataDxfId="161"/>
    <tableColumn id="6" xr3:uid="{CDFD586A-A503-40F6-B1F2-119C056FF477}" name="ED_High-End" dataDxfId="160"/>
    <tableColumn id="7" xr3:uid="{1E4E25BD-BB7A-4F49-9926-3FF8EB0F649B}" name="ED_Central Tendency" dataDxfId="159"/>
    <tableColumn id="8" xr3:uid="{1F235D25-0699-476A-999A-BAE54EB68501}" name="TWA_High-End" dataDxfId="158"/>
    <tableColumn id="9" xr3:uid="{7CE221CF-6ABC-4C39-BB1F-EE22EB921A7E}" name="TWA_Central Tendency" dataDxfId="157"/>
    <tableColumn id="14" xr3:uid="{D8D13849-0619-4A64-8E83-8771B61FFED2}" name="24hr_High-End" dataDxfId="156">
      <calculatedColumnFormula>Inhalation_Exp[[#This Row],[TWA_High-End]]*IF(Inhalation_Exp[[#This Row],[Exposure Scenario]]="8-hr",ED_8,IF(Inhalation_Exp[[#This Row],[Exposure Scenario]]="10-hr",ED_10,ED_12))*WorkBreathRate/(WorkRestRate*AT)</calculatedColumnFormula>
    </tableColumn>
    <tableColumn id="15" xr3:uid="{59BA6381-8B7F-4F1F-A431-183C58C00B76}" name="24hr_Central Tendency" dataDxfId="155">
      <calculatedColumnFormula>Inhalation_Exp[[#This Row],[TWA_Central Tendency]]*IF(Inhalation_Exp[[#This Row],[Exposure Scenario]]="8-hr",ED_8,IF(Inhalation_Exp[[#This Row],[Exposure Scenario]]="10-hr",ED_10,ED_12))*WorkBreathRate/(WorkRestRate*AT)</calculatedColumnFormula>
    </tableColumn>
    <tableColumn id="18" xr3:uid="{34A66C89-4510-4FFE-8377-0BAD909E0C24}" name="Int_High-End" dataDxfId="154">
      <calculatedColumnFormula>IF(EFID&gt;Inhalation_Exp[[#This Row],[ED_High-End]],Inhalation_Exp[[#This Row],[24hr_High-End]]*Inhalation_Exp[[#This Row],[ED_High-End]]/ID,Inhalation_Exp[[#This Row],[24hr_High-End]]*EFID/ID)</calculatedColumnFormula>
    </tableColumn>
    <tableColumn id="19" xr3:uid="{72F83336-E929-4C33-964A-3EB6EB40A105}" name="Int_Central Tendency" dataDxfId="153">
      <calculatedColumnFormula>IF(EFID&gt;Inhalation_Exp[[#This Row],[ED_Central Tendency]],Inhalation_Exp[[#This Row],[24hr_Central Tendency]]*Inhalation_Exp[[#This Row],[ED_Central Tendency]]/ID,Inhalation_Exp[[#This Row],[24hr_Central Tendency]]*EFID/ID)</calculatedColumnFormula>
    </tableColumn>
    <tableColumn id="24" xr3:uid="{2EF85EA6-053F-499C-9BF0-0F5656E94B6D}" name="ADC_High-End" dataDxfId="152">
      <calculatedColumnFormula>IF(Inhalation_Exp[[#This Row],[Similar Exposure Group (SEG)]]="ONU",P4,Inhalation_Exp[[#This Row],[24hr_High-End]]*Inhalation_Exp[[#This Row],[ED_High-End]]*WY_high/(AT_ADC_high))</calculatedColumnFormula>
    </tableColumn>
    <tableColumn id="25" xr3:uid="{36CF039B-AE1A-42DA-856B-8E000BED49A0}" name="ADC_Central Tendency" dataDxfId="151">
      <calculatedColumnFormula>Inhalation_Exp[[#This Row],[24hr_Central Tendency]]*Inhalation_Exp[[#This Row],[ED_Central Tendency]]*WY_mid/(AT_ADC_mid)</calculatedColumnFormula>
    </tableColumn>
    <tableColumn id="20" xr3:uid="{D66C692A-95A3-46A6-B519-23B552732334}" name="Eight-Hour TWA Data Points" dataDxfId="150"/>
    <tableColumn id="11" xr3:uid="{01759B76-7CED-438F-B852-EBE0645D8C7E}" name="Physical Form (Vapor or Mist)" dataDxfId="149"/>
    <tableColumn id="22" xr3:uid="{3D024B1C-C570-43E2-A1C7-77868DE73688}" name="Sources &amp; Notes" dataDxfId="148"/>
    <tableColumn id="23" xr3:uid="{14E1BB3A-BA6D-4CB5-8802-3B7332A0EEA5}" name="Data Type" dataDxfId="14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E0F39C-8328-4698-9F18-12CEF82BB456}" name="Dermal_Exp" displayName="Dermal_Exp" ref="A3:Y74" totalsRowShown="0" headerRowDxfId="140" dataDxfId="139" tableBorderDxfId="138">
  <autoFilter ref="A3:Y74" xr:uid="{4DE0F39C-8328-4698-9F18-12CEF82BB456}"/>
  <tableColumns count="25">
    <tableColumn id="5" xr3:uid="{0201E299-ACE7-41CE-89FF-44176D0FE674}" name="OES Group" dataDxfId="137"/>
    <tableColumn id="2" xr3:uid="{01B060B3-40B7-4FDE-AA23-E13A2121A0C7}" name="OES" dataDxfId="136"/>
    <tableColumn id="36" xr3:uid="{AD419C1E-DE3F-4ECB-B1EF-D3C14D335CEE}" name="Similar Exposure Group (SEG)" dataDxfId="135"/>
    <tableColumn id="11" xr3:uid="{2F31C538-873A-4287-9C89-B20290605EE9}" name="Worker Type" dataDxfId="134"/>
    <tableColumn id="38" xr3:uid="{56EB1A6C-9C5A-481A-8D0B-55B25303F903}" name="Physical Form" dataDxfId="133"/>
    <tableColumn id="15" xr3:uid="{09FB3A97-F5BB-497E-AC8B-2A9851E19DA9}" name="Liquid or Mist" dataDxfId="132"/>
    <tableColumn id="39" xr3:uid="{A7F2C8A7-1966-40B4-BDC1-CBF8E0C0CDEB}" name="Solid" dataDxfId="131"/>
    <tableColumn id="10" xr3:uid="{116A4532-98BD-4EDF-B594-BE709576A9B6}" name="EF_High-End" dataDxfId="130"/>
    <tableColumn id="9" xr3:uid="{4B7F3F7C-93BF-4171-87B1-BBB8D1899EA6}" name="EF_Central Tendency" dataDxfId="129"/>
    <tableColumn id="20" xr3:uid="{A7B43963-4F6C-45BD-9DE4-52F8606D6EB4}" name="FT_High-End" dataDxfId="128"/>
    <tableColumn id="21" xr3:uid="{7FA8E19C-C7AA-4C57-B49F-F2F5BD557179}" name="FT_Central Tendency" dataDxfId="127"/>
    <tableColumn id="22" xr3:uid="{97DDF3D8-386F-422A-9A46-118241676E1D}" name="SA_High-End (Two hands)" dataDxfId="126">
      <calculatedColumnFormula>IF(Dermal_Exp[[#This Row],[Worker Type]]="ONU",AH1_cm2_F,AH2_cm2_F)</calculatedColumnFormula>
    </tableColumn>
    <tableColumn id="23" xr3:uid="{36E434C8-6E5C-4F64-B7C9-3DA3FE9A2EC2}" name="SA_Central Tendency (One hand)" dataDxfId="125">
      <calculatedColumnFormula>AH1_cm2_F</calculatedColumnFormula>
    </tableColumn>
    <tableColumn id="24" xr3:uid="{09068286-674C-45F1-8833-38D0729796DB}" name="Qu_High-End (Liquid or Mist)" dataDxfId="124">
      <calculatedColumnFormula>IF(Dermal_Exp[[#This Row],[Physical Form]]="Liquid",2.1,IF(Dermal_Exp[[#This Row],[Physical Form]]="Solid",0,IF(Dermal_Exp[[#This Row],[Physical Form]]="Liquid &amp; Solid",2.1,IF(Dermal_Exp[[#This Row],[Similar Exposure Group (SEG)]]="ONU",1.4,10.3))))</calculatedColumnFormula>
    </tableColumn>
    <tableColumn id="25" xr3:uid="{CA168633-6DD1-48F3-85FC-9978E6162355}" name="Qu_Central Tendency (Liquid or Mist)" dataDxfId="123">
      <calculatedColumnFormula>IF(Dermal_Exp[[#This Row],[Physical Form]]="Liquid",1.4,IF(Dermal_Exp[[#This Row],[Physical Form]]="Solid",0,IF(Dermal_Exp[[#This Row],[Physical Form]]="Liquid &amp; Solid",1.4,IF(Dermal_Exp[[#This Row],[Similar Exposure Group (SEG)]]="ONU",1.4,3.8))))</calculatedColumnFormula>
    </tableColumn>
    <tableColumn id="40" xr3:uid="{1C357241-D28C-483E-8D4A-BD4E16673BF0}" name="Qu_High-End (Solid)" dataDxfId="122">
      <calculatedColumnFormula>IF(Dermal_Exp[[#This Row],[Physical Form]]="Liquid",0,IF(Dermal_Exp[[#This Row],[Physical Form]]="Solid",1100/Dermal_Exp[[#This Row],[SA_High-End (Two hands)]],IF(Dermal_Exp[[#This Row],[Physical Form]]="Liquid &amp; Solid",1100/Dermal_Exp[[#This Row],[SA_High-End (Two hands)]],0)))</calculatedColumnFormula>
    </tableColumn>
    <tableColumn id="41" xr3:uid="{D52F7F7D-D66D-4567-B9E3-3D2E618F8F72}" name="Qu_Central Tendency (Solid)" dataDxfId="121">
      <calculatedColumnFormula>IF(Dermal_Exp[[#This Row],[Physical Form]]="Liquid",0,IF(Dermal_Exp[[#This Row],[Physical Form]]="Solid",450/Dermal_Exp[[#This Row],[SA_Central Tendency (One hand)]],IF(Dermal_Exp[[#This Row],[Physical Form]]="Liquid &amp; Solid",450/Dermal_Exp[[#This Row],[SA_Central Tendency (One hand)]],0)))</calculatedColumnFormula>
    </tableColumn>
    <tableColumn id="26" xr3:uid="{C009061E-3785-4353-B834-C0CACA9DD929}" name="APDR_High-End" dataDxfId="120">
      <calculatedColumnFormula>IFERROR(Dermal_Exp[[#This Row],[SA_High-End (Two hands)]]*(Dermal_Exp[[#This Row],[Qu_High-End (Liquid or Mist)]]*Dermal_Exp[[#This Row],[Liquid or Mist]]+Dermal_Exp[[#This Row],[Qu_High-End (Solid)]]*Dermal_Exp[[#This Row],[Solid]])*Dermal_Exp[[#This Row],[FT_High-End]],"Not Assessed")</calculatedColumnFormula>
    </tableColumn>
    <tableColumn id="27" xr3:uid="{C9DCB497-0554-4F01-9904-4A0CB73C9814}" name="APDR_Central Tendency" dataDxfId="119">
      <calculatedColumnFormula>IFERROR(Dermal_Exp[[#This Row],[SA_Central Tendency (One hand)]]*(Dermal_Exp[[#This Row],[Qu_Central Tendency (Liquid or Mist)]]*Dermal_Exp[[#This Row],[Liquid or Mist]]+Dermal_Exp[[#This Row],[Qu_Central Tendency (Solid)]]*Dermal_Exp[[#This Row],[Solid]])*Dermal_Exp[[#This Row],[FT_Central Tendency]],"Not Assessed")</calculatedColumnFormula>
    </tableColumn>
    <tableColumn id="28" xr3:uid="{70279970-9C85-4054-99D9-461FC4A528FB}" name="AAD_High-End" dataDxfId="118">
      <calculatedColumnFormula>IFERROR(Dermal_Exp[[#This Row],[APDR_High-End]]/BW_F,"Not Assessed")</calculatedColumnFormula>
    </tableColumn>
    <tableColumn id="29" xr3:uid="{E2F57F1B-1C44-44D9-A13B-D3301FF5E4EE}" name="AAD_Central Tendency" dataDxfId="117">
      <calculatedColumnFormula>IFERROR(Dermal_Exp[[#This Row],[APDR_Central Tendency]]/BW_F,"Not Assessed")</calculatedColumnFormula>
    </tableColumn>
    <tableColumn id="30" xr3:uid="{B9B2B4C0-3663-4356-859D-32B50B33427A}" name="IADD_High-End" dataDxfId="116">
      <calculatedColumnFormula>IFERROR(Dermal_Exp[[#This Row],[AAD_High-End]]*IF(Dermal_Exp[[#This Row],[EF_High-End]]&gt;EFID,EFID,Dermal_Exp[[#This Row],[EF_High-End]])/ID,"Not Assessed")</calculatedColumnFormula>
    </tableColumn>
    <tableColumn id="31" xr3:uid="{61C36318-FCBF-4EED-8FBC-8E24811BADBE}" name="IADD_Central Tendency" dataDxfId="115">
      <calculatedColumnFormula>IFERROR(Dermal_Exp[[#This Row],[AAD_Central Tendency]]*IF(Dermal_Exp[[#This Row],[EF_Central Tendency]]&gt;EFID,EFID,Dermal_Exp[[#This Row],[EF_Central Tendency]])/ID,"Not Assessed")</calculatedColumnFormula>
    </tableColumn>
    <tableColumn id="32" xr3:uid="{CA2867CE-C417-4714-9DDF-4CCA95106E24}" name="AADD_High-End" dataDxfId="114">
      <calculatedColumnFormula>IFERROR(Dermal_Exp[[#This Row],[AAD_High-End]]*Dermal_Exp[[#This Row],[EF_High-End]]*WY_high/(365*WY_high),"Not Assessed")</calculatedColumnFormula>
    </tableColumn>
    <tableColumn id="33" xr3:uid="{9F08B8E9-3693-462A-AE46-803F08DC7ED2}" name="AADD_Central Tendency" dataDxfId="113">
      <calculatedColumnFormula>IFERROR(Dermal_Exp[[#This Row],[AAD_Central Tendency]]*Dermal_Exp[[#This Row],[EF_Central Tendency]]*WY_mid/(365*WY_mid),"Not Assessed")</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3DC64D-8EB3-4501-870A-D2291E5D1931}" name="Tox_Table" displayName="Tox_Table" ref="B11:L16" totalsRowShown="0" headerRowDxfId="53" dataDxfId="51" headerRowBorderDxfId="52" tableBorderDxfId="50">
  <autoFilter ref="B11:L16" xr:uid="{E33DC64D-8EB3-4501-870A-D2291E5D1931}"/>
  <tableColumns count="11">
    <tableColumn id="1" xr3:uid="{EE67F4A7-6CA6-4037-85CB-90F21462F8D8}" name="Exposure Type" dataDxfId="49"/>
    <tableColumn id="3" xr3:uid="{8043AA1D-35D8-4428-A2DB-4CD78DBBEADD}" name="Health Effect" dataDxfId="48"/>
    <tableColumn id="4" xr3:uid="{3E18B802-0F43-4860-ACE8-BECBFB6A254B}" name="Endpoint" dataDxfId="47"/>
    <tableColumn id="5" xr3:uid="{3832D19D-7F09-45DE-8FF8-E748D2DF228E}" name="Study" dataDxfId="46"/>
    <tableColumn id="6" xr3:uid="{86FA5EF5-8257-4B7D-B67F-81533F26169D}" name="Code" dataDxfId="45"/>
    <tableColumn id="7" xr3:uid="{167C2AF7-F3D6-4569-BA48-0421171478DF}" name="HEC (mg/m3)" dataDxfId="44"/>
    <tableColumn id="8" xr3:uid="{CBBF44F9-78BA-4F5D-B479-0AE98FEBF3BF}" name="HEC (ppm)" dataDxfId="43"/>
    <tableColumn id="9" xr3:uid="{BEF18460-7978-4A17-89D2-4AE396E867BC}" name="HED / POD (mg/kg/day)" dataDxfId="42"/>
    <tableColumn id="10" xr3:uid="{9E0456CF-018C-45C3-867D-D19DEF864DBE}" name="Benchmark MOE" dataDxfId="41"/>
    <tableColumn id="11" xr3:uid="{8A108CB0-4931-41ED-BAFA-789F9D4AC56A}" name="IUR (ppm-1)" dataDxfId="40"/>
    <tableColumn id="12" xr3:uid="{6108CA2F-F7B0-4D12-AEB6-AE3B95A6A2DD}" name="CSF (mg/kg-day-1)" dataDxfId="3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7559093-7373-429C-8127-29E318B09181}" name="AEGL_Table" displayName="AEGL_Table" ref="B5:K7" totalsRowShown="0" headerRowDxfId="38" dataDxfId="37" tableBorderDxfId="36">
  <autoFilter ref="B5:K7" xr:uid="{77559093-7373-429C-8127-29E318B09181}"/>
  <tableColumns count="10">
    <tableColumn id="1" xr3:uid="{E09A7697-B506-4F05-8E1E-79D8EA865ACB}" name="Column1" dataDxfId="35"/>
    <tableColumn id="3" xr3:uid="{C788C624-DA81-49B0-8B69-054D97CFFA8C}" name="Toxicity Endpoint" dataDxfId="34"/>
    <tableColumn id="4" xr3:uid="{F86D2B03-EBA9-4512-9A55-456C97028BF6}" name="Study" dataDxfId="33"/>
    <tableColumn id="5" xr3:uid="{A7D48F76-C8C6-471E-B609-F3652DCF0AFD}" name="Code" dataDxfId="32"/>
    <tableColumn id="6" xr3:uid="{2CD20B61-A298-438F-A315-51319315A567}" name="AEGL-1 HEC (mg/m3)" dataDxfId="31"/>
    <tableColumn id="7" xr3:uid="{A3BEF587-F8BD-49BC-9BAF-C3CEC1AC28A7}" name="AEGL-1 HEC (ppm)" dataDxfId="30"/>
    <tableColumn id="8" xr3:uid="{647F1209-AF4A-4FB1-90F2-7FFB5644970E}" name="AEGL-2 HEC (mg/m3)" dataDxfId="29"/>
    <tableColumn id="9" xr3:uid="{ED1AEC0B-DEA7-433A-BF7A-BC77E3385ED2}" name="AEGL-2 HEC (ppm)" dataDxfId="28"/>
    <tableColumn id="10" xr3:uid="{0C4B6FE2-A202-4184-A282-CFEFF98F5C3C}" name="AEGL-3 HEC (mg/m3)" dataDxfId="27"/>
    <tableColumn id="11" xr3:uid="{3AA98D77-89DB-4638-B474-ADB02DA19559}" name="AEGL-3 HEC (ppm)"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4A306DF-E10D-402E-964F-55AE6A18A536}" name="Table5" displayName="Table5" ref="L3:AJ10" totalsRowShown="0" headerRowDxfId="25" dataDxfId="23" headerRowBorderDxfId="24" tableBorderDxfId="22" headerRowCellStyle="Normal 2">
  <autoFilter ref="L3:AJ10" xr:uid="{64A306DF-E10D-402E-964F-55AE6A18A536}"/>
  <tableColumns count="25">
    <tableColumn id="1" xr3:uid="{02D60BE4-571B-4410-B534-D6FAA050EB5B}" name="Manufacturing" dataDxfId="21"/>
    <tableColumn id="2" xr3:uid="{69796367-B268-4ACB-8F9E-E0EF7C34A557}" name="Import - Repackaging" dataDxfId="20"/>
    <tableColumn id="3" xr3:uid="{B225D6D5-4736-4D0D-A63B-DD4A3AC4CA45}" name="Processing as a Reactant" dataDxfId="19"/>
    <tableColumn id="4" xr3:uid="{A38ACBB0-7221-46CD-888D-D7413E2C578D}" name="Formulation of Paints and Coatings" dataDxfId="18"/>
    <tableColumn id="5" xr3:uid="{75F43810-C499-4753-ADCE-EE500044FEC7}" name="Spray Application of Paints and Coatings - 1-day application" dataDxfId="17"/>
    <tableColumn id="6" xr3:uid="{1811BE6F-A8E5-46D4-A638-EB43FF3A7836}" name="Spray Application of Paints and Coatings - 2-day application" dataDxfId="16"/>
    <tableColumn id="7" xr3:uid="{63E4048C-2B43-4953-B80C-3506E89FC204}" name="Spray Application of Paints and Coatings - 250-day application" dataDxfId="15"/>
    <tableColumn id="8" xr3:uid="{5968BF6A-E9E1-4B5D-9F9A-246135AF3097}" name="Formulation of Adhesives (Neat D4)" dataDxfId="14"/>
    <tableColumn id="9" xr3:uid="{BC9D65BF-C23B-48D8-904E-9A498C61B656}" name="Formulation of Adhesives (Residual D4)"/>
    <tableColumn id="10" xr3:uid="{729C63DB-A5E5-4735-99D6-99EFEB2540A9}" name="Use of Adhesives and Sealants"/>
    <tableColumn id="11" xr3:uid="{75AB2B16-E5D2-4C86-A847-42CABAC759A1}" name="Rubber Compounding" dataDxfId="13"/>
    <tableColumn id="12" xr3:uid="{91BB7C4C-EC0E-4601-91D2-EE93035E1950}" name="Rubber Converting" dataDxfId="12"/>
    <tableColumn id="13" xr3:uid="{F6B163D6-D550-4F3B-A1B0-6629628BBED3}" name="Formulation of Products Containing Greater than 3% D4" dataDxfId="11"/>
    <tableColumn id="14" xr3:uid="{41C69166-AD9D-410E-A45D-157A9FBD9F29}" name="Use of Fabric Finishing Products"/>
    <tableColumn id="15" xr3:uid="{D3D648E5-989B-45F0-B771-FF7315B6582D}" name="Use of Automotive Care Products" dataDxfId="10"/>
    <tableColumn id="16" xr3:uid="{56DABD9E-7182-4512-80DF-23F2B0CEB43E}" name="Use of Aicraft Maintenance Products (Penetrant)" dataDxfId="9"/>
    <tableColumn id="17" xr3:uid="{8E24F1E8-42E5-40C9-B172-975D496BC31E}" name="Use of Aircraft Maintenance Products (Cold Cleaning)" dataDxfId="8"/>
    <tableColumn id="18" xr3:uid="{F30A758D-E40B-4049-B5ED-F901F2787FB3}" name="Use of Animal Grooming Products" dataDxfId="7"/>
    <tableColumn id="19" xr3:uid="{21A8C86A-9B7A-465E-AE0F-BF96E08975CC}" name="Formulation of Products Containing Less than 3% D4" dataDxfId="6"/>
    <tableColumn id="20" xr3:uid="{9DD7E2EE-9720-4582-8AA3-738C6C07BBB8}" name="Use of Printing Inks" dataDxfId="5"/>
    <tableColumn id="21" xr3:uid="{C3212DD1-2B9C-4E55-A546-DD92439C93B9}" name="Use of Cleaning Products" dataDxfId="4"/>
    <tableColumn id="22" xr3:uid="{16E02F30-04E8-4A59-8ACC-6C13ABD86760}" name="Use of Laundry Products - Institutional" dataDxfId="3"/>
    <tableColumn id="23" xr3:uid="{D2233BF3-13F9-410F-8C71-E7769B1C7A23}" name="Use of Laundry Products - Industrial" dataDxfId="2"/>
    <tableColumn id="24" xr3:uid="{9EA0B5A7-F129-488F-A4FA-42A90655CB1A}" name="Use of Laboratory Chemicals" dataDxfId="1"/>
    <tableColumn id="25" xr3:uid="{B1F13A7E-4429-4411-BEC7-BB5AF12248E9}" name="Waste Handling, Treatment, and Disposal"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7" dT="2025-02-22T20:43:14.73" personId="{3560D488-DB46-45E8-873F-59BFA1B9DC36}" id="{24CFD33F-F116-4ADD-B12D-1D4BACC7815A}">
    <text>Click on this cell and then click freeze panes</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F0537-E5C4-4707-A268-AEAA2A512243}">
  <sheetPr codeName="Sheet6"/>
  <dimension ref="A2:H14"/>
  <sheetViews>
    <sheetView tabSelected="1" workbookViewId="0">
      <selection activeCell="B6" sqref="B6:F7"/>
    </sheetView>
  </sheetViews>
  <sheetFormatPr defaultColWidth="9.08984375" defaultRowHeight="14" x14ac:dyDescent="0.3"/>
  <cols>
    <col min="1" max="1" width="13.453125" style="399" customWidth="1"/>
    <col min="2" max="2" width="11.54296875" style="399" customWidth="1"/>
    <col min="3" max="3" width="10.90625" style="399" customWidth="1"/>
    <col min="4" max="4" width="11.453125" style="399" customWidth="1"/>
    <col min="5" max="5" width="11.90625" style="399" customWidth="1"/>
    <col min="6" max="6" width="10.453125" style="399" customWidth="1"/>
    <col min="7" max="16384" width="9.08984375" style="399"/>
  </cols>
  <sheetData>
    <row r="2" spans="1:8" x14ac:dyDescent="0.3">
      <c r="B2" s="527" t="s">
        <v>453</v>
      </c>
      <c r="C2" s="527"/>
      <c r="D2" s="527"/>
      <c r="E2" s="527"/>
      <c r="F2" s="527"/>
    </row>
    <row r="3" spans="1:8" ht="15.5" x14ac:dyDescent="0.35">
      <c r="C3" s="528" t="s">
        <v>454</v>
      </c>
      <c r="D3" s="528"/>
      <c r="E3" s="528"/>
    </row>
    <row r="5" spans="1:8" x14ac:dyDescent="0.3">
      <c r="A5" s="401"/>
      <c r="E5" s="401"/>
    </row>
    <row r="6" spans="1:8" ht="34.75" customHeight="1" x14ac:dyDescent="0.3">
      <c r="B6" s="526" t="s">
        <v>456</v>
      </c>
      <c r="C6" s="526"/>
      <c r="D6" s="526"/>
      <c r="E6" s="526"/>
      <c r="F6" s="526"/>
      <c r="G6" s="402"/>
    </row>
    <row r="7" spans="1:8" ht="32.4" customHeight="1" x14ac:dyDescent="0.3">
      <c r="B7" s="526"/>
      <c r="C7" s="526"/>
      <c r="D7" s="526"/>
      <c r="E7" s="526"/>
      <c r="F7" s="526"/>
      <c r="G7" s="402"/>
    </row>
    <row r="9" spans="1:8" ht="20" x14ac:dyDescent="0.3">
      <c r="B9" s="526" t="s">
        <v>455</v>
      </c>
      <c r="C9" s="526"/>
      <c r="D9" s="526"/>
      <c r="E9" s="526"/>
      <c r="F9" s="526"/>
    </row>
    <row r="10" spans="1:8" ht="20" x14ac:dyDescent="0.3">
      <c r="B10" s="402"/>
      <c r="C10" s="402"/>
      <c r="D10" s="402"/>
      <c r="E10" s="402"/>
      <c r="F10" s="402"/>
    </row>
    <row r="11" spans="1:8" ht="17.5" x14ac:dyDescent="0.35">
      <c r="B11" s="525" t="s">
        <v>454</v>
      </c>
      <c r="C11" s="525"/>
      <c r="D11" s="525"/>
      <c r="E11" s="525"/>
      <c r="F11" s="525"/>
      <c r="G11" s="403"/>
      <c r="H11" s="403"/>
    </row>
    <row r="14" spans="1:8" ht="17.5" x14ac:dyDescent="0.35">
      <c r="B14" s="400"/>
      <c r="C14" s="400"/>
      <c r="D14" s="400"/>
      <c r="E14" s="400"/>
      <c r="F14" s="400"/>
    </row>
  </sheetData>
  <sheetProtection algorithmName="SHA-512" hashValue="XTafAIyns3zs+1GB4amw7GUn/XiRuNXNXKAzyxJgc+aG5bxliczs7BgdCSz9QirT6DuTt7FmaKO2xWUEB37Y0Q==" saltValue="pMSguVBnYaKqSiMCLvhTyg==" spinCount="100000" sheet="1" objects="1" scenarios="1" formatCells="0" formatColumns="0" formatRows="0"/>
  <mergeCells count="5">
    <mergeCell ref="B11:F11"/>
    <mergeCell ref="B6:F7"/>
    <mergeCell ref="B9:F9"/>
    <mergeCell ref="B2:F2"/>
    <mergeCell ref="C3:E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6B0BD-3A26-46B1-9811-A8C9CF09E75F}">
  <sheetPr codeName="Sheet13">
    <tabColor rgb="FF92D050"/>
  </sheetPr>
  <dimension ref="B1:AL229"/>
  <sheetViews>
    <sheetView workbookViewId="0"/>
  </sheetViews>
  <sheetFormatPr defaultColWidth="8.90625" defaultRowHeight="13" x14ac:dyDescent="0.35"/>
  <cols>
    <col min="1" max="1" width="4.54296875" style="14" customWidth="1"/>
    <col min="2" max="2" width="4.90625" style="11" bestFit="1" customWidth="1"/>
    <col min="3" max="3" width="50.453125" style="14" bestFit="1" customWidth="1"/>
    <col min="4" max="4" width="23.90625" style="11" bestFit="1" customWidth="1"/>
    <col min="5" max="5" width="17.08984375" style="14" bestFit="1" customWidth="1"/>
    <col min="6" max="6" width="17" style="14" customWidth="1"/>
    <col min="7" max="7" width="14.90625" style="14" bestFit="1" customWidth="1"/>
    <col min="8" max="8" width="13.90625" style="14" bestFit="1" customWidth="1"/>
    <col min="9" max="9" width="16.08984375" style="14" hidden="1" customWidth="1"/>
    <col min="10" max="10" width="17.08984375" style="14" bestFit="1" customWidth="1"/>
    <col min="11" max="11" width="14.90625" style="14" bestFit="1" customWidth="1"/>
    <col min="12" max="12" width="13.90625" style="14" bestFit="1" customWidth="1"/>
    <col min="13" max="13" width="16.08984375" style="14" hidden="1" customWidth="1"/>
    <col min="14" max="14" width="17.08984375" style="14" bestFit="1" customWidth="1"/>
    <col min="15" max="15" width="12.453125" style="14" bestFit="1" customWidth="1"/>
    <col min="16" max="16" width="11" style="14" bestFit="1" customWidth="1"/>
    <col min="17" max="17" width="10.08984375" style="14" bestFit="1" customWidth="1"/>
    <col min="18" max="18" width="7.54296875" style="14" bestFit="1" customWidth="1"/>
    <col min="19" max="19" width="17" style="14" customWidth="1"/>
    <col min="20" max="20" width="8.90625" style="14" customWidth="1"/>
    <col min="21" max="21" width="26.54296875" style="14" customWidth="1"/>
    <col min="22" max="22" width="16.90625" style="14" customWidth="1"/>
    <col min="23" max="23" width="18.90625" style="14" customWidth="1"/>
    <col min="24" max="24" width="22.08984375" style="14" customWidth="1"/>
    <col min="25" max="25" width="25.90625" style="14" bestFit="1" customWidth="1"/>
    <col min="26" max="29" width="20.453125" style="14" customWidth="1"/>
    <col min="30" max="31" width="18.90625" style="14" customWidth="1"/>
    <col min="32" max="32" width="28.453125" style="3" customWidth="1"/>
    <col min="33" max="33" width="26.90625" style="3" customWidth="1"/>
    <col min="34" max="34" width="15.08984375" style="3" customWidth="1"/>
    <col min="35" max="35" width="17.90625" style="3" customWidth="1"/>
    <col min="36" max="36" width="22.453125" style="3" customWidth="1"/>
    <col min="37" max="37" width="21.90625" style="3" customWidth="1"/>
    <col min="38" max="38" width="17.453125" style="3" customWidth="1"/>
    <col min="39" max="39" width="14.54296875" style="14" customWidth="1"/>
    <col min="40" max="40" width="17.08984375" style="14" customWidth="1"/>
    <col min="41" max="41" width="16" style="14" customWidth="1"/>
    <col min="42" max="42" width="24.08984375" style="14" customWidth="1"/>
    <col min="43" max="43" width="15.54296875" style="14" customWidth="1"/>
    <col min="44" max="44" width="14.08984375" style="14" customWidth="1"/>
    <col min="45" max="46" width="8.90625" style="14"/>
    <col min="47" max="47" width="18.453125" style="14" customWidth="1"/>
    <col min="48" max="48" width="15" style="14" customWidth="1"/>
    <col min="49" max="49" width="21.453125" style="14" customWidth="1"/>
    <col min="50" max="50" width="15.453125" style="14" customWidth="1"/>
    <col min="51" max="51" width="16.54296875" style="14" customWidth="1"/>
    <col min="52" max="53" width="8.90625" style="14"/>
    <col min="54" max="54" width="17.90625" style="14" customWidth="1"/>
    <col min="55" max="55" width="14.453125" style="14" customWidth="1"/>
    <col min="56" max="56" width="18.54296875" style="14" customWidth="1"/>
    <col min="57" max="57" width="13.54296875" style="14" customWidth="1"/>
    <col min="58" max="58" width="15.08984375" style="14" customWidth="1"/>
    <col min="59" max="60" width="8.90625" style="14"/>
    <col min="61" max="61" width="16.08984375" style="14" customWidth="1"/>
    <col min="62" max="62" width="12" style="14" customWidth="1"/>
    <col min="63" max="63" width="18" style="14" customWidth="1"/>
    <col min="64" max="64" width="16.08984375" style="14" customWidth="1"/>
    <col min="65" max="65" width="14.08984375" style="14" customWidth="1"/>
    <col min="66" max="66" width="10.08984375" style="14" customWidth="1"/>
    <col min="67" max="16384" width="8.90625" style="14"/>
  </cols>
  <sheetData>
    <row r="1" spans="3:38" x14ac:dyDescent="0.35">
      <c r="K1" s="15"/>
      <c r="L1" s="15"/>
      <c r="M1" s="15"/>
      <c r="N1" s="15"/>
      <c r="AF1" s="14"/>
      <c r="AG1" s="14"/>
      <c r="AH1" s="14"/>
      <c r="AI1" s="14"/>
      <c r="AJ1" s="14"/>
      <c r="AK1" s="14"/>
      <c r="AL1" s="14"/>
    </row>
    <row r="2" spans="3:38" ht="13.5" thickBot="1" x14ac:dyDescent="0.4">
      <c r="K2" s="15"/>
      <c r="L2" s="15"/>
      <c r="M2" s="15"/>
      <c r="N2" s="15"/>
      <c r="AF2" s="14"/>
      <c r="AG2" s="14"/>
      <c r="AH2" s="14"/>
      <c r="AI2" s="14"/>
      <c r="AJ2" s="14"/>
      <c r="AK2" s="14"/>
      <c r="AL2" s="14"/>
    </row>
    <row r="3" spans="3:38" ht="25.5" customHeight="1" thickBot="1" x14ac:dyDescent="0.4">
      <c r="C3" s="219" t="s">
        <v>95</v>
      </c>
      <c r="D3" s="219" t="s">
        <v>110</v>
      </c>
      <c r="E3" s="219" t="s">
        <v>39</v>
      </c>
      <c r="F3" s="223" t="s">
        <v>106</v>
      </c>
      <c r="G3" s="695" t="s">
        <v>111</v>
      </c>
      <c r="H3" s="696"/>
      <c r="I3" s="696"/>
      <c r="J3" s="697"/>
      <c r="K3" s="695" t="s">
        <v>112</v>
      </c>
      <c r="L3" s="696"/>
      <c r="M3" s="696"/>
      <c r="N3" s="697"/>
      <c r="O3" s="695" t="s">
        <v>113</v>
      </c>
      <c r="P3" s="696"/>
      <c r="Q3" s="696"/>
      <c r="R3" s="697"/>
      <c r="AF3" s="14"/>
      <c r="AG3" s="14"/>
      <c r="AH3" s="14"/>
      <c r="AI3" s="14"/>
      <c r="AJ3" s="14"/>
      <c r="AK3" s="14"/>
      <c r="AL3" s="14"/>
    </row>
    <row r="4" spans="3:38" ht="12.75" customHeight="1" x14ac:dyDescent="0.35">
      <c r="C4" s="220"/>
      <c r="D4" s="220"/>
      <c r="E4" s="220"/>
      <c r="F4" s="220"/>
      <c r="G4" s="219" t="s">
        <v>45</v>
      </c>
      <c r="H4" s="219" t="s">
        <v>92</v>
      </c>
      <c r="I4" s="219" t="s">
        <v>47</v>
      </c>
      <c r="J4" s="219" t="s">
        <v>48</v>
      </c>
      <c r="K4" s="219" t="s">
        <v>45</v>
      </c>
      <c r="L4" s="219" t="s">
        <v>92</v>
      </c>
      <c r="M4" s="219" t="s">
        <v>47</v>
      </c>
      <c r="N4" s="219" t="s">
        <v>48</v>
      </c>
      <c r="O4" s="219" t="s">
        <v>114</v>
      </c>
      <c r="P4" s="219" t="s">
        <v>115</v>
      </c>
      <c r="Q4" s="219" t="s">
        <v>116</v>
      </c>
      <c r="R4" s="219" t="s">
        <v>117</v>
      </c>
      <c r="AF4" s="14"/>
      <c r="AG4" s="14"/>
      <c r="AH4" s="14"/>
      <c r="AI4" s="14"/>
      <c r="AJ4" s="14"/>
      <c r="AK4" s="14"/>
      <c r="AL4" s="14"/>
    </row>
    <row r="5" spans="3:38" ht="12.75" customHeight="1" x14ac:dyDescent="0.35">
      <c r="C5" s="224" t="str" cm="1">
        <f t="array" ref="C5">INDEX('List Values'!$B$2:$B$21,(1+ROUNDDOWN((ROW()-ROW($C$5))*1/6,2)))</f>
        <v>Manufacturing</v>
      </c>
      <c r="D5" s="224" t="s">
        <v>34</v>
      </c>
      <c r="E5" s="218" t="s">
        <v>52</v>
      </c>
      <c r="F5" s="225" t="s">
        <v>108</v>
      </c>
      <c r="G5" s="164">
        <f>IF(E5="High-End",SUMIFS(Inhalation_Exp[24hr_High-End],Inhalation_Exp[OES],$C5,Inhalation_Exp[Worker Type],$D5,Inhalation_Exp[Data Type],$F5),SUMIFS(Inhalation_Exp[24hr_Central Tendency],Inhalation_Exp[OES],$C5,Inhalation_Exp[Worker Type],$D5,Inhalation_Exp[Data Type],$F5))</f>
        <v>0</v>
      </c>
      <c r="H5" s="164">
        <f>IF(E5="High-End",SUMIFS(Inhalation_Exp[Int_High-End],Inhalation_Exp[OES],$C5,Inhalation_Exp[Worker Type],$D5,Inhalation_Exp[Data Type],$F5),SUMIFS(Inhalation_Exp[Int_Central Tendency],Inhalation_Exp[OES],$C5,Inhalation_Exp[Worker Type],$D5,Inhalation_Exp[Data Type],$F5))</f>
        <v>0</v>
      </c>
      <c r="I5" s="164">
        <f>IF(E5="High-End",SUMIFS(Inhalation_Exp[ADC_High-End],Inhalation_Exp[OES],$C5,Inhalation_Exp[Worker Type],$D5,Inhalation_Exp[Data Type],$F5),SUMIFS(Inhalation_Exp[ADC_Central Tendency],Inhalation_Exp[OES],$C5,Inhalation_Exp[Worker Type],$D5,Inhalation_Exp[Data Type],$F5))</f>
        <v>0</v>
      </c>
      <c r="J5" s="164" t="e">
        <f>IF(E5="High-End",SUMIFS(#REF!,Inhalation_Exp[OES],$C5,Inhalation_Exp[Worker Type],$D5,Inhalation_Exp[Data Type],$F5),SUMIFS(#REF!,Inhalation_Exp[OES],$C5,Inhalation_Exp[Worker Type],$D5,Inhalation_Exp[Data Type],$F5))</f>
        <v>#REF!</v>
      </c>
      <c r="K5" s="207" t="e">
        <f>IF($E5="High-End",SUMIFS(#REF!,Dermal_Exp[Worker Type],$D5,Dermal_Exp[OES],$C5),SUMIFS(#REF!,Dermal_Exp[Worker Type],$D5,Dermal_Exp[OES],$C5))</f>
        <v>#REF!</v>
      </c>
      <c r="L5" s="207" t="e">
        <f>IF($E5="High-End",SUMIFS(#REF!,Dermal_Exp[Worker Type],$D5,Dermal_Exp[OES],$C5),SUMIFS(#REF!,Dermal_Exp[Worker Type],$D5,Dermal_Exp[OES],$C5))</f>
        <v>#REF!</v>
      </c>
      <c r="M5" s="207" t="e">
        <f>IF($E5="High-End",SUMIFS(#REF!,Dermal_Exp[Worker Type],$D5,Dermal_Exp[OES],$C5),SUMIFS(#REF!,Dermal_Exp[Worker Type],$D5,Dermal_Exp[OES],$C5))</f>
        <v>#REF!</v>
      </c>
      <c r="N5" s="207" t="e">
        <f>IF($E5="High-End",SUMIFS(#REF!,Dermal_Exp[Worker Type],$D5,Dermal_Exp[OES],$C5),SUMIFS(#REF!,Dermal_Exp[Worker Type],$D5,Dermal_Exp[OES],$C5))</f>
        <v>#REF!</v>
      </c>
      <c r="O5" s="226" t="e">
        <f>G5+K5</f>
        <v>#REF!</v>
      </c>
      <c r="P5" s="226" t="e">
        <f t="shared" ref="P5:R10" si="0">H5+L5</f>
        <v>#REF!</v>
      </c>
      <c r="Q5" s="226" t="e">
        <f t="shared" si="0"/>
        <v>#REF!</v>
      </c>
      <c r="R5" s="226" t="e">
        <f t="shared" si="0"/>
        <v>#REF!</v>
      </c>
      <c r="AF5" s="14"/>
      <c r="AG5" s="14"/>
      <c r="AH5" s="14"/>
      <c r="AI5" s="14"/>
      <c r="AJ5" s="14"/>
      <c r="AK5" s="14"/>
      <c r="AL5" s="14"/>
    </row>
    <row r="6" spans="3:38" ht="12.75" customHeight="1" x14ac:dyDescent="0.35">
      <c r="C6" s="224" t="str" cm="1">
        <f t="array" ref="C6">INDEX('List Values'!$B$2:$B$21,(1+ROUNDDOWN((ROW()-ROW($C$5))*1/6,2)))</f>
        <v>Manufacturing</v>
      </c>
      <c r="D6" s="224" t="s">
        <v>34</v>
      </c>
      <c r="E6" s="224" t="s">
        <v>53</v>
      </c>
      <c r="F6" s="225" t="s">
        <v>108</v>
      </c>
      <c r="G6" s="164">
        <f>IF(E6="High-End",SUMIFS(Inhalation_Exp[24hr_High-End],Inhalation_Exp[OES],$C6,Inhalation_Exp[Worker Type],$D6,Inhalation_Exp[Data Type],$F6),SUMIFS(Inhalation_Exp[24hr_Central Tendency],Inhalation_Exp[OES],$C6,Inhalation_Exp[Worker Type],$D6,Inhalation_Exp[Data Type],$F6))</f>
        <v>0</v>
      </c>
      <c r="H6" s="164">
        <f>IF(E6="High-End",SUMIFS(Inhalation_Exp[Int_High-End],Inhalation_Exp[OES],$C6,Inhalation_Exp[Worker Type],$D6,Inhalation_Exp[Data Type],$F6),SUMIFS(Inhalation_Exp[Int_Central Tendency],Inhalation_Exp[OES],$C6,Inhalation_Exp[Worker Type],$D6,Inhalation_Exp[Data Type],$F6))</f>
        <v>0</v>
      </c>
      <c r="I6" s="164">
        <f>IF(E6="High-End",SUMIFS(Inhalation_Exp[ADC_High-End],Inhalation_Exp[OES],$C6,Inhalation_Exp[Worker Type],$D6,Inhalation_Exp[Data Type],$F6),SUMIFS(Inhalation_Exp[ADC_Central Tendency],Inhalation_Exp[OES],$C6,Inhalation_Exp[Worker Type],$D6,Inhalation_Exp[Data Type],$F6))</f>
        <v>0</v>
      </c>
      <c r="J6" s="164" t="e">
        <f>IF(E6="High-End",SUMIFS(#REF!,Inhalation_Exp[OES],$C6,Inhalation_Exp[Worker Type],$D6,Inhalation_Exp[Data Type],$F6),SUMIFS(#REF!,Inhalation_Exp[OES],$C6,Inhalation_Exp[Worker Type],$D6,Inhalation_Exp[Data Type],$F6))</f>
        <v>#REF!</v>
      </c>
      <c r="K6" s="207" t="e">
        <f>IF($E6="High-End",SUMIFS(#REF!,Dermal_Exp[Worker Type],$D6,Dermal_Exp[OES],$C6),SUMIFS(#REF!,Dermal_Exp[Worker Type],$D6,Dermal_Exp[OES],$C6))</f>
        <v>#REF!</v>
      </c>
      <c r="L6" s="207" t="e">
        <f>IF($E6="High-End",SUMIFS(#REF!,Dermal_Exp[Worker Type],$D6,Dermal_Exp[OES],$C6),SUMIFS(#REF!,Dermal_Exp[Worker Type],$D6,Dermal_Exp[OES],$C6))</f>
        <v>#REF!</v>
      </c>
      <c r="M6" s="207" t="e">
        <f>IF($E6="High-End",SUMIFS(#REF!,Dermal_Exp[Worker Type],$D6,Dermal_Exp[OES],$C6),SUMIFS(#REF!,Dermal_Exp[Worker Type],$D6,Dermal_Exp[OES],$C6))</f>
        <v>#REF!</v>
      </c>
      <c r="N6" s="207" t="e">
        <f>IF($E6="High-End",SUMIFS(#REF!,Dermal_Exp[Worker Type],$D6,Dermal_Exp[OES],$C6),SUMIFS(#REF!,Dermal_Exp[Worker Type],$D6,Dermal_Exp[OES],$C6))</f>
        <v>#REF!</v>
      </c>
      <c r="O6" s="226" t="e">
        <f t="shared" ref="O6:O11" si="1">G6+K6</f>
        <v>#REF!</v>
      </c>
      <c r="P6" s="226" t="e">
        <f t="shared" si="0"/>
        <v>#REF!</v>
      </c>
      <c r="Q6" s="226" t="e">
        <f t="shared" si="0"/>
        <v>#REF!</v>
      </c>
      <c r="R6" s="226" t="e">
        <f t="shared" si="0"/>
        <v>#REF!</v>
      </c>
      <c r="AF6" s="14"/>
      <c r="AG6" s="14"/>
      <c r="AH6" s="14"/>
      <c r="AI6" s="14"/>
      <c r="AJ6" s="14"/>
      <c r="AK6" s="14"/>
      <c r="AL6" s="14"/>
    </row>
    <row r="7" spans="3:38" ht="12.75" customHeight="1" x14ac:dyDescent="0.35">
      <c r="C7" s="224" t="str" cm="1">
        <f t="array" ref="C7">INDEX('List Values'!$B$2:$B$21,(1+ROUNDDOWN((ROW()-ROW($C$5))*1/6,2)))</f>
        <v>Manufacturing</v>
      </c>
      <c r="D7" s="224" t="s">
        <v>109</v>
      </c>
      <c r="E7" s="224" t="s">
        <v>52</v>
      </c>
      <c r="F7" s="225" t="s">
        <v>108</v>
      </c>
      <c r="G7" s="164">
        <f>IF(E7="High-End",SUMIFS(Inhalation_Exp[24hr_High-End],Inhalation_Exp[OES],$C7,Inhalation_Exp[Worker Type],$D7,Inhalation_Exp[Data Type],$F7),SUMIFS(Inhalation_Exp[24hr_Central Tendency],Inhalation_Exp[OES],$C7,Inhalation_Exp[Worker Type],$D7,Inhalation_Exp[Data Type],$F7))</f>
        <v>0</v>
      </c>
      <c r="H7" s="164">
        <f>IF(E7="High-End",SUMIFS(Inhalation_Exp[Int_High-End],Inhalation_Exp[OES],$C7,Inhalation_Exp[Worker Type],$D7,Inhalation_Exp[Data Type],$F7),SUMIFS(Inhalation_Exp[Int_Central Tendency],Inhalation_Exp[OES],$C7,Inhalation_Exp[Worker Type],$D7,Inhalation_Exp[Data Type],$F7))</f>
        <v>0</v>
      </c>
      <c r="I7" s="164">
        <f>IF(E7="High-End",SUMIFS(Inhalation_Exp[ADC_High-End],Inhalation_Exp[OES],$C7,Inhalation_Exp[Worker Type],$D7,Inhalation_Exp[Data Type],$F7),SUMIFS(Inhalation_Exp[ADC_Central Tendency],Inhalation_Exp[OES],$C7,Inhalation_Exp[Worker Type],$D7,Inhalation_Exp[Data Type],$F7))</f>
        <v>0</v>
      </c>
      <c r="J7" s="164" t="e">
        <f>IF(E7="High-End",SUMIFS(#REF!,Inhalation_Exp[OES],$C7,Inhalation_Exp[Worker Type],$D7,Inhalation_Exp[Data Type],$F7),SUMIFS(#REF!,Inhalation_Exp[OES],$C7,Inhalation_Exp[Worker Type],$D7,Inhalation_Exp[Data Type],$F7))</f>
        <v>#REF!</v>
      </c>
      <c r="K7" s="207" t="e">
        <f>IF($E7="High-End",SUMIFS(#REF!,Dermal_Exp[Worker Type],$D7,Dermal_Exp[OES],$C7),SUMIFS(#REF!,Dermal_Exp[Worker Type],$D7,Dermal_Exp[OES],$C7))</f>
        <v>#REF!</v>
      </c>
      <c r="L7" s="207" t="e">
        <f>IF($E7="High-End",SUMIFS(#REF!,Dermal_Exp[Worker Type],$D7,Dermal_Exp[OES],$C7),SUMIFS(#REF!,Dermal_Exp[Worker Type],$D7,Dermal_Exp[OES],$C7))</f>
        <v>#REF!</v>
      </c>
      <c r="M7" s="207" t="e">
        <f>IF($E7="High-End",SUMIFS(#REF!,Dermal_Exp[Worker Type],$D7,Dermal_Exp[OES],$C7),SUMIFS(#REF!,Dermal_Exp[Worker Type],$D7,Dermal_Exp[OES],$C7))</f>
        <v>#REF!</v>
      </c>
      <c r="N7" s="207" t="e">
        <f>IF($E7="High-End",SUMIFS(#REF!,Dermal_Exp[Worker Type],$D7,Dermal_Exp[OES],$C7),SUMIFS(#REF!,Dermal_Exp[Worker Type],$D7,Dermal_Exp[OES],$C7))</f>
        <v>#REF!</v>
      </c>
      <c r="O7" s="226" t="e">
        <f t="shared" si="1"/>
        <v>#REF!</v>
      </c>
      <c r="P7" s="226" t="e">
        <f t="shared" si="0"/>
        <v>#REF!</v>
      </c>
      <c r="Q7" s="226" t="e">
        <f t="shared" si="0"/>
        <v>#REF!</v>
      </c>
      <c r="R7" s="226" t="e">
        <f t="shared" si="0"/>
        <v>#REF!</v>
      </c>
      <c r="AF7" s="14"/>
      <c r="AG7" s="14"/>
      <c r="AH7" s="14"/>
      <c r="AI7" s="14"/>
      <c r="AJ7" s="14"/>
      <c r="AK7" s="14"/>
      <c r="AL7" s="14"/>
    </row>
    <row r="8" spans="3:38" ht="12.75" customHeight="1" x14ac:dyDescent="0.35">
      <c r="C8" s="224" t="str" cm="1">
        <f t="array" ref="C8">INDEX('List Values'!$B$2:$B$21,(1+ROUNDDOWN((ROW()-ROW($C$5))*1/6,2)))</f>
        <v>Manufacturing</v>
      </c>
      <c r="D8" s="224" t="s">
        <v>109</v>
      </c>
      <c r="E8" s="224" t="s">
        <v>53</v>
      </c>
      <c r="F8" s="225" t="s">
        <v>108</v>
      </c>
      <c r="G8" s="164">
        <f>IF(E8="High-End",SUMIFS(Inhalation_Exp[24hr_High-End],Inhalation_Exp[OES],$C8,Inhalation_Exp[Worker Type],$D8,Inhalation_Exp[Data Type],$F8),SUMIFS(Inhalation_Exp[24hr_Central Tendency],Inhalation_Exp[OES],$C8,Inhalation_Exp[Worker Type],$D8,Inhalation_Exp[Data Type],$F8))</f>
        <v>0</v>
      </c>
      <c r="H8" s="164">
        <f>IF(E8="High-End",SUMIFS(Inhalation_Exp[Int_High-End],Inhalation_Exp[OES],$C8,Inhalation_Exp[Worker Type],$D8,Inhalation_Exp[Data Type],$F8),SUMIFS(Inhalation_Exp[Int_Central Tendency],Inhalation_Exp[OES],$C8,Inhalation_Exp[Worker Type],$D8,Inhalation_Exp[Data Type],$F8))</f>
        <v>0</v>
      </c>
      <c r="I8" s="164">
        <f>IF(E8="High-End",SUMIFS(Inhalation_Exp[ADC_High-End],Inhalation_Exp[OES],$C8,Inhalation_Exp[Worker Type],$D8,Inhalation_Exp[Data Type],$F8),SUMIFS(Inhalation_Exp[ADC_Central Tendency],Inhalation_Exp[OES],$C8,Inhalation_Exp[Worker Type],$D8,Inhalation_Exp[Data Type],$F8))</f>
        <v>0</v>
      </c>
      <c r="J8" s="164" t="e">
        <f>IF(E8="High-End",SUMIFS(#REF!,Inhalation_Exp[OES],$C8,Inhalation_Exp[Worker Type],$D8,Inhalation_Exp[Data Type],$F8),SUMIFS(#REF!,Inhalation_Exp[OES],$C8,Inhalation_Exp[Worker Type],$D8,Inhalation_Exp[Data Type],$F8))</f>
        <v>#REF!</v>
      </c>
      <c r="K8" s="207" t="e">
        <f>IF($E8="High-End",SUMIFS(#REF!,Dermal_Exp[Worker Type],$D8,Dermal_Exp[OES],$C8),SUMIFS(#REF!,Dermal_Exp[Worker Type],$D8,Dermal_Exp[OES],$C8))</f>
        <v>#REF!</v>
      </c>
      <c r="L8" s="207" t="e">
        <f>IF($E8="High-End",SUMIFS(#REF!,Dermal_Exp[Worker Type],$D8,Dermal_Exp[OES],$C8),SUMIFS(#REF!,Dermal_Exp[Worker Type],$D8,Dermal_Exp[OES],$C8))</f>
        <v>#REF!</v>
      </c>
      <c r="M8" s="207" t="e">
        <f>IF($E8="High-End",SUMIFS(#REF!,Dermal_Exp[Worker Type],$D8,Dermal_Exp[OES],$C8),SUMIFS(#REF!,Dermal_Exp[Worker Type],$D8,Dermal_Exp[OES],$C8))</f>
        <v>#REF!</v>
      </c>
      <c r="N8" s="207" t="e">
        <f>IF($E8="High-End",SUMIFS(#REF!,Dermal_Exp[Worker Type],$D8,Dermal_Exp[OES],$C8),SUMIFS(#REF!,Dermal_Exp[Worker Type],$D8,Dermal_Exp[OES],$C8))</f>
        <v>#REF!</v>
      </c>
      <c r="O8" s="226" t="e">
        <f t="shared" si="1"/>
        <v>#REF!</v>
      </c>
      <c r="P8" s="226" t="e">
        <f t="shared" si="0"/>
        <v>#REF!</v>
      </c>
      <c r="Q8" s="226" t="e">
        <f t="shared" si="0"/>
        <v>#REF!</v>
      </c>
      <c r="R8" s="226" t="e">
        <f t="shared" si="0"/>
        <v>#REF!</v>
      </c>
      <c r="AF8" s="14"/>
      <c r="AG8" s="14"/>
      <c r="AH8" s="14"/>
      <c r="AI8" s="14"/>
      <c r="AJ8" s="14"/>
      <c r="AK8" s="14"/>
      <c r="AL8" s="14"/>
    </row>
    <row r="9" spans="3:38" ht="12.75" customHeight="1" x14ac:dyDescent="0.35">
      <c r="C9" s="224" t="str" cm="1">
        <f t="array" ref="C9">INDEX('List Values'!$B$2:$B$21,(1+ROUNDDOWN((ROW()-ROW($C$5))*1/6,2)))</f>
        <v>Manufacturing</v>
      </c>
      <c r="D9" s="224" t="s">
        <v>54</v>
      </c>
      <c r="E9" s="224" t="s">
        <v>52</v>
      </c>
      <c r="F9" s="225" t="s">
        <v>108</v>
      </c>
      <c r="G9" s="164">
        <f>IF(E9="High-End",SUMIFS(Inhalation_Exp[24hr_High-End],Inhalation_Exp[OES],$C9,Inhalation_Exp[Worker Type],$D9,Inhalation_Exp[Data Type],$F9),SUMIFS(Inhalation_Exp[24hr_Central Tendency],Inhalation_Exp[OES],$C9,Inhalation_Exp[Worker Type],$D9,Inhalation_Exp[Data Type],$F9))</f>
        <v>0</v>
      </c>
      <c r="H9" s="164">
        <f>IF(E9="High-End",SUMIFS(Inhalation_Exp[Int_High-End],Inhalation_Exp[OES],$C9,Inhalation_Exp[Worker Type],$D9,Inhalation_Exp[Data Type],$F9),SUMIFS(Inhalation_Exp[Int_Central Tendency],Inhalation_Exp[OES],$C9,Inhalation_Exp[Worker Type],$D9,Inhalation_Exp[Data Type],$F9))</f>
        <v>0</v>
      </c>
      <c r="I9" s="164">
        <f>IF(E9="High-End",SUMIFS(Inhalation_Exp[ADC_High-End],Inhalation_Exp[OES],$C9,Inhalation_Exp[Worker Type],$D9,Inhalation_Exp[Data Type],$F9),SUMIFS(Inhalation_Exp[ADC_Central Tendency],Inhalation_Exp[OES],$C9,Inhalation_Exp[Worker Type],$D9,Inhalation_Exp[Data Type],$F9))</f>
        <v>0</v>
      </c>
      <c r="J9" s="164" t="e">
        <f>IF(E9="High-End",SUMIFS(#REF!,Inhalation_Exp[OES],$C9,Inhalation_Exp[Worker Type],$D9,Inhalation_Exp[Data Type],$F9),SUMIFS(#REF!,Inhalation_Exp[OES],$C9,Inhalation_Exp[Worker Type],$D9,Inhalation_Exp[Data Type],$F9))</f>
        <v>#REF!</v>
      </c>
      <c r="K9" s="207" t="e">
        <f>IF($E9="High-End",SUMIFS(#REF!,Dermal_Exp[Worker Type],$D9,Dermal_Exp[OES],$C9),SUMIFS(#REF!,Dermal_Exp[Worker Type],$D9,Dermal_Exp[OES],$C9))</f>
        <v>#REF!</v>
      </c>
      <c r="L9" s="207" t="e">
        <f>IF($E9="High-End",SUMIFS(#REF!,Dermal_Exp[Worker Type],$D9,Dermal_Exp[OES],$C9),SUMIFS(#REF!,Dermal_Exp[Worker Type],$D9,Dermal_Exp[OES],$C9))</f>
        <v>#REF!</v>
      </c>
      <c r="M9" s="207" t="e">
        <f>IF($E9="High-End",SUMIFS(#REF!,Dermal_Exp[Worker Type],$D9,Dermal_Exp[OES],$C9),SUMIFS(#REF!,Dermal_Exp[Worker Type],$D9,Dermal_Exp[OES],$C9))</f>
        <v>#REF!</v>
      </c>
      <c r="N9" s="207" t="e">
        <f>IF($E9="High-End",SUMIFS(#REF!,Dermal_Exp[Worker Type],$D9,Dermal_Exp[OES],$C9),SUMIFS(#REF!,Dermal_Exp[Worker Type],$D9,Dermal_Exp[OES],$C9))</f>
        <v>#REF!</v>
      </c>
      <c r="O9" s="226" t="e">
        <f t="shared" si="1"/>
        <v>#REF!</v>
      </c>
      <c r="P9" s="226" t="e">
        <f t="shared" si="0"/>
        <v>#REF!</v>
      </c>
      <c r="Q9" s="226" t="e">
        <f t="shared" si="0"/>
        <v>#REF!</v>
      </c>
      <c r="R9" s="226" t="e">
        <f t="shared" si="0"/>
        <v>#REF!</v>
      </c>
      <c r="AF9" s="14"/>
      <c r="AG9" s="14"/>
      <c r="AH9" s="14"/>
      <c r="AI9" s="14"/>
      <c r="AJ9" s="14"/>
      <c r="AK9" s="14"/>
      <c r="AL9" s="14"/>
    </row>
    <row r="10" spans="3:38" ht="12.75" customHeight="1" x14ac:dyDescent="0.35">
      <c r="C10" s="224" t="str" cm="1">
        <f t="array" ref="C10">INDEX('List Values'!$B$2:$B$21,(1+ROUNDDOWN((ROW()-ROW($C$5))*1/6,2)))</f>
        <v>Manufacturing</v>
      </c>
      <c r="D10" s="224" t="s">
        <v>54</v>
      </c>
      <c r="E10" s="224" t="s">
        <v>53</v>
      </c>
      <c r="F10" s="225" t="s">
        <v>108</v>
      </c>
      <c r="G10" s="164">
        <f>IF(E10="High-End",SUMIFS(Inhalation_Exp[24hr_High-End],Inhalation_Exp[OES],$C10,Inhalation_Exp[Worker Type],$D10,Inhalation_Exp[Data Type],$F10),SUMIFS(Inhalation_Exp[24hr_Central Tendency],Inhalation_Exp[OES],$C10,Inhalation_Exp[Worker Type],$D10,Inhalation_Exp[Data Type],$F10))</f>
        <v>0</v>
      </c>
      <c r="H10" s="164">
        <f>IF(E10="High-End",SUMIFS(Inhalation_Exp[Int_High-End],Inhalation_Exp[OES],$C10,Inhalation_Exp[Worker Type],$D10,Inhalation_Exp[Data Type],$F10),SUMIFS(Inhalation_Exp[Int_Central Tendency],Inhalation_Exp[OES],$C10,Inhalation_Exp[Worker Type],$D10,Inhalation_Exp[Data Type],$F10))</f>
        <v>0</v>
      </c>
      <c r="I10" s="164">
        <f>IF(E10="High-End",SUMIFS(Inhalation_Exp[ADC_High-End],Inhalation_Exp[OES],$C10,Inhalation_Exp[Worker Type],$D10,Inhalation_Exp[Data Type],$F10),SUMIFS(Inhalation_Exp[ADC_Central Tendency],Inhalation_Exp[OES],$C10,Inhalation_Exp[Worker Type],$D10,Inhalation_Exp[Data Type],$F10))</f>
        <v>0</v>
      </c>
      <c r="J10" s="164" t="e">
        <f>IF(E10="High-End",SUMIFS(#REF!,Inhalation_Exp[OES],$C10,Inhalation_Exp[Worker Type],$D10,Inhalation_Exp[Data Type],$F10),SUMIFS(#REF!,Inhalation_Exp[OES],$C10,Inhalation_Exp[Worker Type],$D10,Inhalation_Exp[Data Type],$F10))</f>
        <v>#REF!</v>
      </c>
      <c r="K10" s="207" t="e">
        <f>IF($E10="High-End",SUMIFS(#REF!,Dermal_Exp[Worker Type],$D10,Dermal_Exp[OES],$C10),SUMIFS(#REF!,Dermal_Exp[Worker Type],$D10,Dermal_Exp[OES],$C10))</f>
        <v>#REF!</v>
      </c>
      <c r="L10" s="207" t="e">
        <f>IF($E10="High-End",SUMIFS(#REF!,Dermal_Exp[Worker Type],$D10,Dermal_Exp[OES],$C10),SUMIFS(#REF!,Dermal_Exp[Worker Type],$D10,Dermal_Exp[OES],$C10))</f>
        <v>#REF!</v>
      </c>
      <c r="M10" s="207" t="e">
        <f>IF($E10="High-End",SUMIFS(#REF!,Dermal_Exp[Worker Type],$D10,Dermal_Exp[OES],$C10),SUMIFS(#REF!,Dermal_Exp[Worker Type],$D10,Dermal_Exp[OES],$C10))</f>
        <v>#REF!</v>
      </c>
      <c r="N10" s="207" t="e">
        <f>IF($E10="High-End",SUMIFS(#REF!,Dermal_Exp[Worker Type],$D10,Dermal_Exp[OES],$C10),SUMIFS(#REF!,Dermal_Exp[Worker Type],$D10,Dermal_Exp[OES],$C10))</f>
        <v>#REF!</v>
      </c>
      <c r="O10" s="226" t="e">
        <f t="shared" si="1"/>
        <v>#REF!</v>
      </c>
      <c r="P10" s="226" t="e">
        <f t="shared" si="0"/>
        <v>#REF!</v>
      </c>
      <c r="Q10" s="226" t="e">
        <f t="shared" si="0"/>
        <v>#REF!</v>
      </c>
      <c r="R10" s="226" t="e">
        <f t="shared" si="0"/>
        <v>#REF!</v>
      </c>
      <c r="AF10" s="14"/>
      <c r="AG10" s="14"/>
      <c r="AH10" s="14"/>
      <c r="AI10" s="14"/>
      <c r="AJ10" s="14"/>
      <c r="AK10" s="14"/>
      <c r="AL10" s="14"/>
    </row>
    <row r="11" spans="3:38" ht="12.75" customHeight="1" x14ac:dyDescent="0.35">
      <c r="C11" s="224" t="str" cm="1">
        <f t="array" ref="C11">INDEX('List Values'!$B$2:$B$21,(1+ROUNDDOWN((ROW()-ROW($C$5))*1/6,2)))</f>
        <v>Import - Repackaging</v>
      </c>
      <c r="D11" s="224" t="s">
        <v>34</v>
      </c>
      <c r="E11" s="218" t="s">
        <v>52</v>
      </c>
      <c r="F11" s="225" t="s">
        <v>108</v>
      </c>
      <c r="G11" s="164">
        <f>IF(E11="High-End",SUMIFS(Inhalation_Exp[24hr_High-End],Inhalation_Exp[OES],$C11,Inhalation_Exp[Worker Type],$D11,Inhalation_Exp[Data Type],$F11),SUMIFS(Inhalation_Exp[24hr_Central Tendency],Inhalation_Exp[OES],$C11,Inhalation_Exp[Worker Type],$D11,Inhalation_Exp[Data Type],$F11))</f>
        <v>0</v>
      </c>
      <c r="H11" s="164">
        <f>IF(E11="High-End",SUMIFS(Inhalation_Exp[Int_High-End],Inhalation_Exp[OES],$C11,Inhalation_Exp[Worker Type],$D11,Inhalation_Exp[Data Type],$F11),SUMIFS(Inhalation_Exp[Int_Central Tendency],Inhalation_Exp[OES],$C11,Inhalation_Exp[Worker Type],$D11,Inhalation_Exp[Data Type],$F11))</f>
        <v>0</v>
      </c>
      <c r="I11" s="164">
        <f>IF(E11="High-End",SUMIFS(Inhalation_Exp[ADC_High-End],Inhalation_Exp[OES],$C11,Inhalation_Exp[Worker Type],$D11,Inhalation_Exp[Data Type],$F11),SUMIFS(Inhalation_Exp[ADC_Central Tendency],Inhalation_Exp[OES],$C11,Inhalation_Exp[Worker Type],$D11,Inhalation_Exp[Data Type],$F11))</f>
        <v>0</v>
      </c>
      <c r="J11" s="164" t="e">
        <f>IF(E11="High-End",SUMIFS(#REF!,Inhalation_Exp[OES],$C11,Inhalation_Exp[Worker Type],$D11,Inhalation_Exp[Data Type],$F11),SUMIFS(#REF!,Inhalation_Exp[OES],$C11,Inhalation_Exp[Worker Type],$D11,Inhalation_Exp[Data Type],$F11))</f>
        <v>#REF!</v>
      </c>
      <c r="K11" s="207" t="e">
        <f>IF($E11="High-End",SUMIFS(#REF!,Dermal_Exp[Worker Type],$D11,Dermal_Exp[OES],$C11),SUMIFS(#REF!,Dermal_Exp[Worker Type],$D11,Dermal_Exp[OES],$C11))</f>
        <v>#REF!</v>
      </c>
      <c r="L11" s="207" t="e">
        <f>IF($E11="High-End",SUMIFS(#REF!,Dermal_Exp[Worker Type],$D11,Dermal_Exp[OES],$C11),SUMIFS(#REF!,Dermal_Exp[Worker Type],$D11,Dermal_Exp[OES],$C11))</f>
        <v>#REF!</v>
      </c>
      <c r="M11" s="207" t="e">
        <f>IF($E11="High-End",SUMIFS(#REF!,Dermal_Exp[Worker Type],$D11,Dermal_Exp[OES],$C11),SUMIFS(#REF!,Dermal_Exp[Worker Type],$D11,Dermal_Exp[OES],$C11))</f>
        <v>#REF!</v>
      </c>
      <c r="N11" s="207" t="e">
        <f>IF($E11="High-End",SUMIFS(#REF!,Dermal_Exp[Worker Type],$D11,Dermal_Exp[OES],$C11),SUMIFS(#REF!,Dermal_Exp[Worker Type],$D11,Dermal_Exp[OES],$C11))</f>
        <v>#REF!</v>
      </c>
      <c r="O11" s="226" t="e">
        <f t="shared" si="1"/>
        <v>#REF!</v>
      </c>
      <c r="P11" s="226" t="e">
        <f t="shared" ref="P11:P74" si="2">H11+L11</f>
        <v>#REF!</v>
      </c>
      <c r="Q11" s="226" t="e">
        <f t="shared" ref="Q11:Q74" si="3">I11+M11</f>
        <v>#REF!</v>
      </c>
      <c r="R11" s="226" t="e">
        <f t="shared" ref="R11:R74" si="4">J11+N11</f>
        <v>#REF!</v>
      </c>
      <c r="AF11" s="14"/>
      <c r="AG11" s="14"/>
      <c r="AH11" s="14"/>
      <c r="AI11" s="14"/>
      <c r="AJ11" s="14"/>
      <c r="AK11" s="14"/>
      <c r="AL11" s="14"/>
    </row>
    <row r="12" spans="3:38" ht="12.75" customHeight="1" x14ac:dyDescent="0.35">
      <c r="C12" s="224" t="str" cm="1">
        <f t="array" ref="C12">INDEX('List Values'!$B$2:$B$21,(1+ROUNDDOWN((ROW()-ROW($C$5))*1/6,2)))</f>
        <v>Import - Repackaging</v>
      </c>
      <c r="D12" s="224" t="s">
        <v>34</v>
      </c>
      <c r="E12" s="224" t="s">
        <v>53</v>
      </c>
      <c r="F12" s="225" t="s">
        <v>108</v>
      </c>
      <c r="G12" s="164">
        <f>IF(E12="High-End",SUMIFS(Inhalation_Exp[24hr_High-End],Inhalation_Exp[OES],$C12,Inhalation_Exp[Worker Type],$D12,Inhalation_Exp[Data Type],$F12),SUMIFS(Inhalation_Exp[24hr_Central Tendency],Inhalation_Exp[OES],$C12,Inhalation_Exp[Worker Type],$D12,Inhalation_Exp[Data Type],$F12))</f>
        <v>0</v>
      </c>
      <c r="H12" s="164">
        <f>IF(E12="High-End",SUMIFS(Inhalation_Exp[Int_High-End],Inhalation_Exp[OES],$C12,Inhalation_Exp[Worker Type],$D12,Inhalation_Exp[Data Type],$F12),SUMIFS(Inhalation_Exp[Int_Central Tendency],Inhalation_Exp[OES],$C12,Inhalation_Exp[Worker Type],$D12,Inhalation_Exp[Data Type],$F12))</f>
        <v>0</v>
      </c>
      <c r="I12" s="164">
        <f>IF(E12="High-End",SUMIFS(Inhalation_Exp[ADC_High-End],Inhalation_Exp[OES],$C12,Inhalation_Exp[Worker Type],$D12,Inhalation_Exp[Data Type],$F12),SUMIFS(Inhalation_Exp[ADC_Central Tendency],Inhalation_Exp[OES],$C12,Inhalation_Exp[Worker Type],$D12,Inhalation_Exp[Data Type],$F12))</f>
        <v>0</v>
      </c>
      <c r="J12" s="164" t="e">
        <f>IF(E12="High-End",SUMIFS(#REF!,Inhalation_Exp[OES],$C12,Inhalation_Exp[Worker Type],$D12,Inhalation_Exp[Data Type],$F12),SUMIFS(#REF!,Inhalation_Exp[OES],$C12,Inhalation_Exp[Worker Type],$D12,Inhalation_Exp[Data Type],$F12))</f>
        <v>#REF!</v>
      </c>
      <c r="K12" s="207" t="e">
        <f>IF($E12="High-End",SUMIFS(#REF!,Dermal_Exp[Worker Type],$D12,Dermal_Exp[OES],$C12),SUMIFS(#REF!,Dermal_Exp[Worker Type],$D12,Dermal_Exp[OES],$C12))</f>
        <v>#REF!</v>
      </c>
      <c r="L12" s="207" t="e">
        <f>IF($E12="High-End",SUMIFS(#REF!,Dermal_Exp[Worker Type],$D12,Dermal_Exp[OES],$C12),SUMIFS(#REF!,Dermal_Exp[Worker Type],$D12,Dermal_Exp[OES],$C12))</f>
        <v>#REF!</v>
      </c>
      <c r="M12" s="207" t="e">
        <f>IF($E12="High-End",SUMIFS(#REF!,Dermal_Exp[Worker Type],$D12,Dermal_Exp[OES],$C12),SUMIFS(#REF!,Dermal_Exp[Worker Type],$D12,Dermal_Exp[OES],$C12))</f>
        <v>#REF!</v>
      </c>
      <c r="N12" s="207" t="e">
        <f>IF($E12="High-End",SUMIFS(#REF!,Dermal_Exp[Worker Type],$D12,Dermal_Exp[OES],$C12),SUMIFS(#REF!,Dermal_Exp[Worker Type],$D12,Dermal_Exp[OES],$C12))</f>
        <v>#REF!</v>
      </c>
      <c r="O12" s="226" t="e">
        <f t="shared" ref="O12:O75" si="5">G12+K12</f>
        <v>#REF!</v>
      </c>
      <c r="P12" s="226" t="e">
        <f t="shared" si="2"/>
        <v>#REF!</v>
      </c>
      <c r="Q12" s="226" t="e">
        <f t="shared" si="3"/>
        <v>#REF!</v>
      </c>
      <c r="R12" s="226" t="e">
        <f t="shared" si="4"/>
        <v>#REF!</v>
      </c>
      <c r="AF12" s="14"/>
      <c r="AG12" s="14"/>
      <c r="AH12" s="14"/>
      <c r="AI12" s="14"/>
      <c r="AJ12" s="14"/>
      <c r="AK12" s="14"/>
      <c r="AL12" s="14"/>
    </row>
    <row r="13" spans="3:38" ht="12.75" customHeight="1" x14ac:dyDescent="0.35">
      <c r="C13" s="224" t="str" cm="1">
        <f t="array" ref="C13">INDEX('List Values'!$B$2:$B$21,(1+ROUNDDOWN((ROW()-ROW($C$5))*1/6,2)))</f>
        <v>Import - Repackaging</v>
      </c>
      <c r="D13" s="224" t="s">
        <v>109</v>
      </c>
      <c r="E13" s="224" t="s">
        <v>52</v>
      </c>
      <c r="F13" s="225" t="s">
        <v>108</v>
      </c>
      <c r="G13" s="164">
        <f>IF(E13="High-End",SUMIFS(Inhalation_Exp[24hr_High-End],Inhalation_Exp[OES],$C13,Inhalation_Exp[Worker Type],$D13,Inhalation_Exp[Data Type],$F13),SUMIFS(Inhalation_Exp[24hr_Central Tendency],Inhalation_Exp[OES],$C13,Inhalation_Exp[Worker Type],$D13,Inhalation_Exp[Data Type],$F13))</f>
        <v>0</v>
      </c>
      <c r="H13" s="164">
        <f>IF(E13="High-End",SUMIFS(Inhalation_Exp[Int_High-End],Inhalation_Exp[OES],$C13,Inhalation_Exp[Worker Type],$D13,Inhalation_Exp[Data Type],$F13),SUMIFS(Inhalation_Exp[Int_Central Tendency],Inhalation_Exp[OES],$C13,Inhalation_Exp[Worker Type],$D13,Inhalation_Exp[Data Type],$F13))</f>
        <v>0</v>
      </c>
      <c r="I13" s="164">
        <f>IF(E13="High-End",SUMIFS(Inhalation_Exp[ADC_High-End],Inhalation_Exp[OES],$C13,Inhalation_Exp[Worker Type],$D13,Inhalation_Exp[Data Type],$F13),SUMIFS(Inhalation_Exp[ADC_Central Tendency],Inhalation_Exp[OES],$C13,Inhalation_Exp[Worker Type],$D13,Inhalation_Exp[Data Type],$F13))</f>
        <v>0</v>
      </c>
      <c r="J13" s="164" t="e">
        <f>IF(E13="High-End",SUMIFS(#REF!,Inhalation_Exp[OES],$C13,Inhalation_Exp[Worker Type],$D13,Inhalation_Exp[Data Type],$F13),SUMIFS(#REF!,Inhalation_Exp[OES],$C13,Inhalation_Exp[Worker Type],$D13,Inhalation_Exp[Data Type],$F13))</f>
        <v>#REF!</v>
      </c>
      <c r="K13" s="207" t="e">
        <f>IF($E13="High-End",SUMIFS(#REF!,Dermal_Exp[Worker Type],$D13,Dermal_Exp[OES],$C13),SUMIFS(#REF!,Dermal_Exp[Worker Type],$D13,Dermal_Exp[OES],$C13))</f>
        <v>#REF!</v>
      </c>
      <c r="L13" s="207" t="e">
        <f>IF($E13="High-End",SUMIFS(#REF!,Dermal_Exp[Worker Type],$D13,Dermal_Exp[OES],$C13),SUMIFS(#REF!,Dermal_Exp[Worker Type],$D13,Dermal_Exp[OES],$C13))</f>
        <v>#REF!</v>
      </c>
      <c r="M13" s="207" t="e">
        <f>IF($E13="High-End",SUMIFS(#REF!,Dermal_Exp[Worker Type],$D13,Dermal_Exp[OES],$C13),SUMIFS(#REF!,Dermal_Exp[Worker Type],$D13,Dermal_Exp[OES],$C13))</f>
        <v>#REF!</v>
      </c>
      <c r="N13" s="207" t="e">
        <f>IF($E13="High-End",SUMIFS(#REF!,Dermal_Exp[Worker Type],$D13,Dermal_Exp[OES],$C13),SUMIFS(#REF!,Dermal_Exp[Worker Type],$D13,Dermal_Exp[OES],$C13))</f>
        <v>#REF!</v>
      </c>
      <c r="O13" s="226" t="e">
        <f t="shared" si="5"/>
        <v>#REF!</v>
      </c>
      <c r="P13" s="226" t="e">
        <f t="shared" si="2"/>
        <v>#REF!</v>
      </c>
      <c r="Q13" s="226" t="e">
        <f t="shared" si="3"/>
        <v>#REF!</v>
      </c>
      <c r="R13" s="226" t="e">
        <f t="shared" si="4"/>
        <v>#REF!</v>
      </c>
      <c r="AF13" s="14"/>
      <c r="AG13" s="14"/>
      <c r="AH13" s="14"/>
      <c r="AI13" s="14"/>
      <c r="AJ13" s="14"/>
      <c r="AK13" s="14"/>
      <c r="AL13" s="14"/>
    </row>
    <row r="14" spans="3:38" ht="12.75" customHeight="1" x14ac:dyDescent="0.35">
      <c r="C14" s="224" t="str" cm="1">
        <f t="array" ref="C14">INDEX('List Values'!$B$2:$B$21,(1+ROUNDDOWN((ROW()-ROW($C$5))*1/6,2)))</f>
        <v>Import - Repackaging</v>
      </c>
      <c r="D14" s="224" t="s">
        <v>109</v>
      </c>
      <c r="E14" s="224" t="s">
        <v>53</v>
      </c>
      <c r="F14" s="225" t="s">
        <v>108</v>
      </c>
      <c r="G14" s="164">
        <f>IF(E14="High-End",SUMIFS(Inhalation_Exp[24hr_High-End],Inhalation_Exp[OES],$C14,Inhalation_Exp[Worker Type],$D14,Inhalation_Exp[Data Type],$F14),SUMIFS(Inhalation_Exp[24hr_Central Tendency],Inhalation_Exp[OES],$C14,Inhalation_Exp[Worker Type],$D14,Inhalation_Exp[Data Type],$F14))</f>
        <v>0</v>
      </c>
      <c r="H14" s="164">
        <f>IF(E14="High-End",SUMIFS(Inhalation_Exp[Int_High-End],Inhalation_Exp[OES],$C14,Inhalation_Exp[Worker Type],$D14,Inhalation_Exp[Data Type],$F14),SUMIFS(Inhalation_Exp[Int_Central Tendency],Inhalation_Exp[OES],$C14,Inhalation_Exp[Worker Type],$D14,Inhalation_Exp[Data Type],$F14))</f>
        <v>0</v>
      </c>
      <c r="I14" s="164">
        <f>IF(E14="High-End",SUMIFS(Inhalation_Exp[ADC_High-End],Inhalation_Exp[OES],$C14,Inhalation_Exp[Worker Type],$D14,Inhalation_Exp[Data Type],$F14),SUMIFS(Inhalation_Exp[ADC_Central Tendency],Inhalation_Exp[OES],$C14,Inhalation_Exp[Worker Type],$D14,Inhalation_Exp[Data Type],$F14))</f>
        <v>0</v>
      </c>
      <c r="J14" s="164" t="e">
        <f>IF(E14="High-End",SUMIFS(#REF!,Inhalation_Exp[OES],$C14,Inhalation_Exp[Worker Type],$D14,Inhalation_Exp[Data Type],$F14),SUMIFS(#REF!,Inhalation_Exp[OES],$C14,Inhalation_Exp[Worker Type],$D14,Inhalation_Exp[Data Type],$F14))</f>
        <v>#REF!</v>
      </c>
      <c r="K14" s="207" t="e">
        <f>IF($E14="High-End",SUMIFS(#REF!,Dermal_Exp[Worker Type],$D14,Dermal_Exp[OES],$C14),SUMIFS(#REF!,Dermal_Exp[Worker Type],$D14,Dermal_Exp[OES],$C14))</f>
        <v>#REF!</v>
      </c>
      <c r="L14" s="207" t="e">
        <f>IF($E14="High-End",SUMIFS(#REF!,Dermal_Exp[Worker Type],$D14,Dermal_Exp[OES],$C14),SUMIFS(#REF!,Dermal_Exp[Worker Type],$D14,Dermal_Exp[OES],$C14))</f>
        <v>#REF!</v>
      </c>
      <c r="M14" s="207" t="e">
        <f>IF($E14="High-End",SUMIFS(#REF!,Dermal_Exp[Worker Type],$D14,Dermal_Exp[OES],$C14),SUMIFS(#REF!,Dermal_Exp[Worker Type],$D14,Dermal_Exp[OES],$C14))</f>
        <v>#REF!</v>
      </c>
      <c r="N14" s="207" t="e">
        <f>IF($E14="High-End",SUMIFS(#REF!,Dermal_Exp[Worker Type],$D14,Dermal_Exp[OES],$C14),SUMIFS(#REF!,Dermal_Exp[Worker Type],$D14,Dermal_Exp[OES],$C14))</f>
        <v>#REF!</v>
      </c>
      <c r="O14" s="226" t="e">
        <f t="shared" si="5"/>
        <v>#REF!</v>
      </c>
      <c r="P14" s="226" t="e">
        <f t="shared" si="2"/>
        <v>#REF!</v>
      </c>
      <c r="Q14" s="226" t="e">
        <f t="shared" si="3"/>
        <v>#REF!</v>
      </c>
      <c r="R14" s="226" t="e">
        <f t="shared" si="4"/>
        <v>#REF!</v>
      </c>
      <c r="AF14" s="14"/>
      <c r="AG14" s="14"/>
      <c r="AH14" s="14"/>
      <c r="AI14" s="14"/>
      <c r="AJ14" s="14"/>
      <c r="AK14" s="14"/>
      <c r="AL14" s="14"/>
    </row>
    <row r="15" spans="3:38" ht="12.75" customHeight="1" x14ac:dyDescent="0.35">
      <c r="C15" s="224" t="str" cm="1">
        <f t="array" ref="C15">INDEX('List Values'!$B$2:$B$21,(1+ROUNDDOWN((ROW()-ROW($C$5))*1/6,2)))</f>
        <v>Import - Repackaging</v>
      </c>
      <c r="D15" s="224" t="s">
        <v>54</v>
      </c>
      <c r="E15" s="224" t="s">
        <v>52</v>
      </c>
      <c r="F15" s="225" t="s">
        <v>108</v>
      </c>
      <c r="G15" s="164">
        <f>IF(E15="High-End",SUMIFS(Inhalation_Exp[24hr_High-End],Inhalation_Exp[OES],$C15,Inhalation_Exp[Worker Type],$D15,Inhalation_Exp[Data Type],$F15),SUMIFS(Inhalation_Exp[24hr_Central Tendency],Inhalation_Exp[OES],$C15,Inhalation_Exp[Worker Type],$D15,Inhalation_Exp[Data Type],$F15))</f>
        <v>0</v>
      </c>
      <c r="H15" s="164">
        <f>IF(E15="High-End",SUMIFS(Inhalation_Exp[Int_High-End],Inhalation_Exp[OES],$C15,Inhalation_Exp[Worker Type],$D15,Inhalation_Exp[Data Type],$F15),SUMIFS(Inhalation_Exp[Int_Central Tendency],Inhalation_Exp[OES],$C15,Inhalation_Exp[Worker Type],$D15,Inhalation_Exp[Data Type],$F15))</f>
        <v>0</v>
      </c>
      <c r="I15" s="164">
        <f>IF(E15="High-End",SUMIFS(Inhalation_Exp[ADC_High-End],Inhalation_Exp[OES],$C15,Inhalation_Exp[Worker Type],$D15,Inhalation_Exp[Data Type],$F15),SUMIFS(Inhalation_Exp[ADC_Central Tendency],Inhalation_Exp[OES],$C15,Inhalation_Exp[Worker Type],$D15,Inhalation_Exp[Data Type],$F15))</f>
        <v>0</v>
      </c>
      <c r="J15" s="164" t="e">
        <f>IF(E15="High-End",SUMIFS(#REF!,Inhalation_Exp[OES],$C15,Inhalation_Exp[Worker Type],$D15,Inhalation_Exp[Data Type],$F15),SUMIFS(#REF!,Inhalation_Exp[OES],$C15,Inhalation_Exp[Worker Type],$D15,Inhalation_Exp[Data Type],$F15))</f>
        <v>#REF!</v>
      </c>
      <c r="K15" s="207" t="e">
        <f>IF($E15="High-End",SUMIFS(#REF!,Dermal_Exp[Worker Type],$D15,Dermal_Exp[OES],$C15),SUMIFS(#REF!,Dermal_Exp[Worker Type],$D15,Dermal_Exp[OES],$C15))</f>
        <v>#REF!</v>
      </c>
      <c r="L15" s="207" t="e">
        <f>IF($E15="High-End",SUMIFS(#REF!,Dermal_Exp[Worker Type],$D15,Dermal_Exp[OES],$C15),SUMIFS(#REF!,Dermal_Exp[Worker Type],$D15,Dermal_Exp[OES],$C15))</f>
        <v>#REF!</v>
      </c>
      <c r="M15" s="207" t="e">
        <f>IF($E15="High-End",SUMIFS(#REF!,Dermal_Exp[Worker Type],$D15,Dermal_Exp[OES],$C15),SUMIFS(#REF!,Dermal_Exp[Worker Type],$D15,Dermal_Exp[OES],$C15))</f>
        <v>#REF!</v>
      </c>
      <c r="N15" s="207" t="e">
        <f>IF($E15="High-End",SUMIFS(#REF!,Dermal_Exp[Worker Type],$D15,Dermal_Exp[OES],$C15),SUMIFS(#REF!,Dermal_Exp[Worker Type],$D15,Dermal_Exp[OES],$C15))</f>
        <v>#REF!</v>
      </c>
      <c r="O15" s="226" t="e">
        <f t="shared" si="5"/>
        <v>#REF!</v>
      </c>
      <c r="P15" s="226" t="e">
        <f t="shared" si="2"/>
        <v>#REF!</v>
      </c>
      <c r="Q15" s="226" t="e">
        <f t="shared" si="3"/>
        <v>#REF!</v>
      </c>
      <c r="R15" s="226" t="e">
        <f t="shared" si="4"/>
        <v>#REF!</v>
      </c>
      <c r="AF15" s="14"/>
      <c r="AG15" s="14"/>
      <c r="AH15" s="14"/>
      <c r="AI15" s="14"/>
      <c r="AJ15" s="14"/>
      <c r="AK15" s="14"/>
      <c r="AL15" s="14"/>
    </row>
    <row r="16" spans="3:38" ht="12.75" customHeight="1" x14ac:dyDescent="0.35">
      <c r="C16" s="224" t="str" cm="1">
        <f t="array" ref="C16">INDEX('List Values'!$B$2:$B$21,(1+ROUNDDOWN((ROW()-ROW($C$5))*1/6,2)))</f>
        <v>Import - Repackaging</v>
      </c>
      <c r="D16" s="224" t="s">
        <v>54</v>
      </c>
      <c r="E16" s="224" t="s">
        <v>53</v>
      </c>
      <c r="F16" s="225" t="s">
        <v>108</v>
      </c>
      <c r="G16" s="164">
        <f>IF(E16="High-End",SUMIFS(Inhalation_Exp[24hr_High-End],Inhalation_Exp[OES],$C16,Inhalation_Exp[Worker Type],$D16,Inhalation_Exp[Data Type],$F16),SUMIFS(Inhalation_Exp[24hr_Central Tendency],Inhalation_Exp[OES],$C16,Inhalation_Exp[Worker Type],$D16,Inhalation_Exp[Data Type],$F16))</f>
        <v>0</v>
      </c>
      <c r="H16" s="164">
        <f>IF(E16="High-End",SUMIFS(Inhalation_Exp[Int_High-End],Inhalation_Exp[OES],$C16,Inhalation_Exp[Worker Type],$D16,Inhalation_Exp[Data Type],$F16),SUMIFS(Inhalation_Exp[Int_Central Tendency],Inhalation_Exp[OES],$C16,Inhalation_Exp[Worker Type],$D16,Inhalation_Exp[Data Type],$F16))</f>
        <v>0</v>
      </c>
      <c r="I16" s="164">
        <f>IF(E16="High-End",SUMIFS(Inhalation_Exp[ADC_High-End],Inhalation_Exp[OES],$C16,Inhalation_Exp[Worker Type],$D16,Inhalation_Exp[Data Type],$F16),SUMIFS(Inhalation_Exp[ADC_Central Tendency],Inhalation_Exp[OES],$C16,Inhalation_Exp[Worker Type],$D16,Inhalation_Exp[Data Type],$F16))</f>
        <v>0</v>
      </c>
      <c r="J16" s="164" t="e">
        <f>IF(E16="High-End",SUMIFS(#REF!,Inhalation_Exp[OES],$C16,Inhalation_Exp[Worker Type],$D16,Inhalation_Exp[Data Type],$F16),SUMIFS(#REF!,Inhalation_Exp[OES],$C16,Inhalation_Exp[Worker Type],$D16,Inhalation_Exp[Data Type],$F16))</f>
        <v>#REF!</v>
      </c>
      <c r="K16" s="207" t="e">
        <f>IF($E16="High-End",SUMIFS(#REF!,Dermal_Exp[Worker Type],$D16,Dermal_Exp[OES],$C16),SUMIFS(#REF!,Dermal_Exp[Worker Type],$D16,Dermal_Exp[OES],$C16))</f>
        <v>#REF!</v>
      </c>
      <c r="L16" s="207" t="e">
        <f>IF($E16="High-End",SUMIFS(#REF!,Dermal_Exp[Worker Type],$D16,Dermal_Exp[OES],$C16),SUMIFS(#REF!,Dermal_Exp[Worker Type],$D16,Dermal_Exp[OES],$C16))</f>
        <v>#REF!</v>
      </c>
      <c r="M16" s="207" t="e">
        <f>IF($E16="High-End",SUMIFS(#REF!,Dermal_Exp[Worker Type],$D16,Dermal_Exp[OES],$C16),SUMIFS(#REF!,Dermal_Exp[Worker Type],$D16,Dermal_Exp[OES],$C16))</f>
        <v>#REF!</v>
      </c>
      <c r="N16" s="207" t="e">
        <f>IF($E16="High-End",SUMIFS(#REF!,Dermal_Exp[Worker Type],$D16,Dermal_Exp[OES],$C16),SUMIFS(#REF!,Dermal_Exp[Worker Type],$D16,Dermal_Exp[OES],$C16))</f>
        <v>#REF!</v>
      </c>
      <c r="O16" s="226" t="e">
        <f t="shared" si="5"/>
        <v>#REF!</v>
      </c>
      <c r="P16" s="226" t="e">
        <f t="shared" si="2"/>
        <v>#REF!</v>
      </c>
      <c r="Q16" s="226" t="e">
        <f t="shared" si="3"/>
        <v>#REF!</v>
      </c>
      <c r="R16" s="226" t="e">
        <f t="shared" si="4"/>
        <v>#REF!</v>
      </c>
      <c r="AF16" s="14"/>
      <c r="AG16" s="14"/>
      <c r="AH16" s="14"/>
      <c r="AI16" s="14"/>
      <c r="AJ16" s="14"/>
      <c r="AK16" s="14"/>
      <c r="AL16" s="14"/>
    </row>
    <row r="17" spans="3:38" ht="12.75" customHeight="1" x14ac:dyDescent="0.35">
      <c r="C17" s="224" t="str" cm="1">
        <f t="array" ref="C17">INDEX('List Values'!$B$2:$B$21,(1+ROUNDDOWN((ROW()-ROW($C$5))*1/6,2)))</f>
        <v>Processing as a Reactant</v>
      </c>
      <c r="D17" s="224" t="s">
        <v>34</v>
      </c>
      <c r="E17" s="218" t="s">
        <v>52</v>
      </c>
      <c r="F17" s="225" t="s">
        <v>108</v>
      </c>
      <c r="G17" s="164">
        <f>IF(E17="High-End",SUMIFS(Inhalation_Exp[24hr_High-End],Inhalation_Exp[OES],$C17,Inhalation_Exp[Worker Type],$D17,Inhalation_Exp[Data Type],$F17),SUMIFS(Inhalation_Exp[24hr_Central Tendency],Inhalation_Exp[OES],$C17,Inhalation_Exp[Worker Type],$D17,Inhalation_Exp[Data Type],$F17))</f>
        <v>0</v>
      </c>
      <c r="H17" s="164">
        <f>IF(E17="High-End",SUMIFS(Inhalation_Exp[Int_High-End],Inhalation_Exp[OES],$C17,Inhalation_Exp[Worker Type],$D17,Inhalation_Exp[Data Type],$F17),SUMIFS(Inhalation_Exp[Int_Central Tendency],Inhalation_Exp[OES],$C17,Inhalation_Exp[Worker Type],$D17,Inhalation_Exp[Data Type],$F17))</f>
        <v>0</v>
      </c>
      <c r="I17" s="164">
        <f>IF(E17="High-End",SUMIFS(Inhalation_Exp[ADC_High-End],Inhalation_Exp[OES],$C17,Inhalation_Exp[Worker Type],$D17,Inhalation_Exp[Data Type],$F17),SUMIFS(Inhalation_Exp[ADC_Central Tendency],Inhalation_Exp[OES],$C17,Inhalation_Exp[Worker Type],$D17,Inhalation_Exp[Data Type],$F17))</f>
        <v>0</v>
      </c>
      <c r="J17" s="164" t="e">
        <f>IF(E17="High-End",SUMIFS(#REF!,Inhalation_Exp[OES],$C17,Inhalation_Exp[Worker Type],$D17,Inhalation_Exp[Data Type],$F17),SUMIFS(#REF!,Inhalation_Exp[OES],$C17,Inhalation_Exp[Worker Type],$D17,Inhalation_Exp[Data Type],$F17))</f>
        <v>#REF!</v>
      </c>
      <c r="K17" s="207" t="e">
        <f>IF($E17="High-End",SUMIFS(#REF!,Dermal_Exp[Worker Type],$D17,Dermal_Exp[OES],$C17),SUMIFS(#REF!,Dermal_Exp[Worker Type],$D17,Dermal_Exp[OES],$C17))</f>
        <v>#REF!</v>
      </c>
      <c r="L17" s="207" t="e">
        <f>IF($E17="High-End",SUMIFS(#REF!,Dermal_Exp[Worker Type],$D17,Dermal_Exp[OES],$C17),SUMIFS(#REF!,Dermal_Exp[Worker Type],$D17,Dermal_Exp[OES],$C17))</f>
        <v>#REF!</v>
      </c>
      <c r="M17" s="207" t="e">
        <f>IF($E17="High-End",SUMIFS(#REF!,Dermal_Exp[Worker Type],$D17,Dermal_Exp[OES],$C17),SUMIFS(#REF!,Dermal_Exp[Worker Type],$D17,Dermal_Exp[OES],$C17))</f>
        <v>#REF!</v>
      </c>
      <c r="N17" s="207" t="e">
        <f>IF($E17="High-End",SUMIFS(#REF!,Dermal_Exp[Worker Type],$D17,Dermal_Exp[OES],$C17),SUMIFS(#REF!,Dermal_Exp[Worker Type],$D17,Dermal_Exp[OES],$C17))</f>
        <v>#REF!</v>
      </c>
      <c r="O17" s="226" t="e">
        <f t="shared" si="5"/>
        <v>#REF!</v>
      </c>
      <c r="P17" s="226" t="e">
        <f t="shared" si="2"/>
        <v>#REF!</v>
      </c>
      <c r="Q17" s="226" t="e">
        <f t="shared" si="3"/>
        <v>#REF!</v>
      </c>
      <c r="R17" s="226" t="e">
        <f t="shared" si="4"/>
        <v>#REF!</v>
      </c>
      <c r="AF17" s="14"/>
      <c r="AG17" s="14"/>
      <c r="AH17" s="14"/>
      <c r="AI17" s="14"/>
      <c r="AJ17" s="14"/>
      <c r="AK17" s="14"/>
      <c r="AL17" s="14"/>
    </row>
    <row r="18" spans="3:38" ht="12.75" customHeight="1" x14ac:dyDescent="0.35">
      <c r="C18" s="224" t="str" cm="1">
        <f t="array" ref="C18">INDEX('List Values'!$B$2:$B$21,(1+ROUNDDOWN((ROW()-ROW($C$5))*1/6,2)))</f>
        <v>Processing as a Reactant</v>
      </c>
      <c r="D18" s="224" t="s">
        <v>34</v>
      </c>
      <c r="E18" s="224" t="s">
        <v>53</v>
      </c>
      <c r="F18" s="225" t="s">
        <v>108</v>
      </c>
      <c r="G18" s="164">
        <f>IF(E18="High-End",SUMIFS(Inhalation_Exp[24hr_High-End],Inhalation_Exp[OES],$C18,Inhalation_Exp[Worker Type],$D18,Inhalation_Exp[Data Type],$F18),SUMIFS(Inhalation_Exp[24hr_Central Tendency],Inhalation_Exp[OES],$C18,Inhalation_Exp[Worker Type],$D18,Inhalation_Exp[Data Type],$F18))</f>
        <v>0</v>
      </c>
      <c r="H18" s="164">
        <f>IF(E18="High-End",SUMIFS(Inhalation_Exp[Int_High-End],Inhalation_Exp[OES],$C18,Inhalation_Exp[Worker Type],$D18,Inhalation_Exp[Data Type],$F18),SUMIFS(Inhalation_Exp[Int_Central Tendency],Inhalation_Exp[OES],$C18,Inhalation_Exp[Worker Type],$D18,Inhalation_Exp[Data Type],$F18))</f>
        <v>0</v>
      </c>
      <c r="I18" s="164">
        <f>IF(E18="High-End",SUMIFS(Inhalation_Exp[ADC_High-End],Inhalation_Exp[OES],$C18,Inhalation_Exp[Worker Type],$D18,Inhalation_Exp[Data Type],$F18),SUMIFS(Inhalation_Exp[ADC_Central Tendency],Inhalation_Exp[OES],$C18,Inhalation_Exp[Worker Type],$D18,Inhalation_Exp[Data Type],$F18))</f>
        <v>0</v>
      </c>
      <c r="J18" s="164" t="e">
        <f>IF(E18="High-End",SUMIFS(#REF!,Inhalation_Exp[OES],$C18,Inhalation_Exp[Worker Type],$D18,Inhalation_Exp[Data Type],$F18),SUMIFS(#REF!,Inhalation_Exp[OES],$C18,Inhalation_Exp[Worker Type],$D18,Inhalation_Exp[Data Type],$F18))</f>
        <v>#REF!</v>
      </c>
      <c r="K18" s="207" t="e">
        <f>IF($E18="High-End",SUMIFS(#REF!,Dermal_Exp[Worker Type],$D18,Dermal_Exp[OES],$C18),SUMIFS(#REF!,Dermal_Exp[Worker Type],$D18,Dermal_Exp[OES],$C18))</f>
        <v>#REF!</v>
      </c>
      <c r="L18" s="207" t="e">
        <f>IF($E18="High-End",SUMIFS(#REF!,Dermal_Exp[Worker Type],$D18,Dermal_Exp[OES],$C18),SUMIFS(#REF!,Dermal_Exp[Worker Type],$D18,Dermal_Exp[OES],$C18))</f>
        <v>#REF!</v>
      </c>
      <c r="M18" s="207" t="e">
        <f>IF($E18="High-End",SUMIFS(#REF!,Dermal_Exp[Worker Type],$D18,Dermal_Exp[OES],$C18),SUMIFS(#REF!,Dermal_Exp[Worker Type],$D18,Dermal_Exp[OES],$C18))</f>
        <v>#REF!</v>
      </c>
      <c r="N18" s="207" t="e">
        <f>IF($E18="High-End",SUMIFS(#REF!,Dermal_Exp[Worker Type],$D18,Dermal_Exp[OES],$C18),SUMIFS(#REF!,Dermal_Exp[Worker Type],$D18,Dermal_Exp[OES],$C18))</f>
        <v>#REF!</v>
      </c>
      <c r="O18" s="226" t="e">
        <f t="shared" si="5"/>
        <v>#REF!</v>
      </c>
      <c r="P18" s="226" t="e">
        <f t="shared" si="2"/>
        <v>#REF!</v>
      </c>
      <c r="Q18" s="226" t="e">
        <f t="shared" si="3"/>
        <v>#REF!</v>
      </c>
      <c r="R18" s="226" t="e">
        <f t="shared" si="4"/>
        <v>#REF!</v>
      </c>
      <c r="AF18" s="14"/>
      <c r="AG18" s="14"/>
      <c r="AH18" s="14"/>
      <c r="AI18" s="14"/>
      <c r="AJ18" s="14"/>
      <c r="AK18" s="14"/>
      <c r="AL18" s="14"/>
    </row>
    <row r="19" spans="3:38" ht="12.75" customHeight="1" x14ac:dyDescent="0.35">
      <c r="C19" s="224" t="str" cm="1">
        <f t="array" ref="C19">INDEX('List Values'!$B$2:$B$21,(1+ROUNDDOWN((ROW()-ROW($C$5))*1/6,2)))</f>
        <v>Processing as a Reactant</v>
      </c>
      <c r="D19" s="224" t="s">
        <v>109</v>
      </c>
      <c r="E19" s="224" t="s">
        <v>52</v>
      </c>
      <c r="F19" s="225" t="s">
        <v>108</v>
      </c>
      <c r="G19" s="164">
        <f>IF(E19="High-End",SUMIFS(Inhalation_Exp[24hr_High-End],Inhalation_Exp[OES],$C19,Inhalation_Exp[Worker Type],$D19,Inhalation_Exp[Data Type],$F19),SUMIFS(Inhalation_Exp[24hr_Central Tendency],Inhalation_Exp[OES],$C19,Inhalation_Exp[Worker Type],$D19,Inhalation_Exp[Data Type],$F19))</f>
        <v>0</v>
      </c>
      <c r="H19" s="164">
        <f>IF(E19="High-End",SUMIFS(Inhalation_Exp[Int_High-End],Inhalation_Exp[OES],$C19,Inhalation_Exp[Worker Type],$D19,Inhalation_Exp[Data Type],$F19),SUMIFS(Inhalation_Exp[Int_Central Tendency],Inhalation_Exp[OES],$C19,Inhalation_Exp[Worker Type],$D19,Inhalation_Exp[Data Type],$F19))</f>
        <v>0</v>
      </c>
      <c r="I19" s="164">
        <f>IF(E19="High-End",SUMIFS(Inhalation_Exp[ADC_High-End],Inhalation_Exp[OES],$C19,Inhalation_Exp[Worker Type],$D19,Inhalation_Exp[Data Type],$F19),SUMIFS(Inhalation_Exp[ADC_Central Tendency],Inhalation_Exp[OES],$C19,Inhalation_Exp[Worker Type],$D19,Inhalation_Exp[Data Type],$F19))</f>
        <v>0</v>
      </c>
      <c r="J19" s="164" t="e">
        <f>IF(E19="High-End",SUMIFS(#REF!,Inhalation_Exp[OES],$C19,Inhalation_Exp[Worker Type],$D19,Inhalation_Exp[Data Type],$F19),SUMIFS(#REF!,Inhalation_Exp[OES],$C19,Inhalation_Exp[Worker Type],$D19,Inhalation_Exp[Data Type],$F19))</f>
        <v>#REF!</v>
      </c>
      <c r="K19" s="207" t="e">
        <f>IF($E19="High-End",SUMIFS(#REF!,Dermal_Exp[Worker Type],$D19,Dermal_Exp[OES],$C19),SUMIFS(#REF!,Dermal_Exp[Worker Type],$D19,Dermal_Exp[OES],$C19))</f>
        <v>#REF!</v>
      </c>
      <c r="L19" s="207" t="e">
        <f>IF($E19="High-End",SUMIFS(#REF!,Dermal_Exp[Worker Type],$D19,Dermal_Exp[OES],$C19),SUMIFS(#REF!,Dermal_Exp[Worker Type],$D19,Dermal_Exp[OES],$C19))</f>
        <v>#REF!</v>
      </c>
      <c r="M19" s="207" t="e">
        <f>IF($E19="High-End",SUMIFS(#REF!,Dermal_Exp[Worker Type],$D19,Dermal_Exp[OES],$C19),SUMIFS(#REF!,Dermal_Exp[Worker Type],$D19,Dermal_Exp[OES],$C19))</f>
        <v>#REF!</v>
      </c>
      <c r="N19" s="207" t="e">
        <f>IF($E19="High-End",SUMIFS(#REF!,Dermal_Exp[Worker Type],$D19,Dermal_Exp[OES],$C19),SUMIFS(#REF!,Dermal_Exp[Worker Type],$D19,Dermal_Exp[OES],$C19))</f>
        <v>#REF!</v>
      </c>
      <c r="O19" s="226" t="e">
        <f t="shared" si="5"/>
        <v>#REF!</v>
      </c>
      <c r="P19" s="226" t="e">
        <f t="shared" si="2"/>
        <v>#REF!</v>
      </c>
      <c r="Q19" s="226" t="e">
        <f t="shared" si="3"/>
        <v>#REF!</v>
      </c>
      <c r="R19" s="226" t="e">
        <f t="shared" si="4"/>
        <v>#REF!</v>
      </c>
      <c r="AF19" s="14"/>
      <c r="AG19" s="14"/>
      <c r="AH19" s="14"/>
      <c r="AI19" s="14"/>
      <c r="AJ19" s="14"/>
      <c r="AK19" s="14"/>
      <c r="AL19" s="14"/>
    </row>
    <row r="20" spans="3:38" ht="12.75" customHeight="1" x14ac:dyDescent="0.35">
      <c r="C20" s="224" t="str" cm="1">
        <f t="array" ref="C20">INDEX('List Values'!$B$2:$B$21,(1+ROUNDDOWN((ROW()-ROW($C$5))*1/6,2)))</f>
        <v>Processing as a Reactant</v>
      </c>
      <c r="D20" s="224" t="s">
        <v>109</v>
      </c>
      <c r="E20" s="224" t="s">
        <v>53</v>
      </c>
      <c r="F20" s="225" t="s">
        <v>108</v>
      </c>
      <c r="G20" s="164">
        <f>IF(E20="High-End",SUMIFS(Inhalation_Exp[24hr_High-End],Inhalation_Exp[OES],$C20,Inhalation_Exp[Worker Type],$D20,Inhalation_Exp[Data Type],$F20),SUMIFS(Inhalation_Exp[24hr_Central Tendency],Inhalation_Exp[OES],$C20,Inhalation_Exp[Worker Type],$D20,Inhalation_Exp[Data Type],$F20))</f>
        <v>0</v>
      </c>
      <c r="H20" s="164">
        <f>IF(E20="High-End",SUMIFS(Inhalation_Exp[Int_High-End],Inhalation_Exp[OES],$C20,Inhalation_Exp[Worker Type],$D20,Inhalation_Exp[Data Type],$F20),SUMIFS(Inhalation_Exp[Int_Central Tendency],Inhalation_Exp[OES],$C20,Inhalation_Exp[Worker Type],$D20,Inhalation_Exp[Data Type],$F20))</f>
        <v>0</v>
      </c>
      <c r="I20" s="164">
        <f>IF(E20="High-End",SUMIFS(Inhalation_Exp[ADC_High-End],Inhalation_Exp[OES],$C20,Inhalation_Exp[Worker Type],$D20,Inhalation_Exp[Data Type],$F20),SUMIFS(Inhalation_Exp[ADC_Central Tendency],Inhalation_Exp[OES],$C20,Inhalation_Exp[Worker Type],$D20,Inhalation_Exp[Data Type],$F20))</f>
        <v>0</v>
      </c>
      <c r="J20" s="164" t="e">
        <f>IF(E20="High-End",SUMIFS(#REF!,Inhalation_Exp[OES],$C20,Inhalation_Exp[Worker Type],$D20,Inhalation_Exp[Data Type],$F20),SUMIFS(#REF!,Inhalation_Exp[OES],$C20,Inhalation_Exp[Worker Type],$D20,Inhalation_Exp[Data Type],$F20))</f>
        <v>#REF!</v>
      </c>
      <c r="K20" s="207" t="e">
        <f>IF($E20="High-End",SUMIFS(#REF!,Dermal_Exp[Worker Type],$D20,Dermal_Exp[OES],$C20),SUMIFS(#REF!,Dermal_Exp[Worker Type],$D20,Dermal_Exp[OES],$C20))</f>
        <v>#REF!</v>
      </c>
      <c r="L20" s="207" t="e">
        <f>IF($E20="High-End",SUMIFS(#REF!,Dermal_Exp[Worker Type],$D20,Dermal_Exp[OES],$C20),SUMIFS(#REF!,Dermal_Exp[Worker Type],$D20,Dermal_Exp[OES],$C20))</f>
        <v>#REF!</v>
      </c>
      <c r="M20" s="207" t="e">
        <f>IF($E20="High-End",SUMIFS(#REF!,Dermal_Exp[Worker Type],$D20,Dermal_Exp[OES],$C20),SUMIFS(#REF!,Dermal_Exp[Worker Type],$D20,Dermal_Exp[OES],$C20))</f>
        <v>#REF!</v>
      </c>
      <c r="N20" s="207" t="e">
        <f>IF($E20="High-End",SUMIFS(#REF!,Dermal_Exp[Worker Type],$D20,Dermal_Exp[OES],$C20),SUMIFS(#REF!,Dermal_Exp[Worker Type],$D20,Dermal_Exp[OES],$C20))</f>
        <v>#REF!</v>
      </c>
      <c r="O20" s="226" t="e">
        <f t="shared" si="5"/>
        <v>#REF!</v>
      </c>
      <c r="P20" s="226" t="e">
        <f t="shared" si="2"/>
        <v>#REF!</v>
      </c>
      <c r="Q20" s="226" t="e">
        <f t="shared" si="3"/>
        <v>#REF!</v>
      </c>
      <c r="R20" s="226" t="e">
        <f t="shared" si="4"/>
        <v>#REF!</v>
      </c>
      <c r="AF20" s="14"/>
      <c r="AG20" s="14"/>
      <c r="AH20" s="14"/>
      <c r="AI20" s="14"/>
      <c r="AJ20" s="14"/>
      <c r="AK20" s="14"/>
      <c r="AL20" s="14"/>
    </row>
    <row r="21" spans="3:38" ht="12.75" customHeight="1" x14ac:dyDescent="0.35">
      <c r="C21" s="224" t="str" cm="1">
        <f t="array" ref="C21">INDEX('List Values'!$B$2:$B$21,(1+ROUNDDOWN((ROW()-ROW($C$5))*1/6,2)))</f>
        <v>Processing as a Reactant</v>
      </c>
      <c r="D21" s="224" t="s">
        <v>54</v>
      </c>
      <c r="E21" s="224" t="s">
        <v>52</v>
      </c>
      <c r="F21" s="225" t="s">
        <v>108</v>
      </c>
      <c r="G21" s="164">
        <f>IF(E21="High-End",SUMIFS(Inhalation_Exp[24hr_High-End],Inhalation_Exp[OES],$C21,Inhalation_Exp[Worker Type],$D21,Inhalation_Exp[Data Type],$F21),SUMIFS(Inhalation_Exp[24hr_Central Tendency],Inhalation_Exp[OES],$C21,Inhalation_Exp[Worker Type],$D21,Inhalation_Exp[Data Type],$F21))</f>
        <v>0</v>
      </c>
      <c r="H21" s="164">
        <f>IF(E21="High-End",SUMIFS(Inhalation_Exp[Int_High-End],Inhalation_Exp[OES],$C21,Inhalation_Exp[Worker Type],$D21,Inhalation_Exp[Data Type],$F21),SUMIFS(Inhalation_Exp[Int_Central Tendency],Inhalation_Exp[OES],$C21,Inhalation_Exp[Worker Type],$D21,Inhalation_Exp[Data Type],$F21))</f>
        <v>0</v>
      </c>
      <c r="I21" s="164">
        <f>IF(E21="High-End",SUMIFS(Inhalation_Exp[ADC_High-End],Inhalation_Exp[OES],$C21,Inhalation_Exp[Worker Type],$D21,Inhalation_Exp[Data Type],$F21),SUMIFS(Inhalation_Exp[ADC_Central Tendency],Inhalation_Exp[OES],$C21,Inhalation_Exp[Worker Type],$D21,Inhalation_Exp[Data Type],$F21))</f>
        <v>0</v>
      </c>
      <c r="J21" s="164" t="e">
        <f>IF(E21="High-End",SUMIFS(#REF!,Inhalation_Exp[OES],$C21,Inhalation_Exp[Worker Type],$D21,Inhalation_Exp[Data Type],$F21),SUMIFS(#REF!,Inhalation_Exp[OES],$C21,Inhalation_Exp[Worker Type],$D21,Inhalation_Exp[Data Type],$F21))</f>
        <v>#REF!</v>
      </c>
      <c r="K21" s="207" t="e">
        <f>IF($E21="High-End",SUMIFS(#REF!,Dermal_Exp[Worker Type],$D21,Dermal_Exp[OES],$C21),SUMIFS(#REF!,Dermal_Exp[Worker Type],$D21,Dermal_Exp[OES],$C21))</f>
        <v>#REF!</v>
      </c>
      <c r="L21" s="207" t="e">
        <f>IF($E21="High-End",SUMIFS(#REF!,Dermal_Exp[Worker Type],$D21,Dermal_Exp[OES],$C21),SUMIFS(#REF!,Dermal_Exp[Worker Type],$D21,Dermal_Exp[OES],$C21))</f>
        <v>#REF!</v>
      </c>
      <c r="M21" s="207" t="e">
        <f>IF($E21="High-End",SUMIFS(#REF!,Dermal_Exp[Worker Type],$D21,Dermal_Exp[OES],$C21),SUMIFS(#REF!,Dermal_Exp[Worker Type],$D21,Dermal_Exp[OES],$C21))</f>
        <v>#REF!</v>
      </c>
      <c r="N21" s="207" t="e">
        <f>IF($E21="High-End",SUMIFS(#REF!,Dermal_Exp[Worker Type],$D21,Dermal_Exp[OES],$C21),SUMIFS(#REF!,Dermal_Exp[Worker Type],$D21,Dermal_Exp[OES],$C21))</f>
        <v>#REF!</v>
      </c>
      <c r="O21" s="226" t="e">
        <f t="shared" si="5"/>
        <v>#REF!</v>
      </c>
      <c r="P21" s="226" t="e">
        <f t="shared" si="2"/>
        <v>#REF!</v>
      </c>
      <c r="Q21" s="226" t="e">
        <f t="shared" si="3"/>
        <v>#REF!</v>
      </c>
      <c r="R21" s="226" t="e">
        <f t="shared" si="4"/>
        <v>#REF!</v>
      </c>
      <c r="AF21" s="14"/>
      <c r="AG21" s="14"/>
      <c r="AH21" s="14"/>
      <c r="AI21" s="14"/>
      <c r="AJ21" s="14"/>
      <c r="AK21" s="14"/>
      <c r="AL21" s="14"/>
    </row>
    <row r="22" spans="3:38" ht="12.75" customHeight="1" x14ac:dyDescent="0.35">
      <c r="C22" s="224" t="str" cm="1">
        <f t="array" ref="C22">INDEX('List Values'!$B$2:$B$21,(1+ROUNDDOWN((ROW()-ROW($C$5))*1/6,2)))</f>
        <v>Processing as a Reactant</v>
      </c>
      <c r="D22" s="224" t="s">
        <v>54</v>
      </c>
      <c r="E22" s="224" t="s">
        <v>53</v>
      </c>
      <c r="F22" s="225" t="s">
        <v>108</v>
      </c>
      <c r="G22" s="164">
        <f>IF(E22="High-End",SUMIFS(Inhalation_Exp[24hr_High-End],Inhalation_Exp[OES],$C22,Inhalation_Exp[Worker Type],$D22,Inhalation_Exp[Data Type],$F22),SUMIFS(Inhalation_Exp[24hr_Central Tendency],Inhalation_Exp[OES],$C22,Inhalation_Exp[Worker Type],$D22,Inhalation_Exp[Data Type],$F22))</f>
        <v>0</v>
      </c>
      <c r="H22" s="164">
        <f>IF(E22="High-End",SUMIFS(Inhalation_Exp[Int_High-End],Inhalation_Exp[OES],$C22,Inhalation_Exp[Worker Type],$D22,Inhalation_Exp[Data Type],$F22),SUMIFS(Inhalation_Exp[Int_Central Tendency],Inhalation_Exp[OES],$C22,Inhalation_Exp[Worker Type],$D22,Inhalation_Exp[Data Type],$F22))</f>
        <v>0</v>
      </c>
      <c r="I22" s="164">
        <f>IF(E22="High-End",SUMIFS(Inhalation_Exp[ADC_High-End],Inhalation_Exp[OES],$C22,Inhalation_Exp[Worker Type],$D22,Inhalation_Exp[Data Type],$F22),SUMIFS(Inhalation_Exp[ADC_Central Tendency],Inhalation_Exp[OES],$C22,Inhalation_Exp[Worker Type],$D22,Inhalation_Exp[Data Type],$F22))</f>
        <v>0</v>
      </c>
      <c r="J22" s="164" t="e">
        <f>IF(E22="High-End",SUMIFS(#REF!,Inhalation_Exp[OES],$C22,Inhalation_Exp[Worker Type],$D22,Inhalation_Exp[Data Type],$F22),SUMIFS(#REF!,Inhalation_Exp[OES],$C22,Inhalation_Exp[Worker Type],$D22,Inhalation_Exp[Data Type],$F22))</f>
        <v>#REF!</v>
      </c>
      <c r="K22" s="207" t="e">
        <f>IF($E22="High-End",SUMIFS(#REF!,Dermal_Exp[Worker Type],$D22,Dermal_Exp[OES],$C22),SUMIFS(#REF!,Dermal_Exp[Worker Type],$D22,Dermal_Exp[OES],$C22))</f>
        <v>#REF!</v>
      </c>
      <c r="L22" s="207" t="e">
        <f>IF($E22="High-End",SUMIFS(#REF!,Dermal_Exp[Worker Type],$D22,Dermal_Exp[OES],$C22),SUMIFS(#REF!,Dermal_Exp[Worker Type],$D22,Dermal_Exp[OES],$C22))</f>
        <v>#REF!</v>
      </c>
      <c r="M22" s="207" t="e">
        <f>IF($E22="High-End",SUMIFS(#REF!,Dermal_Exp[Worker Type],$D22,Dermal_Exp[OES],$C22),SUMIFS(#REF!,Dermal_Exp[Worker Type],$D22,Dermal_Exp[OES],$C22))</f>
        <v>#REF!</v>
      </c>
      <c r="N22" s="207" t="e">
        <f>IF($E22="High-End",SUMIFS(#REF!,Dermal_Exp[Worker Type],$D22,Dermal_Exp[OES],$C22),SUMIFS(#REF!,Dermal_Exp[Worker Type],$D22,Dermal_Exp[OES],$C22))</f>
        <v>#REF!</v>
      </c>
      <c r="O22" s="226" t="e">
        <f t="shared" si="5"/>
        <v>#REF!</v>
      </c>
      <c r="P22" s="226" t="e">
        <f t="shared" si="2"/>
        <v>#REF!</v>
      </c>
      <c r="Q22" s="226" t="e">
        <f t="shared" si="3"/>
        <v>#REF!</v>
      </c>
      <c r="R22" s="226" t="e">
        <f t="shared" si="4"/>
        <v>#REF!</v>
      </c>
      <c r="AF22" s="14"/>
      <c r="AG22" s="14"/>
      <c r="AH22" s="14"/>
      <c r="AI22" s="14"/>
      <c r="AJ22" s="14"/>
      <c r="AK22" s="14"/>
      <c r="AL22" s="14"/>
    </row>
    <row r="23" spans="3:38" ht="12.75" customHeight="1" x14ac:dyDescent="0.35">
      <c r="C23" s="224" t="str" cm="1">
        <f t="array" ref="C23">INDEX('List Values'!$B$2:$B$21,(1+ROUNDDOWN((ROW()-ROW($C$5))*1/6,2)))</f>
        <v>Formulation of Paints and Coatings</v>
      </c>
      <c r="D23" s="224" t="s">
        <v>34</v>
      </c>
      <c r="E23" s="218" t="s">
        <v>52</v>
      </c>
      <c r="F23" s="225" t="s">
        <v>108</v>
      </c>
      <c r="G23" s="164">
        <f>IF(E23="High-End",SUMIFS(Inhalation_Exp[24hr_High-End],Inhalation_Exp[OES],$C23,Inhalation_Exp[Worker Type],$D23,Inhalation_Exp[Data Type],$F23),SUMIFS(Inhalation_Exp[24hr_Central Tendency],Inhalation_Exp[OES],$C23,Inhalation_Exp[Worker Type],$D23,Inhalation_Exp[Data Type],$F23))</f>
        <v>0</v>
      </c>
      <c r="H23" s="164">
        <f>IF(E23="High-End",SUMIFS(Inhalation_Exp[Int_High-End],Inhalation_Exp[OES],$C23,Inhalation_Exp[Worker Type],$D23,Inhalation_Exp[Data Type],$F23),SUMIFS(Inhalation_Exp[Int_Central Tendency],Inhalation_Exp[OES],$C23,Inhalation_Exp[Worker Type],$D23,Inhalation_Exp[Data Type],$F23))</f>
        <v>0</v>
      </c>
      <c r="I23" s="164">
        <f>IF(E23="High-End",SUMIFS(Inhalation_Exp[ADC_High-End],Inhalation_Exp[OES],$C23,Inhalation_Exp[Worker Type],$D23,Inhalation_Exp[Data Type],$F23),SUMIFS(Inhalation_Exp[ADC_Central Tendency],Inhalation_Exp[OES],$C23,Inhalation_Exp[Worker Type],$D23,Inhalation_Exp[Data Type],$F23))</f>
        <v>0</v>
      </c>
      <c r="J23" s="164" t="e">
        <f>IF(E23="High-End",SUMIFS(#REF!,Inhalation_Exp[OES],$C23,Inhalation_Exp[Worker Type],$D23,Inhalation_Exp[Data Type],$F23),SUMIFS(#REF!,Inhalation_Exp[OES],$C23,Inhalation_Exp[Worker Type],$D23,Inhalation_Exp[Data Type],$F23))</f>
        <v>#REF!</v>
      </c>
      <c r="K23" s="207" t="e">
        <f>IF($E23="High-End",SUMIFS(#REF!,Dermal_Exp[Worker Type],$D23,Dermal_Exp[OES],$C23),SUMIFS(#REF!,Dermal_Exp[Worker Type],$D23,Dermal_Exp[OES],$C23))</f>
        <v>#REF!</v>
      </c>
      <c r="L23" s="207" t="e">
        <f>IF($E23="High-End",SUMIFS(#REF!,Dermal_Exp[Worker Type],$D23,Dermal_Exp[OES],$C23),SUMIFS(#REF!,Dermal_Exp[Worker Type],$D23,Dermal_Exp[OES],$C23))</f>
        <v>#REF!</v>
      </c>
      <c r="M23" s="207" t="e">
        <f>IF($E23="High-End",SUMIFS(#REF!,Dermal_Exp[Worker Type],$D23,Dermal_Exp[OES],$C23),SUMIFS(#REF!,Dermal_Exp[Worker Type],$D23,Dermal_Exp[OES],$C23))</f>
        <v>#REF!</v>
      </c>
      <c r="N23" s="207" t="e">
        <f>IF($E23="High-End",SUMIFS(#REF!,Dermal_Exp[Worker Type],$D23,Dermal_Exp[OES],$C23),SUMIFS(#REF!,Dermal_Exp[Worker Type],$D23,Dermal_Exp[OES],$C23))</f>
        <v>#REF!</v>
      </c>
      <c r="O23" s="226" t="e">
        <f t="shared" si="5"/>
        <v>#REF!</v>
      </c>
      <c r="P23" s="226" t="e">
        <f t="shared" si="2"/>
        <v>#REF!</v>
      </c>
      <c r="Q23" s="226" t="e">
        <f t="shared" si="3"/>
        <v>#REF!</v>
      </c>
      <c r="R23" s="226" t="e">
        <f t="shared" si="4"/>
        <v>#REF!</v>
      </c>
      <c r="AF23" s="14"/>
      <c r="AG23" s="14"/>
      <c r="AH23" s="14"/>
      <c r="AI23" s="14"/>
      <c r="AJ23" s="14"/>
      <c r="AK23" s="14"/>
      <c r="AL23" s="14"/>
    </row>
    <row r="24" spans="3:38" ht="12.75" customHeight="1" x14ac:dyDescent="0.35">
      <c r="C24" s="224" t="str" cm="1">
        <f t="array" ref="C24">INDEX('List Values'!$B$2:$B$21,(1+ROUNDDOWN((ROW()-ROW($C$5))*1/6,2)))</f>
        <v>Formulation of Paints and Coatings</v>
      </c>
      <c r="D24" s="224" t="s">
        <v>34</v>
      </c>
      <c r="E24" s="224" t="s">
        <v>53</v>
      </c>
      <c r="F24" s="225" t="s">
        <v>108</v>
      </c>
      <c r="G24" s="164">
        <f>IF(E24="High-End",SUMIFS(Inhalation_Exp[24hr_High-End],Inhalation_Exp[OES],$C24,Inhalation_Exp[Worker Type],$D24,Inhalation_Exp[Data Type],$F24),SUMIFS(Inhalation_Exp[24hr_Central Tendency],Inhalation_Exp[OES],$C24,Inhalation_Exp[Worker Type],$D24,Inhalation_Exp[Data Type],$F24))</f>
        <v>0</v>
      </c>
      <c r="H24" s="164">
        <f>IF(E24="High-End",SUMIFS(Inhalation_Exp[Int_High-End],Inhalation_Exp[OES],$C24,Inhalation_Exp[Worker Type],$D24,Inhalation_Exp[Data Type],$F24),SUMIFS(Inhalation_Exp[Int_Central Tendency],Inhalation_Exp[OES],$C24,Inhalation_Exp[Worker Type],$D24,Inhalation_Exp[Data Type],$F24))</f>
        <v>0</v>
      </c>
      <c r="I24" s="164">
        <f>IF(E24="High-End",SUMIFS(Inhalation_Exp[ADC_High-End],Inhalation_Exp[OES],$C24,Inhalation_Exp[Worker Type],$D24,Inhalation_Exp[Data Type],$F24),SUMIFS(Inhalation_Exp[ADC_Central Tendency],Inhalation_Exp[OES],$C24,Inhalation_Exp[Worker Type],$D24,Inhalation_Exp[Data Type],$F24))</f>
        <v>0</v>
      </c>
      <c r="J24" s="164" t="e">
        <f>IF(E24="High-End",SUMIFS(#REF!,Inhalation_Exp[OES],$C24,Inhalation_Exp[Worker Type],$D24,Inhalation_Exp[Data Type],$F24),SUMIFS(#REF!,Inhalation_Exp[OES],$C24,Inhalation_Exp[Worker Type],$D24,Inhalation_Exp[Data Type],$F24))</f>
        <v>#REF!</v>
      </c>
      <c r="K24" s="207" t="e">
        <f>IF($E24="High-End",SUMIFS(#REF!,Dermal_Exp[Worker Type],$D24,Dermal_Exp[OES],$C24),SUMIFS(#REF!,Dermal_Exp[Worker Type],$D24,Dermal_Exp[OES],$C24))</f>
        <v>#REF!</v>
      </c>
      <c r="L24" s="207" t="e">
        <f>IF($E24="High-End",SUMIFS(#REF!,Dermal_Exp[Worker Type],$D24,Dermal_Exp[OES],$C24),SUMIFS(#REF!,Dermal_Exp[Worker Type],$D24,Dermal_Exp[OES],$C24))</f>
        <v>#REF!</v>
      </c>
      <c r="M24" s="207" t="e">
        <f>IF($E24="High-End",SUMIFS(#REF!,Dermal_Exp[Worker Type],$D24,Dermal_Exp[OES],$C24),SUMIFS(#REF!,Dermal_Exp[Worker Type],$D24,Dermal_Exp[OES],$C24))</f>
        <v>#REF!</v>
      </c>
      <c r="N24" s="207" t="e">
        <f>IF($E24="High-End",SUMIFS(#REF!,Dermal_Exp[Worker Type],$D24,Dermal_Exp[OES],$C24),SUMIFS(#REF!,Dermal_Exp[Worker Type],$D24,Dermal_Exp[OES],$C24))</f>
        <v>#REF!</v>
      </c>
      <c r="O24" s="226" t="e">
        <f t="shared" si="5"/>
        <v>#REF!</v>
      </c>
      <c r="P24" s="226" t="e">
        <f t="shared" si="2"/>
        <v>#REF!</v>
      </c>
      <c r="Q24" s="226" t="e">
        <f t="shared" si="3"/>
        <v>#REF!</v>
      </c>
      <c r="R24" s="226" t="e">
        <f t="shared" si="4"/>
        <v>#REF!</v>
      </c>
      <c r="AF24" s="14"/>
      <c r="AG24" s="14"/>
      <c r="AH24" s="14"/>
      <c r="AI24" s="14"/>
      <c r="AJ24" s="14"/>
      <c r="AK24" s="14"/>
      <c r="AL24" s="14"/>
    </row>
    <row r="25" spans="3:38" ht="12.75" customHeight="1" x14ac:dyDescent="0.35">
      <c r="C25" s="224" t="str" cm="1">
        <f t="array" ref="C25">INDEX('List Values'!$B$2:$B$21,(1+ROUNDDOWN((ROW()-ROW($C$5))*1/6,2)))</f>
        <v>Formulation of Paints and Coatings</v>
      </c>
      <c r="D25" s="224" t="s">
        <v>109</v>
      </c>
      <c r="E25" s="224" t="s">
        <v>52</v>
      </c>
      <c r="F25" s="225" t="s">
        <v>108</v>
      </c>
      <c r="G25" s="164">
        <f>IF(E25="High-End",SUMIFS(Inhalation_Exp[24hr_High-End],Inhalation_Exp[OES],$C25,Inhalation_Exp[Worker Type],$D25,Inhalation_Exp[Data Type],$F25),SUMIFS(Inhalation_Exp[24hr_Central Tendency],Inhalation_Exp[OES],$C25,Inhalation_Exp[Worker Type],$D25,Inhalation_Exp[Data Type],$F25))</f>
        <v>0</v>
      </c>
      <c r="H25" s="164">
        <f>IF(E25="High-End",SUMIFS(Inhalation_Exp[Int_High-End],Inhalation_Exp[OES],$C25,Inhalation_Exp[Worker Type],$D25,Inhalation_Exp[Data Type],$F25),SUMIFS(Inhalation_Exp[Int_Central Tendency],Inhalation_Exp[OES],$C25,Inhalation_Exp[Worker Type],$D25,Inhalation_Exp[Data Type],$F25))</f>
        <v>0</v>
      </c>
      <c r="I25" s="164">
        <f>IF(E25="High-End",SUMIFS(Inhalation_Exp[ADC_High-End],Inhalation_Exp[OES],$C25,Inhalation_Exp[Worker Type],$D25,Inhalation_Exp[Data Type],$F25),SUMIFS(Inhalation_Exp[ADC_Central Tendency],Inhalation_Exp[OES],$C25,Inhalation_Exp[Worker Type],$D25,Inhalation_Exp[Data Type],$F25))</f>
        <v>0</v>
      </c>
      <c r="J25" s="164" t="e">
        <f>IF(E25="High-End",SUMIFS(#REF!,Inhalation_Exp[OES],$C25,Inhalation_Exp[Worker Type],$D25,Inhalation_Exp[Data Type],$F25),SUMIFS(#REF!,Inhalation_Exp[OES],$C25,Inhalation_Exp[Worker Type],$D25,Inhalation_Exp[Data Type],$F25))</f>
        <v>#REF!</v>
      </c>
      <c r="K25" s="207" t="e">
        <f>IF($E25="High-End",SUMIFS(#REF!,Dermal_Exp[Worker Type],$D25,Dermal_Exp[OES],$C25),SUMIFS(#REF!,Dermal_Exp[Worker Type],$D25,Dermal_Exp[OES],$C25))</f>
        <v>#REF!</v>
      </c>
      <c r="L25" s="207" t="e">
        <f>IF($E25="High-End",SUMIFS(#REF!,Dermal_Exp[Worker Type],$D25,Dermal_Exp[OES],$C25),SUMIFS(#REF!,Dermal_Exp[Worker Type],$D25,Dermal_Exp[OES],$C25))</f>
        <v>#REF!</v>
      </c>
      <c r="M25" s="207" t="e">
        <f>IF($E25="High-End",SUMIFS(#REF!,Dermal_Exp[Worker Type],$D25,Dermal_Exp[OES],$C25),SUMIFS(#REF!,Dermal_Exp[Worker Type],$D25,Dermal_Exp[OES],$C25))</f>
        <v>#REF!</v>
      </c>
      <c r="N25" s="207" t="e">
        <f>IF($E25="High-End",SUMIFS(#REF!,Dermal_Exp[Worker Type],$D25,Dermal_Exp[OES],$C25),SUMIFS(#REF!,Dermal_Exp[Worker Type],$D25,Dermal_Exp[OES],$C25))</f>
        <v>#REF!</v>
      </c>
      <c r="O25" s="226" t="e">
        <f t="shared" si="5"/>
        <v>#REF!</v>
      </c>
      <c r="P25" s="226" t="e">
        <f t="shared" si="2"/>
        <v>#REF!</v>
      </c>
      <c r="Q25" s="226" t="e">
        <f t="shared" si="3"/>
        <v>#REF!</v>
      </c>
      <c r="R25" s="226" t="e">
        <f t="shared" si="4"/>
        <v>#REF!</v>
      </c>
      <c r="AF25" s="14"/>
      <c r="AG25" s="14"/>
      <c r="AH25" s="14"/>
      <c r="AI25" s="14"/>
      <c r="AJ25" s="14"/>
      <c r="AK25" s="14"/>
      <c r="AL25" s="14"/>
    </row>
    <row r="26" spans="3:38" ht="12.75" customHeight="1" x14ac:dyDescent="0.35">
      <c r="C26" s="224" t="str" cm="1">
        <f t="array" ref="C26">INDEX('List Values'!$B$2:$B$21,(1+ROUNDDOWN((ROW()-ROW($C$5))*1/6,2)))</f>
        <v>Formulation of Paints and Coatings</v>
      </c>
      <c r="D26" s="224" t="s">
        <v>109</v>
      </c>
      <c r="E26" s="224" t="s">
        <v>53</v>
      </c>
      <c r="F26" s="225" t="s">
        <v>108</v>
      </c>
      <c r="G26" s="164">
        <f>IF(E26="High-End",SUMIFS(Inhalation_Exp[24hr_High-End],Inhalation_Exp[OES],$C26,Inhalation_Exp[Worker Type],$D26,Inhalation_Exp[Data Type],$F26),SUMIFS(Inhalation_Exp[24hr_Central Tendency],Inhalation_Exp[OES],$C26,Inhalation_Exp[Worker Type],$D26,Inhalation_Exp[Data Type],$F26))</f>
        <v>0</v>
      </c>
      <c r="H26" s="164">
        <f>IF(E26="High-End",SUMIFS(Inhalation_Exp[Int_High-End],Inhalation_Exp[OES],$C26,Inhalation_Exp[Worker Type],$D26,Inhalation_Exp[Data Type],$F26),SUMIFS(Inhalation_Exp[Int_Central Tendency],Inhalation_Exp[OES],$C26,Inhalation_Exp[Worker Type],$D26,Inhalation_Exp[Data Type],$F26))</f>
        <v>0</v>
      </c>
      <c r="I26" s="164">
        <f>IF(E26="High-End",SUMIFS(Inhalation_Exp[ADC_High-End],Inhalation_Exp[OES],$C26,Inhalation_Exp[Worker Type],$D26,Inhalation_Exp[Data Type],$F26),SUMIFS(Inhalation_Exp[ADC_Central Tendency],Inhalation_Exp[OES],$C26,Inhalation_Exp[Worker Type],$D26,Inhalation_Exp[Data Type],$F26))</f>
        <v>0</v>
      </c>
      <c r="J26" s="164" t="e">
        <f>IF(E26="High-End",SUMIFS(#REF!,Inhalation_Exp[OES],$C26,Inhalation_Exp[Worker Type],$D26,Inhalation_Exp[Data Type],$F26),SUMIFS(#REF!,Inhalation_Exp[OES],$C26,Inhalation_Exp[Worker Type],$D26,Inhalation_Exp[Data Type],$F26))</f>
        <v>#REF!</v>
      </c>
      <c r="K26" s="207" t="e">
        <f>IF($E26="High-End",SUMIFS(#REF!,Dermal_Exp[Worker Type],$D26,Dermal_Exp[OES],$C26),SUMIFS(#REF!,Dermal_Exp[Worker Type],$D26,Dermal_Exp[OES],$C26))</f>
        <v>#REF!</v>
      </c>
      <c r="L26" s="207" t="e">
        <f>IF($E26="High-End",SUMIFS(#REF!,Dermal_Exp[Worker Type],$D26,Dermal_Exp[OES],$C26),SUMIFS(#REF!,Dermal_Exp[Worker Type],$D26,Dermal_Exp[OES],$C26))</f>
        <v>#REF!</v>
      </c>
      <c r="M26" s="207" t="e">
        <f>IF($E26="High-End",SUMIFS(#REF!,Dermal_Exp[Worker Type],$D26,Dermal_Exp[OES],$C26),SUMIFS(#REF!,Dermal_Exp[Worker Type],$D26,Dermal_Exp[OES],$C26))</f>
        <v>#REF!</v>
      </c>
      <c r="N26" s="207" t="e">
        <f>IF($E26="High-End",SUMIFS(#REF!,Dermal_Exp[Worker Type],$D26,Dermal_Exp[OES],$C26),SUMIFS(#REF!,Dermal_Exp[Worker Type],$D26,Dermal_Exp[OES],$C26))</f>
        <v>#REF!</v>
      </c>
      <c r="O26" s="226" t="e">
        <f t="shared" si="5"/>
        <v>#REF!</v>
      </c>
      <c r="P26" s="226" t="e">
        <f t="shared" si="2"/>
        <v>#REF!</v>
      </c>
      <c r="Q26" s="226" t="e">
        <f t="shared" si="3"/>
        <v>#REF!</v>
      </c>
      <c r="R26" s="226" t="e">
        <f t="shared" si="4"/>
        <v>#REF!</v>
      </c>
      <c r="AF26" s="14"/>
      <c r="AG26" s="14"/>
      <c r="AH26" s="14"/>
      <c r="AI26" s="14"/>
      <c r="AJ26" s="14"/>
      <c r="AK26" s="14"/>
      <c r="AL26" s="14"/>
    </row>
    <row r="27" spans="3:38" ht="12.75" customHeight="1" x14ac:dyDescent="0.35">
      <c r="C27" s="224" t="str" cm="1">
        <f t="array" ref="C27">INDEX('List Values'!$B$2:$B$21,(1+ROUNDDOWN((ROW()-ROW($C$5))*1/6,2)))</f>
        <v>Formulation of Paints and Coatings</v>
      </c>
      <c r="D27" s="224" t="s">
        <v>54</v>
      </c>
      <c r="E27" s="224" t="s">
        <v>52</v>
      </c>
      <c r="F27" s="225" t="s">
        <v>108</v>
      </c>
      <c r="G27" s="164">
        <f>IF(E27="High-End",SUMIFS(Inhalation_Exp[24hr_High-End],Inhalation_Exp[OES],$C27,Inhalation_Exp[Worker Type],$D27,Inhalation_Exp[Data Type],$F27),SUMIFS(Inhalation_Exp[24hr_Central Tendency],Inhalation_Exp[OES],$C27,Inhalation_Exp[Worker Type],$D27,Inhalation_Exp[Data Type],$F27))</f>
        <v>0</v>
      </c>
      <c r="H27" s="164">
        <f>IF(E27="High-End",SUMIFS(Inhalation_Exp[Int_High-End],Inhalation_Exp[OES],$C27,Inhalation_Exp[Worker Type],$D27,Inhalation_Exp[Data Type],$F27),SUMIFS(Inhalation_Exp[Int_Central Tendency],Inhalation_Exp[OES],$C27,Inhalation_Exp[Worker Type],$D27,Inhalation_Exp[Data Type],$F27))</f>
        <v>0</v>
      </c>
      <c r="I27" s="164">
        <f>IF(E27="High-End",SUMIFS(Inhalation_Exp[ADC_High-End],Inhalation_Exp[OES],$C27,Inhalation_Exp[Worker Type],$D27,Inhalation_Exp[Data Type],$F27),SUMIFS(Inhalation_Exp[ADC_Central Tendency],Inhalation_Exp[OES],$C27,Inhalation_Exp[Worker Type],$D27,Inhalation_Exp[Data Type],$F27))</f>
        <v>0</v>
      </c>
      <c r="J27" s="164" t="e">
        <f>IF(E27="High-End",SUMIFS(#REF!,Inhalation_Exp[OES],$C27,Inhalation_Exp[Worker Type],$D27,Inhalation_Exp[Data Type],$F27),SUMIFS(#REF!,Inhalation_Exp[OES],$C27,Inhalation_Exp[Worker Type],$D27,Inhalation_Exp[Data Type],$F27))</f>
        <v>#REF!</v>
      </c>
      <c r="K27" s="207" t="e">
        <f>IF($E27="High-End",SUMIFS(#REF!,Dermal_Exp[Worker Type],$D27,Dermal_Exp[OES],$C27),SUMIFS(#REF!,Dermal_Exp[Worker Type],$D27,Dermal_Exp[OES],$C27))</f>
        <v>#REF!</v>
      </c>
      <c r="L27" s="207" t="e">
        <f>IF($E27="High-End",SUMIFS(#REF!,Dermal_Exp[Worker Type],$D27,Dermal_Exp[OES],$C27),SUMIFS(#REF!,Dermal_Exp[Worker Type],$D27,Dermal_Exp[OES],$C27))</f>
        <v>#REF!</v>
      </c>
      <c r="M27" s="207" t="e">
        <f>IF($E27="High-End",SUMIFS(#REF!,Dermal_Exp[Worker Type],$D27,Dermal_Exp[OES],$C27),SUMIFS(#REF!,Dermal_Exp[Worker Type],$D27,Dermal_Exp[OES],$C27))</f>
        <v>#REF!</v>
      </c>
      <c r="N27" s="207" t="e">
        <f>IF($E27="High-End",SUMIFS(#REF!,Dermal_Exp[Worker Type],$D27,Dermal_Exp[OES],$C27),SUMIFS(#REF!,Dermal_Exp[Worker Type],$D27,Dermal_Exp[OES],$C27))</f>
        <v>#REF!</v>
      </c>
      <c r="O27" s="226" t="e">
        <f t="shared" si="5"/>
        <v>#REF!</v>
      </c>
      <c r="P27" s="226" t="e">
        <f t="shared" si="2"/>
        <v>#REF!</v>
      </c>
      <c r="Q27" s="226" t="e">
        <f t="shared" si="3"/>
        <v>#REF!</v>
      </c>
      <c r="R27" s="226" t="e">
        <f t="shared" si="4"/>
        <v>#REF!</v>
      </c>
      <c r="AF27" s="14"/>
      <c r="AG27" s="14"/>
      <c r="AH27" s="14"/>
      <c r="AI27" s="14"/>
      <c r="AJ27" s="14"/>
      <c r="AK27" s="14"/>
      <c r="AL27" s="14"/>
    </row>
    <row r="28" spans="3:38" ht="12.75" customHeight="1" x14ac:dyDescent="0.35">
      <c r="C28" s="224" t="str" cm="1">
        <f t="array" ref="C28">INDEX('List Values'!$B$2:$B$21,(1+ROUNDDOWN((ROW()-ROW($C$5))*1/6,2)))</f>
        <v>Formulation of Paints and Coatings</v>
      </c>
      <c r="D28" s="224" t="s">
        <v>54</v>
      </c>
      <c r="E28" s="224" t="s">
        <v>53</v>
      </c>
      <c r="F28" s="225" t="s">
        <v>108</v>
      </c>
      <c r="G28" s="164">
        <f>IF(E28="High-End",SUMIFS(Inhalation_Exp[24hr_High-End],Inhalation_Exp[OES],$C28,Inhalation_Exp[Worker Type],$D28,Inhalation_Exp[Data Type],$F28),SUMIFS(Inhalation_Exp[24hr_Central Tendency],Inhalation_Exp[OES],$C28,Inhalation_Exp[Worker Type],$D28,Inhalation_Exp[Data Type],$F28))</f>
        <v>0</v>
      </c>
      <c r="H28" s="164">
        <f>IF(E28="High-End",SUMIFS(Inhalation_Exp[Int_High-End],Inhalation_Exp[OES],$C28,Inhalation_Exp[Worker Type],$D28,Inhalation_Exp[Data Type],$F28),SUMIFS(Inhalation_Exp[Int_Central Tendency],Inhalation_Exp[OES],$C28,Inhalation_Exp[Worker Type],$D28,Inhalation_Exp[Data Type],$F28))</f>
        <v>0</v>
      </c>
      <c r="I28" s="164">
        <f>IF(E28="High-End",SUMIFS(Inhalation_Exp[ADC_High-End],Inhalation_Exp[OES],$C28,Inhalation_Exp[Worker Type],$D28,Inhalation_Exp[Data Type],$F28),SUMIFS(Inhalation_Exp[ADC_Central Tendency],Inhalation_Exp[OES],$C28,Inhalation_Exp[Worker Type],$D28,Inhalation_Exp[Data Type],$F28))</f>
        <v>0</v>
      </c>
      <c r="J28" s="164" t="e">
        <f>IF(E28="High-End",SUMIFS(#REF!,Inhalation_Exp[OES],$C28,Inhalation_Exp[Worker Type],$D28,Inhalation_Exp[Data Type],$F28),SUMIFS(#REF!,Inhalation_Exp[OES],$C28,Inhalation_Exp[Worker Type],$D28,Inhalation_Exp[Data Type],$F28))</f>
        <v>#REF!</v>
      </c>
      <c r="K28" s="207" t="e">
        <f>IF($E28="High-End",SUMIFS(#REF!,Dermal_Exp[Worker Type],$D28,Dermal_Exp[OES],$C28),SUMIFS(#REF!,Dermal_Exp[Worker Type],$D28,Dermal_Exp[OES],$C28))</f>
        <v>#REF!</v>
      </c>
      <c r="L28" s="207" t="e">
        <f>IF($E28="High-End",SUMIFS(#REF!,Dermal_Exp[Worker Type],$D28,Dermal_Exp[OES],$C28),SUMIFS(#REF!,Dermal_Exp[Worker Type],$D28,Dermal_Exp[OES],$C28))</f>
        <v>#REF!</v>
      </c>
      <c r="M28" s="207" t="e">
        <f>IF($E28="High-End",SUMIFS(#REF!,Dermal_Exp[Worker Type],$D28,Dermal_Exp[OES],$C28),SUMIFS(#REF!,Dermal_Exp[Worker Type],$D28,Dermal_Exp[OES],$C28))</f>
        <v>#REF!</v>
      </c>
      <c r="N28" s="207" t="e">
        <f>IF($E28="High-End",SUMIFS(#REF!,Dermal_Exp[Worker Type],$D28,Dermal_Exp[OES],$C28),SUMIFS(#REF!,Dermal_Exp[Worker Type],$D28,Dermal_Exp[OES],$C28))</f>
        <v>#REF!</v>
      </c>
      <c r="O28" s="226" t="e">
        <f t="shared" si="5"/>
        <v>#REF!</v>
      </c>
      <c r="P28" s="226" t="e">
        <f t="shared" si="2"/>
        <v>#REF!</v>
      </c>
      <c r="Q28" s="226" t="e">
        <f t="shared" si="3"/>
        <v>#REF!</v>
      </c>
      <c r="R28" s="226" t="e">
        <f t="shared" si="4"/>
        <v>#REF!</v>
      </c>
      <c r="AF28" s="14"/>
      <c r="AG28" s="14"/>
      <c r="AH28" s="14"/>
      <c r="AI28" s="14"/>
      <c r="AJ28" s="14"/>
      <c r="AK28" s="14"/>
      <c r="AL28" s="14"/>
    </row>
    <row r="29" spans="3:38" ht="12.75" customHeight="1" x14ac:dyDescent="0.35">
      <c r="C29" s="224" t="str" cm="1">
        <f t="array" ref="C29">INDEX('List Values'!$B$2:$B$21,(1+ROUNDDOWN((ROW()-ROW($C$5))*1/6,2)))</f>
        <v>Spray Application of Paints and Coatings - 1-day application</v>
      </c>
      <c r="D29" s="224" t="s">
        <v>34</v>
      </c>
      <c r="E29" s="218" t="s">
        <v>52</v>
      </c>
      <c r="F29" s="225" t="s">
        <v>108</v>
      </c>
      <c r="G29" s="164">
        <f>IF(E29="High-End",SUMIFS(Inhalation_Exp[24hr_High-End],Inhalation_Exp[OES],$C29,Inhalation_Exp[Worker Type],$D29,Inhalation_Exp[Data Type],$F29),SUMIFS(Inhalation_Exp[24hr_Central Tendency],Inhalation_Exp[OES],$C29,Inhalation_Exp[Worker Type],$D29,Inhalation_Exp[Data Type],$F29))</f>
        <v>0</v>
      </c>
      <c r="H29" s="164">
        <f>IF(E29="High-End",SUMIFS(Inhalation_Exp[Int_High-End],Inhalation_Exp[OES],$C29,Inhalation_Exp[Worker Type],$D29,Inhalation_Exp[Data Type],$F29),SUMIFS(Inhalation_Exp[Int_Central Tendency],Inhalation_Exp[OES],$C29,Inhalation_Exp[Worker Type],$D29,Inhalation_Exp[Data Type],$F29))</f>
        <v>0</v>
      </c>
      <c r="I29" s="164">
        <f>IF(E29="High-End",SUMIFS(Inhalation_Exp[ADC_High-End],Inhalation_Exp[OES],$C29,Inhalation_Exp[Worker Type],$D29,Inhalation_Exp[Data Type],$F29),SUMIFS(Inhalation_Exp[ADC_Central Tendency],Inhalation_Exp[OES],$C29,Inhalation_Exp[Worker Type],$D29,Inhalation_Exp[Data Type],$F29))</f>
        <v>0</v>
      </c>
      <c r="J29" s="164" t="e">
        <f>IF(E29="High-End",SUMIFS(#REF!,Inhalation_Exp[OES],$C29,Inhalation_Exp[Worker Type],$D29,Inhalation_Exp[Data Type],$F29),SUMIFS(#REF!,Inhalation_Exp[OES],$C29,Inhalation_Exp[Worker Type],$D29,Inhalation_Exp[Data Type],$F29))</f>
        <v>#REF!</v>
      </c>
      <c r="K29" s="207" t="e">
        <f>IF($E29="High-End",SUMIFS(#REF!,Dermal_Exp[Worker Type],$D29,Dermal_Exp[OES],$C29),SUMIFS(#REF!,Dermal_Exp[Worker Type],$D29,Dermal_Exp[OES],$C29))</f>
        <v>#REF!</v>
      </c>
      <c r="L29" s="207" t="e">
        <f>IF($E29="High-End",SUMIFS(#REF!,Dermal_Exp[Worker Type],$D29,Dermal_Exp[OES],$C29),SUMIFS(#REF!,Dermal_Exp[Worker Type],$D29,Dermal_Exp[OES],$C29))</f>
        <v>#REF!</v>
      </c>
      <c r="M29" s="207" t="e">
        <f>IF($E29="High-End",SUMIFS(#REF!,Dermal_Exp[Worker Type],$D29,Dermal_Exp[OES],$C29),SUMIFS(#REF!,Dermal_Exp[Worker Type],$D29,Dermal_Exp[OES],$C29))</f>
        <v>#REF!</v>
      </c>
      <c r="N29" s="207" t="e">
        <f>IF($E29="High-End",SUMIFS(#REF!,Dermal_Exp[Worker Type],$D29,Dermal_Exp[OES],$C29),SUMIFS(#REF!,Dermal_Exp[Worker Type],$D29,Dermal_Exp[OES],$C29))</f>
        <v>#REF!</v>
      </c>
      <c r="O29" s="226" t="e">
        <f t="shared" si="5"/>
        <v>#REF!</v>
      </c>
      <c r="P29" s="226" t="e">
        <f t="shared" si="2"/>
        <v>#REF!</v>
      </c>
      <c r="Q29" s="226" t="e">
        <f t="shared" si="3"/>
        <v>#REF!</v>
      </c>
      <c r="R29" s="226" t="e">
        <f t="shared" si="4"/>
        <v>#REF!</v>
      </c>
      <c r="AF29" s="14"/>
      <c r="AG29" s="14"/>
      <c r="AH29" s="14"/>
      <c r="AI29" s="14"/>
      <c r="AJ29" s="14"/>
      <c r="AK29" s="14"/>
      <c r="AL29" s="14"/>
    </row>
    <row r="30" spans="3:38" ht="12.75" customHeight="1" x14ac:dyDescent="0.35">
      <c r="C30" s="224" t="str" cm="1">
        <f t="array" ref="C30">INDEX('List Values'!$B$2:$B$21,(1+ROUNDDOWN((ROW()-ROW($C$5))*1/6,2)))</f>
        <v>Spray Application of Paints and Coatings - 1-day application</v>
      </c>
      <c r="D30" s="224" t="s">
        <v>34</v>
      </c>
      <c r="E30" s="224" t="s">
        <v>53</v>
      </c>
      <c r="F30" s="225" t="s">
        <v>108</v>
      </c>
      <c r="G30" s="164">
        <f>IF(E30="High-End",SUMIFS(Inhalation_Exp[24hr_High-End],Inhalation_Exp[OES],$C30,Inhalation_Exp[Worker Type],$D30,Inhalation_Exp[Data Type],$F30),SUMIFS(Inhalation_Exp[24hr_Central Tendency],Inhalation_Exp[OES],$C30,Inhalation_Exp[Worker Type],$D30,Inhalation_Exp[Data Type],$F30))</f>
        <v>0</v>
      </c>
      <c r="H30" s="164">
        <f>IF(E30="High-End",SUMIFS(Inhalation_Exp[Int_High-End],Inhalation_Exp[OES],$C30,Inhalation_Exp[Worker Type],$D30,Inhalation_Exp[Data Type],$F30),SUMIFS(Inhalation_Exp[Int_Central Tendency],Inhalation_Exp[OES],$C30,Inhalation_Exp[Worker Type],$D30,Inhalation_Exp[Data Type],$F30))</f>
        <v>0</v>
      </c>
      <c r="I30" s="164">
        <f>IF(E30="High-End",SUMIFS(Inhalation_Exp[ADC_High-End],Inhalation_Exp[OES],$C30,Inhalation_Exp[Worker Type],$D30,Inhalation_Exp[Data Type],$F30),SUMIFS(Inhalation_Exp[ADC_Central Tendency],Inhalation_Exp[OES],$C30,Inhalation_Exp[Worker Type],$D30,Inhalation_Exp[Data Type],$F30))</f>
        <v>0</v>
      </c>
      <c r="J30" s="164" t="e">
        <f>IF(E30="High-End",SUMIFS(#REF!,Inhalation_Exp[OES],$C30,Inhalation_Exp[Worker Type],$D30,Inhalation_Exp[Data Type],$F30),SUMIFS(#REF!,Inhalation_Exp[OES],$C30,Inhalation_Exp[Worker Type],$D30,Inhalation_Exp[Data Type],$F30))</f>
        <v>#REF!</v>
      </c>
      <c r="K30" s="207" t="e">
        <f>IF($E30="High-End",SUMIFS(#REF!,Dermal_Exp[Worker Type],$D30,Dermal_Exp[OES],$C30),SUMIFS(#REF!,Dermal_Exp[Worker Type],$D30,Dermal_Exp[OES],$C30))</f>
        <v>#REF!</v>
      </c>
      <c r="L30" s="207" t="e">
        <f>IF($E30="High-End",SUMIFS(#REF!,Dermal_Exp[Worker Type],$D30,Dermal_Exp[OES],$C30),SUMIFS(#REF!,Dermal_Exp[Worker Type],$D30,Dermal_Exp[OES],$C30))</f>
        <v>#REF!</v>
      </c>
      <c r="M30" s="207" t="e">
        <f>IF($E30="High-End",SUMIFS(#REF!,Dermal_Exp[Worker Type],$D30,Dermal_Exp[OES],$C30),SUMIFS(#REF!,Dermal_Exp[Worker Type],$D30,Dermal_Exp[OES],$C30))</f>
        <v>#REF!</v>
      </c>
      <c r="N30" s="207" t="e">
        <f>IF($E30="High-End",SUMIFS(#REF!,Dermal_Exp[Worker Type],$D30,Dermal_Exp[OES],$C30),SUMIFS(#REF!,Dermal_Exp[Worker Type],$D30,Dermal_Exp[OES],$C30))</f>
        <v>#REF!</v>
      </c>
      <c r="O30" s="226" t="e">
        <f t="shared" si="5"/>
        <v>#REF!</v>
      </c>
      <c r="P30" s="226" t="e">
        <f t="shared" si="2"/>
        <v>#REF!</v>
      </c>
      <c r="Q30" s="226" t="e">
        <f t="shared" si="3"/>
        <v>#REF!</v>
      </c>
      <c r="R30" s="226" t="e">
        <f t="shared" si="4"/>
        <v>#REF!</v>
      </c>
      <c r="AF30" s="14"/>
      <c r="AG30" s="14"/>
      <c r="AH30" s="14"/>
      <c r="AI30" s="14"/>
      <c r="AJ30" s="14"/>
      <c r="AK30" s="14"/>
      <c r="AL30" s="14"/>
    </row>
    <row r="31" spans="3:38" ht="12.75" customHeight="1" x14ac:dyDescent="0.35">
      <c r="C31" s="224" t="str" cm="1">
        <f t="array" ref="C31">INDEX('List Values'!$B$2:$B$21,(1+ROUNDDOWN((ROW()-ROW($C$5))*1/6,2)))</f>
        <v>Spray Application of Paints and Coatings - 1-day application</v>
      </c>
      <c r="D31" s="224" t="s">
        <v>109</v>
      </c>
      <c r="E31" s="224" t="s">
        <v>52</v>
      </c>
      <c r="F31" s="225" t="s">
        <v>108</v>
      </c>
      <c r="G31" s="164">
        <f>IF(E31="High-End",SUMIFS(Inhalation_Exp[24hr_High-End],Inhalation_Exp[OES],$C31,Inhalation_Exp[Worker Type],$D31,Inhalation_Exp[Data Type],$F31),SUMIFS(Inhalation_Exp[24hr_Central Tendency],Inhalation_Exp[OES],$C31,Inhalation_Exp[Worker Type],$D31,Inhalation_Exp[Data Type],$F31))</f>
        <v>0</v>
      </c>
      <c r="H31" s="164">
        <f>IF(E31="High-End",SUMIFS(Inhalation_Exp[Int_High-End],Inhalation_Exp[OES],$C31,Inhalation_Exp[Worker Type],$D31,Inhalation_Exp[Data Type],$F31),SUMIFS(Inhalation_Exp[Int_Central Tendency],Inhalation_Exp[OES],$C31,Inhalation_Exp[Worker Type],$D31,Inhalation_Exp[Data Type],$F31))</f>
        <v>0</v>
      </c>
      <c r="I31" s="164">
        <f>IF(E31="High-End",SUMIFS(Inhalation_Exp[ADC_High-End],Inhalation_Exp[OES],$C31,Inhalation_Exp[Worker Type],$D31,Inhalation_Exp[Data Type],$F31),SUMIFS(Inhalation_Exp[ADC_Central Tendency],Inhalation_Exp[OES],$C31,Inhalation_Exp[Worker Type],$D31,Inhalation_Exp[Data Type],$F31))</f>
        <v>0</v>
      </c>
      <c r="J31" s="164" t="e">
        <f>IF(E31="High-End",SUMIFS(#REF!,Inhalation_Exp[OES],$C31,Inhalation_Exp[Worker Type],$D31,Inhalation_Exp[Data Type],$F31),SUMIFS(#REF!,Inhalation_Exp[OES],$C31,Inhalation_Exp[Worker Type],$D31,Inhalation_Exp[Data Type],$F31))</f>
        <v>#REF!</v>
      </c>
      <c r="K31" s="207" t="e">
        <f>IF($E31="High-End",SUMIFS(#REF!,Dermal_Exp[Worker Type],$D31,Dermal_Exp[OES],$C31),SUMIFS(#REF!,Dermal_Exp[Worker Type],$D31,Dermal_Exp[OES],$C31))</f>
        <v>#REF!</v>
      </c>
      <c r="L31" s="207" t="e">
        <f>IF($E31="High-End",SUMIFS(#REF!,Dermal_Exp[Worker Type],$D31,Dermal_Exp[OES],$C31),SUMIFS(#REF!,Dermal_Exp[Worker Type],$D31,Dermal_Exp[OES],$C31))</f>
        <v>#REF!</v>
      </c>
      <c r="M31" s="207" t="e">
        <f>IF($E31="High-End",SUMIFS(#REF!,Dermal_Exp[Worker Type],$D31,Dermal_Exp[OES],$C31),SUMIFS(#REF!,Dermal_Exp[Worker Type],$D31,Dermal_Exp[OES],$C31))</f>
        <v>#REF!</v>
      </c>
      <c r="N31" s="207" t="e">
        <f>IF($E31="High-End",SUMIFS(#REF!,Dermal_Exp[Worker Type],$D31,Dermal_Exp[OES],$C31),SUMIFS(#REF!,Dermal_Exp[Worker Type],$D31,Dermal_Exp[OES],$C31))</f>
        <v>#REF!</v>
      </c>
      <c r="O31" s="226" t="e">
        <f t="shared" si="5"/>
        <v>#REF!</v>
      </c>
      <c r="P31" s="226" t="e">
        <f t="shared" si="2"/>
        <v>#REF!</v>
      </c>
      <c r="Q31" s="226" t="e">
        <f t="shared" si="3"/>
        <v>#REF!</v>
      </c>
      <c r="R31" s="226" t="e">
        <f t="shared" si="4"/>
        <v>#REF!</v>
      </c>
      <c r="AF31" s="14"/>
      <c r="AG31" s="14"/>
      <c r="AH31" s="14"/>
      <c r="AI31" s="14"/>
      <c r="AJ31" s="14"/>
      <c r="AK31" s="14"/>
      <c r="AL31" s="14"/>
    </row>
    <row r="32" spans="3:38" ht="12.75" customHeight="1" x14ac:dyDescent="0.35">
      <c r="C32" s="224" t="str" cm="1">
        <f t="array" ref="C32">INDEX('List Values'!$B$2:$B$21,(1+ROUNDDOWN((ROW()-ROW($C$5))*1/6,2)))</f>
        <v>Spray Application of Paints and Coatings - 1-day application</v>
      </c>
      <c r="D32" s="224" t="s">
        <v>109</v>
      </c>
      <c r="E32" s="224" t="s">
        <v>53</v>
      </c>
      <c r="F32" s="225" t="s">
        <v>108</v>
      </c>
      <c r="G32" s="164">
        <f>IF(E32="High-End",SUMIFS(Inhalation_Exp[24hr_High-End],Inhalation_Exp[OES],$C32,Inhalation_Exp[Worker Type],$D32,Inhalation_Exp[Data Type],$F32),SUMIFS(Inhalation_Exp[24hr_Central Tendency],Inhalation_Exp[OES],$C32,Inhalation_Exp[Worker Type],$D32,Inhalation_Exp[Data Type],$F32))</f>
        <v>0</v>
      </c>
      <c r="H32" s="164">
        <f>IF(E32="High-End",SUMIFS(Inhalation_Exp[Int_High-End],Inhalation_Exp[OES],$C32,Inhalation_Exp[Worker Type],$D32,Inhalation_Exp[Data Type],$F32),SUMIFS(Inhalation_Exp[Int_Central Tendency],Inhalation_Exp[OES],$C32,Inhalation_Exp[Worker Type],$D32,Inhalation_Exp[Data Type],$F32))</f>
        <v>0</v>
      </c>
      <c r="I32" s="164">
        <f>IF(E32="High-End",SUMIFS(Inhalation_Exp[ADC_High-End],Inhalation_Exp[OES],$C32,Inhalation_Exp[Worker Type],$D32,Inhalation_Exp[Data Type],$F32),SUMIFS(Inhalation_Exp[ADC_Central Tendency],Inhalation_Exp[OES],$C32,Inhalation_Exp[Worker Type],$D32,Inhalation_Exp[Data Type],$F32))</f>
        <v>0</v>
      </c>
      <c r="J32" s="164" t="e">
        <f>IF(E32="High-End",SUMIFS(#REF!,Inhalation_Exp[OES],$C32,Inhalation_Exp[Worker Type],$D32,Inhalation_Exp[Data Type],$F32),SUMIFS(#REF!,Inhalation_Exp[OES],$C32,Inhalation_Exp[Worker Type],$D32,Inhalation_Exp[Data Type],$F32))</f>
        <v>#REF!</v>
      </c>
      <c r="K32" s="207" t="e">
        <f>IF($E32="High-End",SUMIFS(#REF!,Dermal_Exp[Worker Type],$D32,Dermal_Exp[OES],$C32),SUMIFS(#REF!,Dermal_Exp[Worker Type],$D32,Dermal_Exp[OES],$C32))</f>
        <v>#REF!</v>
      </c>
      <c r="L32" s="207" t="e">
        <f>IF($E32="High-End",SUMIFS(#REF!,Dermal_Exp[Worker Type],$D32,Dermal_Exp[OES],$C32),SUMIFS(#REF!,Dermal_Exp[Worker Type],$D32,Dermal_Exp[OES],$C32))</f>
        <v>#REF!</v>
      </c>
      <c r="M32" s="207" t="e">
        <f>IF($E32="High-End",SUMIFS(#REF!,Dermal_Exp[Worker Type],$D32,Dermal_Exp[OES],$C32),SUMIFS(#REF!,Dermal_Exp[Worker Type],$D32,Dermal_Exp[OES],$C32))</f>
        <v>#REF!</v>
      </c>
      <c r="N32" s="207" t="e">
        <f>IF($E32="High-End",SUMIFS(#REF!,Dermal_Exp[Worker Type],$D32,Dermal_Exp[OES],$C32),SUMIFS(#REF!,Dermal_Exp[Worker Type],$D32,Dermal_Exp[OES],$C32))</f>
        <v>#REF!</v>
      </c>
      <c r="O32" s="226" t="e">
        <f t="shared" si="5"/>
        <v>#REF!</v>
      </c>
      <c r="P32" s="226" t="e">
        <f t="shared" si="2"/>
        <v>#REF!</v>
      </c>
      <c r="Q32" s="226" t="e">
        <f t="shared" si="3"/>
        <v>#REF!</v>
      </c>
      <c r="R32" s="226" t="e">
        <f t="shared" si="4"/>
        <v>#REF!</v>
      </c>
      <c r="AF32" s="14"/>
      <c r="AG32" s="14"/>
      <c r="AH32" s="14"/>
      <c r="AI32" s="14"/>
      <c r="AJ32" s="14"/>
      <c r="AK32" s="14"/>
      <c r="AL32" s="14"/>
    </row>
    <row r="33" spans="3:38" ht="12.75" customHeight="1" x14ac:dyDescent="0.35">
      <c r="C33" s="224" t="str" cm="1">
        <f t="array" ref="C33">INDEX('List Values'!$B$2:$B$21,(1+ROUNDDOWN((ROW()-ROW($C$5))*1/6,2)))</f>
        <v>Spray Application of Paints and Coatings - 1-day application</v>
      </c>
      <c r="D33" s="224" t="s">
        <v>54</v>
      </c>
      <c r="E33" s="224" t="s">
        <v>52</v>
      </c>
      <c r="F33" s="225" t="s">
        <v>108</v>
      </c>
      <c r="G33" s="164">
        <f>IF(E33="High-End",SUMIFS(Inhalation_Exp[24hr_High-End],Inhalation_Exp[OES],$C33,Inhalation_Exp[Worker Type],$D33,Inhalation_Exp[Data Type],$F33),SUMIFS(Inhalation_Exp[24hr_Central Tendency],Inhalation_Exp[OES],$C33,Inhalation_Exp[Worker Type],$D33,Inhalation_Exp[Data Type],$F33))</f>
        <v>0</v>
      </c>
      <c r="H33" s="164">
        <f>IF(E33="High-End",SUMIFS(Inhalation_Exp[Int_High-End],Inhalation_Exp[OES],$C33,Inhalation_Exp[Worker Type],$D33,Inhalation_Exp[Data Type],$F33),SUMIFS(Inhalation_Exp[Int_Central Tendency],Inhalation_Exp[OES],$C33,Inhalation_Exp[Worker Type],$D33,Inhalation_Exp[Data Type],$F33))</f>
        <v>0</v>
      </c>
      <c r="I33" s="164">
        <f>IF(E33="High-End",SUMIFS(Inhalation_Exp[ADC_High-End],Inhalation_Exp[OES],$C33,Inhalation_Exp[Worker Type],$D33,Inhalation_Exp[Data Type],$F33),SUMIFS(Inhalation_Exp[ADC_Central Tendency],Inhalation_Exp[OES],$C33,Inhalation_Exp[Worker Type],$D33,Inhalation_Exp[Data Type],$F33))</f>
        <v>0</v>
      </c>
      <c r="J33" s="164" t="e">
        <f>IF(E33="High-End",SUMIFS(#REF!,Inhalation_Exp[OES],$C33,Inhalation_Exp[Worker Type],$D33,Inhalation_Exp[Data Type],$F33),SUMIFS(#REF!,Inhalation_Exp[OES],$C33,Inhalation_Exp[Worker Type],$D33,Inhalation_Exp[Data Type],$F33))</f>
        <v>#REF!</v>
      </c>
      <c r="K33" s="207" t="e">
        <f>IF($E33="High-End",SUMIFS(#REF!,Dermal_Exp[Worker Type],$D33,Dermal_Exp[OES],$C33),SUMIFS(#REF!,Dermal_Exp[Worker Type],$D33,Dermal_Exp[OES],$C33))</f>
        <v>#REF!</v>
      </c>
      <c r="L33" s="207" t="e">
        <f>IF($E33="High-End",SUMIFS(#REF!,Dermal_Exp[Worker Type],$D33,Dermal_Exp[OES],$C33),SUMIFS(#REF!,Dermal_Exp[Worker Type],$D33,Dermal_Exp[OES],$C33))</f>
        <v>#REF!</v>
      </c>
      <c r="M33" s="207" t="e">
        <f>IF($E33="High-End",SUMIFS(#REF!,Dermal_Exp[Worker Type],$D33,Dermal_Exp[OES],$C33),SUMIFS(#REF!,Dermal_Exp[Worker Type],$D33,Dermal_Exp[OES],$C33))</f>
        <v>#REF!</v>
      </c>
      <c r="N33" s="207" t="e">
        <f>IF($E33="High-End",SUMIFS(#REF!,Dermal_Exp[Worker Type],$D33,Dermal_Exp[OES],$C33),SUMIFS(#REF!,Dermal_Exp[Worker Type],$D33,Dermal_Exp[OES],$C33))</f>
        <v>#REF!</v>
      </c>
      <c r="O33" s="226" t="e">
        <f t="shared" si="5"/>
        <v>#REF!</v>
      </c>
      <c r="P33" s="226" t="e">
        <f t="shared" si="2"/>
        <v>#REF!</v>
      </c>
      <c r="Q33" s="226" t="e">
        <f t="shared" si="3"/>
        <v>#REF!</v>
      </c>
      <c r="R33" s="226" t="e">
        <f t="shared" si="4"/>
        <v>#REF!</v>
      </c>
      <c r="AF33" s="14"/>
      <c r="AG33" s="14"/>
      <c r="AH33" s="14"/>
      <c r="AI33" s="14"/>
      <c r="AJ33" s="14"/>
      <c r="AK33" s="14"/>
      <c r="AL33" s="14"/>
    </row>
    <row r="34" spans="3:38" ht="12.75" customHeight="1" x14ac:dyDescent="0.35">
      <c r="C34" s="224" t="str" cm="1">
        <f t="array" ref="C34">INDEX('List Values'!$B$2:$B$21,(1+ROUNDDOWN((ROW()-ROW($C$5))*1/6,2)))</f>
        <v>Spray Application of Paints and Coatings - 1-day application</v>
      </c>
      <c r="D34" s="224" t="s">
        <v>54</v>
      </c>
      <c r="E34" s="224" t="s">
        <v>53</v>
      </c>
      <c r="F34" s="225" t="s">
        <v>108</v>
      </c>
      <c r="G34" s="164">
        <f>IF(E34="High-End",SUMIFS(Inhalation_Exp[24hr_High-End],Inhalation_Exp[OES],$C34,Inhalation_Exp[Worker Type],$D34,Inhalation_Exp[Data Type],$F34),SUMIFS(Inhalation_Exp[24hr_Central Tendency],Inhalation_Exp[OES],$C34,Inhalation_Exp[Worker Type],$D34,Inhalation_Exp[Data Type],$F34))</f>
        <v>0</v>
      </c>
      <c r="H34" s="164">
        <f>IF(E34="High-End",SUMIFS(Inhalation_Exp[Int_High-End],Inhalation_Exp[OES],$C34,Inhalation_Exp[Worker Type],$D34,Inhalation_Exp[Data Type],$F34),SUMIFS(Inhalation_Exp[Int_Central Tendency],Inhalation_Exp[OES],$C34,Inhalation_Exp[Worker Type],$D34,Inhalation_Exp[Data Type],$F34))</f>
        <v>0</v>
      </c>
      <c r="I34" s="164">
        <f>IF(E34="High-End",SUMIFS(Inhalation_Exp[ADC_High-End],Inhalation_Exp[OES],$C34,Inhalation_Exp[Worker Type],$D34,Inhalation_Exp[Data Type],$F34),SUMIFS(Inhalation_Exp[ADC_Central Tendency],Inhalation_Exp[OES],$C34,Inhalation_Exp[Worker Type],$D34,Inhalation_Exp[Data Type],$F34))</f>
        <v>0</v>
      </c>
      <c r="J34" s="164" t="e">
        <f>IF(E34="High-End",SUMIFS(#REF!,Inhalation_Exp[OES],$C34,Inhalation_Exp[Worker Type],$D34,Inhalation_Exp[Data Type],$F34),SUMIFS(#REF!,Inhalation_Exp[OES],$C34,Inhalation_Exp[Worker Type],$D34,Inhalation_Exp[Data Type],$F34))</f>
        <v>#REF!</v>
      </c>
      <c r="K34" s="207" t="e">
        <f>IF($E34="High-End",SUMIFS(#REF!,Dermal_Exp[Worker Type],$D34,Dermal_Exp[OES],$C34),SUMIFS(#REF!,Dermal_Exp[Worker Type],$D34,Dermal_Exp[OES],$C34))</f>
        <v>#REF!</v>
      </c>
      <c r="L34" s="207" t="e">
        <f>IF($E34="High-End",SUMIFS(#REF!,Dermal_Exp[Worker Type],$D34,Dermal_Exp[OES],$C34),SUMIFS(#REF!,Dermal_Exp[Worker Type],$D34,Dermal_Exp[OES],$C34))</f>
        <v>#REF!</v>
      </c>
      <c r="M34" s="207" t="e">
        <f>IF($E34="High-End",SUMIFS(#REF!,Dermal_Exp[Worker Type],$D34,Dermal_Exp[OES],$C34),SUMIFS(#REF!,Dermal_Exp[Worker Type],$D34,Dermal_Exp[OES],$C34))</f>
        <v>#REF!</v>
      </c>
      <c r="N34" s="207" t="e">
        <f>IF($E34="High-End",SUMIFS(#REF!,Dermal_Exp[Worker Type],$D34,Dermal_Exp[OES],$C34),SUMIFS(#REF!,Dermal_Exp[Worker Type],$D34,Dermal_Exp[OES],$C34))</f>
        <v>#REF!</v>
      </c>
      <c r="O34" s="226" t="e">
        <f t="shared" si="5"/>
        <v>#REF!</v>
      </c>
      <c r="P34" s="226" t="e">
        <f t="shared" si="2"/>
        <v>#REF!</v>
      </c>
      <c r="Q34" s="226" t="e">
        <f t="shared" si="3"/>
        <v>#REF!</v>
      </c>
      <c r="R34" s="226" t="e">
        <f t="shared" si="4"/>
        <v>#REF!</v>
      </c>
      <c r="AF34" s="14"/>
      <c r="AG34" s="14"/>
      <c r="AH34" s="14"/>
      <c r="AI34" s="14"/>
      <c r="AJ34" s="14"/>
      <c r="AK34" s="14"/>
      <c r="AL34" s="14"/>
    </row>
    <row r="35" spans="3:38" ht="12.75" customHeight="1" x14ac:dyDescent="0.35">
      <c r="C35" s="224" t="str" cm="1">
        <f t="array" ref="C35">INDEX('List Values'!$B$2:$B$21,(1+ROUNDDOWN((ROW()-ROW($C$5))*1/6,2)))</f>
        <v>Spray Application of Paints and Coatings - 2-day application</v>
      </c>
      <c r="D35" s="224" t="s">
        <v>34</v>
      </c>
      <c r="E35" s="218" t="s">
        <v>52</v>
      </c>
      <c r="F35" s="225" t="s">
        <v>108</v>
      </c>
      <c r="G35" s="164">
        <f>IF(E35="High-End",SUMIFS(Inhalation_Exp[24hr_High-End],Inhalation_Exp[OES],$C35,Inhalation_Exp[Worker Type],$D35,Inhalation_Exp[Data Type],$F35),SUMIFS(Inhalation_Exp[24hr_Central Tendency],Inhalation_Exp[OES],$C35,Inhalation_Exp[Worker Type],$D35,Inhalation_Exp[Data Type],$F35))</f>
        <v>0</v>
      </c>
      <c r="H35" s="164">
        <f>IF(E35="High-End",SUMIFS(Inhalation_Exp[Int_High-End],Inhalation_Exp[OES],$C35,Inhalation_Exp[Worker Type],$D35,Inhalation_Exp[Data Type],$F35),SUMIFS(Inhalation_Exp[Int_Central Tendency],Inhalation_Exp[OES],$C35,Inhalation_Exp[Worker Type],$D35,Inhalation_Exp[Data Type],$F35))</f>
        <v>0</v>
      </c>
      <c r="I35" s="164">
        <f>IF(E35="High-End",SUMIFS(Inhalation_Exp[ADC_High-End],Inhalation_Exp[OES],$C35,Inhalation_Exp[Worker Type],$D35,Inhalation_Exp[Data Type],$F35),SUMIFS(Inhalation_Exp[ADC_Central Tendency],Inhalation_Exp[OES],$C35,Inhalation_Exp[Worker Type],$D35,Inhalation_Exp[Data Type],$F35))</f>
        <v>0</v>
      </c>
      <c r="J35" s="164" t="e">
        <f>IF(E35="High-End",SUMIFS(#REF!,Inhalation_Exp[OES],$C35,Inhalation_Exp[Worker Type],$D35,Inhalation_Exp[Data Type],$F35),SUMIFS(#REF!,Inhalation_Exp[OES],$C35,Inhalation_Exp[Worker Type],$D35,Inhalation_Exp[Data Type],$F35))</f>
        <v>#REF!</v>
      </c>
      <c r="K35" s="207" t="e">
        <f>IF($E35="High-End",SUMIFS(#REF!,Dermal_Exp[Worker Type],$D35,Dermal_Exp[OES],$C35),SUMIFS(#REF!,Dermal_Exp[Worker Type],$D35,Dermal_Exp[OES],$C35))</f>
        <v>#REF!</v>
      </c>
      <c r="L35" s="207" t="e">
        <f>IF($E35="High-End",SUMIFS(#REF!,Dermal_Exp[Worker Type],$D35,Dermal_Exp[OES],$C35),SUMIFS(#REF!,Dermal_Exp[Worker Type],$D35,Dermal_Exp[OES],$C35))</f>
        <v>#REF!</v>
      </c>
      <c r="M35" s="207" t="e">
        <f>IF($E35="High-End",SUMIFS(#REF!,Dermal_Exp[Worker Type],$D35,Dermal_Exp[OES],$C35),SUMIFS(#REF!,Dermal_Exp[Worker Type],$D35,Dermal_Exp[OES],$C35))</f>
        <v>#REF!</v>
      </c>
      <c r="N35" s="207" t="e">
        <f>IF($E35="High-End",SUMIFS(#REF!,Dermal_Exp[Worker Type],$D35,Dermal_Exp[OES],$C35),SUMIFS(#REF!,Dermal_Exp[Worker Type],$D35,Dermal_Exp[OES],$C35))</f>
        <v>#REF!</v>
      </c>
      <c r="O35" s="226" t="e">
        <f t="shared" si="5"/>
        <v>#REF!</v>
      </c>
      <c r="P35" s="226" t="e">
        <f t="shared" si="2"/>
        <v>#REF!</v>
      </c>
      <c r="Q35" s="226" t="e">
        <f t="shared" si="3"/>
        <v>#REF!</v>
      </c>
      <c r="R35" s="226" t="e">
        <f t="shared" si="4"/>
        <v>#REF!</v>
      </c>
      <c r="AF35" s="14"/>
      <c r="AG35" s="14"/>
      <c r="AH35" s="14"/>
      <c r="AI35" s="14"/>
      <c r="AJ35" s="14"/>
      <c r="AK35" s="14"/>
      <c r="AL35" s="14"/>
    </row>
    <row r="36" spans="3:38" ht="12.75" customHeight="1" x14ac:dyDescent="0.35">
      <c r="C36" s="224" t="str" cm="1">
        <f t="array" ref="C36">INDEX('List Values'!$B$2:$B$21,(1+ROUNDDOWN((ROW()-ROW($C$5))*1/6,2)))</f>
        <v>Spray Application of Paints and Coatings - 2-day application</v>
      </c>
      <c r="D36" s="224" t="s">
        <v>34</v>
      </c>
      <c r="E36" s="224" t="s">
        <v>53</v>
      </c>
      <c r="F36" s="225" t="s">
        <v>108</v>
      </c>
      <c r="G36" s="164">
        <f>IF(E36="High-End",SUMIFS(Inhalation_Exp[24hr_High-End],Inhalation_Exp[OES],$C36,Inhalation_Exp[Worker Type],$D36,Inhalation_Exp[Data Type],$F36),SUMIFS(Inhalation_Exp[24hr_Central Tendency],Inhalation_Exp[OES],$C36,Inhalation_Exp[Worker Type],$D36,Inhalation_Exp[Data Type],$F36))</f>
        <v>0</v>
      </c>
      <c r="H36" s="164">
        <f>IF(E36="High-End",SUMIFS(Inhalation_Exp[Int_High-End],Inhalation_Exp[OES],$C36,Inhalation_Exp[Worker Type],$D36,Inhalation_Exp[Data Type],$F36),SUMIFS(Inhalation_Exp[Int_Central Tendency],Inhalation_Exp[OES],$C36,Inhalation_Exp[Worker Type],$D36,Inhalation_Exp[Data Type],$F36))</f>
        <v>0</v>
      </c>
      <c r="I36" s="164">
        <f>IF(E36="High-End",SUMIFS(Inhalation_Exp[ADC_High-End],Inhalation_Exp[OES],$C36,Inhalation_Exp[Worker Type],$D36,Inhalation_Exp[Data Type],$F36),SUMIFS(Inhalation_Exp[ADC_Central Tendency],Inhalation_Exp[OES],$C36,Inhalation_Exp[Worker Type],$D36,Inhalation_Exp[Data Type],$F36))</f>
        <v>0</v>
      </c>
      <c r="J36" s="164" t="e">
        <f>IF(E36="High-End",SUMIFS(#REF!,Inhalation_Exp[OES],$C36,Inhalation_Exp[Worker Type],$D36,Inhalation_Exp[Data Type],$F36),SUMIFS(#REF!,Inhalation_Exp[OES],$C36,Inhalation_Exp[Worker Type],$D36,Inhalation_Exp[Data Type],$F36))</f>
        <v>#REF!</v>
      </c>
      <c r="K36" s="207" t="e">
        <f>IF($E36="High-End",SUMIFS(#REF!,Dermal_Exp[Worker Type],$D36,Dermal_Exp[OES],$C36),SUMIFS(#REF!,Dermal_Exp[Worker Type],$D36,Dermal_Exp[OES],$C36))</f>
        <v>#REF!</v>
      </c>
      <c r="L36" s="207" t="e">
        <f>IF($E36="High-End",SUMIFS(#REF!,Dermal_Exp[Worker Type],$D36,Dermal_Exp[OES],$C36),SUMIFS(#REF!,Dermal_Exp[Worker Type],$D36,Dermal_Exp[OES],$C36))</f>
        <v>#REF!</v>
      </c>
      <c r="M36" s="207" t="e">
        <f>IF($E36="High-End",SUMIFS(#REF!,Dermal_Exp[Worker Type],$D36,Dermal_Exp[OES],$C36),SUMIFS(#REF!,Dermal_Exp[Worker Type],$D36,Dermal_Exp[OES],$C36))</f>
        <v>#REF!</v>
      </c>
      <c r="N36" s="207" t="e">
        <f>IF($E36="High-End",SUMIFS(#REF!,Dermal_Exp[Worker Type],$D36,Dermal_Exp[OES],$C36),SUMIFS(#REF!,Dermal_Exp[Worker Type],$D36,Dermal_Exp[OES],$C36))</f>
        <v>#REF!</v>
      </c>
      <c r="O36" s="226" t="e">
        <f t="shared" si="5"/>
        <v>#REF!</v>
      </c>
      <c r="P36" s="226" t="e">
        <f t="shared" si="2"/>
        <v>#REF!</v>
      </c>
      <c r="Q36" s="226" t="e">
        <f t="shared" si="3"/>
        <v>#REF!</v>
      </c>
      <c r="R36" s="226" t="e">
        <f t="shared" si="4"/>
        <v>#REF!</v>
      </c>
      <c r="AF36" s="14"/>
      <c r="AG36" s="14"/>
      <c r="AH36" s="14"/>
      <c r="AI36" s="14"/>
      <c r="AJ36" s="14"/>
      <c r="AK36" s="14"/>
      <c r="AL36" s="14"/>
    </row>
    <row r="37" spans="3:38" ht="12.75" customHeight="1" x14ac:dyDescent="0.35">
      <c r="C37" s="224" t="str" cm="1">
        <f t="array" ref="C37">INDEX('List Values'!$B$2:$B$21,(1+ROUNDDOWN((ROW()-ROW($C$5))*1/6,2)))</f>
        <v>Spray Application of Paints and Coatings - 2-day application</v>
      </c>
      <c r="D37" s="224" t="s">
        <v>109</v>
      </c>
      <c r="E37" s="224" t="s">
        <v>52</v>
      </c>
      <c r="F37" s="225" t="s">
        <v>108</v>
      </c>
      <c r="G37" s="164">
        <f>IF(E37="High-End",SUMIFS(Inhalation_Exp[24hr_High-End],Inhalation_Exp[OES],$C37,Inhalation_Exp[Worker Type],$D37,Inhalation_Exp[Data Type],$F37),SUMIFS(Inhalation_Exp[24hr_Central Tendency],Inhalation_Exp[OES],$C37,Inhalation_Exp[Worker Type],$D37,Inhalation_Exp[Data Type],$F37))</f>
        <v>0</v>
      </c>
      <c r="H37" s="164">
        <f>IF(E37="High-End",SUMIFS(Inhalation_Exp[Int_High-End],Inhalation_Exp[OES],$C37,Inhalation_Exp[Worker Type],$D37,Inhalation_Exp[Data Type],$F37),SUMIFS(Inhalation_Exp[Int_Central Tendency],Inhalation_Exp[OES],$C37,Inhalation_Exp[Worker Type],$D37,Inhalation_Exp[Data Type],$F37))</f>
        <v>0</v>
      </c>
      <c r="I37" s="164">
        <f>IF(E37="High-End",SUMIFS(Inhalation_Exp[ADC_High-End],Inhalation_Exp[OES],$C37,Inhalation_Exp[Worker Type],$D37,Inhalation_Exp[Data Type],$F37),SUMIFS(Inhalation_Exp[ADC_Central Tendency],Inhalation_Exp[OES],$C37,Inhalation_Exp[Worker Type],$D37,Inhalation_Exp[Data Type],$F37))</f>
        <v>0</v>
      </c>
      <c r="J37" s="164" t="e">
        <f>IF(E37="High-End",SUMIFS(#REF!,Inhalation_Exp[OES],$C37,Inhalation_Exp[Worker Type],$D37,Inhalation_Exp[Data Type],$F37),SUMIFS(#REF!,Inhalation_Exp[OES],$C37,Inhalation_Exp[Worker Type],$D37,Inhalation_Exp[Data Type],$F37))</f>
        <v>#REF!</v>
      </c>
      <c r="K37" s="207" t="e">
        <f>IF($E37="High-End",SUMIFS(#REF!,Dermal_Exp[Worker Type],$D37,Dermal_Exp[OES],$C37),SUMIFS(#REF!,Dermal_Exp[Worker Type],$D37,Dermal_Exp[OES],$C37))</f>
        <v>#REF!</v>
      </c>
      <c r="L37" s="207" t="e">
        <f>IF($E37="High-End",SUMIFS(#REF!,Dermal_Exp[Worker Type],$D37,Dermal_Exp[OES],$C37),SUMIFS(#REF!,Dermal_Exp[Worker Type],$D37,Dermal_Exp[OES],$C37))</f>
        <v>#REF!</v>
      </c>
      <c r="M37" s="207" t="e">
        <f>IF($E37="High-End",SUMIFS(#REF!,Dermal_Exp[Worker Type],$D37,Dermal_Exp[OES],$C37),SUMIFS(#REF!,Dermal_Exp[Worker Type],$D37,Dermal_Exp[OES],$C37))</f>
        <v>#REF!</v>
      </c>
      <c r="N37" s="207" t="e">
        <f>IF($E37="High-End",SUMIFS(#REF!,Dermal_Exp[Worker Type],$D37,Dermal_Exp[OES],$C37),SUMIFS(#REF!,Dermal_Exp[Worker Type],$D37,Dermal_Exp[OES],$C37))</f>
        <v>#REF!</v>
      </c>
      <c r="O37" s="226" t="e">
        <f t="shared" si="5"/>
        <v>#REF!</v>
      </c>
      <c r="P37" s="226" t="e">
        <f t="shared" si="2"/>
        <v>#REF!</v>
      </c>
      <c r="Q37" s="226" t="e">
        <f t="shared" si="3"/>
        <v>#REF!</v>
      </c>
      <c r="R37" s="226" t="e">
        <f t="shared" si="4"/>
        <v>#REF!</v>
      </c>
      <c r="AF37" s="14"/>
      <c r="AG37" s="14"/>
      <c r="AH37" s="14"/>
      <c r="AI37" s="14"/>
      <c r="AJ37" s="14"/>
      <c r="AK37" s="14"/>
      <c r="AL37" s="14"/>
    </row>
    <row r="38" spans="3:38" ht="12.75" customHeight="1" x14ac:dyDescent="0.35">
      <c r="C38" s="224" t="str" cm="1">
        <f t="array" ref="C38">INDEX('List Values'!$B$2:$B$21,(1+ROUNDDOWN((ROW()-ROW($C$5))*1/6,2)))</f>
        <v>Spray Application of Paints and Coatings - 2-day application</v>
      </c>
      <c r="D38" s="224" t="s">
        <v>109</v>
      </c>
      <c r="E38" s="224" t="s">
        <v>53</v>
      </c>
      <c r="F38" s="225" t="s">
        <v>108</v>
      </c>
      <c r="G38" s="164">
        <f>IF(E38="High-End",SUMIFS(Inhalation_Exp[24hr_High-End],Inhalation_Exp[OES],$C38,Inhalation_Exp[Worker Type],$D38,Inhalation_Exp[Data Type],$F38),SUMIFS(Inhalation_Exp[24hr_Central Tendency],Inhalation_Exp[OES],$C38,Inhalation_Exp[Worker Type],$D38,Inhalation_Exp[Data Type],$F38))</f>
        <v>0</v>
      </c>
      <c r="H38" s="164">
        <f>IF(E38="High-End",SUMIFS(Inhalation_Exp[Int_High-End],Inhalation_Exp[OES],$C38,Inhalation_Exp[Worker Type],$D38,Inhalation_Exp[Data Type],$F38),SUMIFS(Inhalation_Exp[Int_Central Tendency],Inhalation_Exp[OES],$C38,Inhalation_Exp[Worker Type],$D38,Inhalation_Exp[Data Type],$F38))</f>
        <v>0</v>
      </c>
      <c r="I38" s="164">
        <f>IF(E38="High-End",SUMIFS(Inhalation_Exp[ADC_High-End],Inhalation_Exp[OES],$C38,Inhalation_Exp[Worker Type],$D38,Inhalation_Exp[Data Type],$F38),SUMIFS(Inhalation_Exp[ADC_Central Tendency],Inhalation_Exp[OES],$C38,Inhalation_Exp[Worker Type],$D38,Inhalation_Exp[Data Type],$F38))</f>
        <v>0</v>
      </c>
      <c r="J38" s="164" t="e">
        <f>IF(E38="High-End",SUMIFS(#REF!,Inhalation_Exp[OES],$C38,Inhalation_Exp[Worker Type],$D38,Inhalation_Exp[Data Type],$F38),SUMIFS(#REF!,Inhalation_Exp[OES],$C38,Inhalation_Exp[Worker Type],$D38,Inhalation_Exp[Data Type],$F38))</f>
        <v>#REF!</v>
      </c>
      <c r="K38" s="207" t="e">
        <f>IF($E38="High-End",SUMIFS(#REF!,Dermal_Exp[Worker Type],$D38,Dermal_Exp[OES],$C38),SUMIFS(#REF!,Dermal_Exp[Worker Type],$D38,Dermal_Exp[OES],$C38))</f>
        <v>#REF!</v>
      </c>
      <c r="L38" s="207" t="e">
        <f>IF($E38="High-End",SUMIFS(#REF!,Dermal_Exp[Worker Type],$D38,Dermal_Exp[OES],$C38),SUMIFS(#REF!,Dermal_Exp[Worker Type],$D38,Dermal_Exp[OES],$C38))</f>
        <v>#REF!</v>
      </c>
      <c r="M38" s="207" t="e">
        <f>IF($E38="High-End",SUMIFS(#REF!,Dermal_Exp[Worker Type],$D38,Dermal_Exp[OES],$C38),SUMIFS(#REF!,Dermal_Exp[Worker Type],$D38,Dermal_Exp[OES],$C38))</f>
        <v>#REF!</v>
      </c>
      <c r="N38" s="207" t="e">
        <f>IF($E38="High-End",SUMIFS(#REF!,Dermal_Exp[Worker Type],$D38,Dermal_Exp[OES],$C38),SUMIFS(#REF!,Dermal_Exp[Worker Type],$D38,Dermal_Exp[OES],$C38))</f>
        <v>#REF!</v>
      </c>
      <c r="O38" s="226" t="e">
        <f t="shared" si="5"/>
        <v>#REF!</v>
      </c>
      <c r="P38" s="226" t="e">
        <f t="shared" si="2"/>
        <v>#REF!</v>
      </c>
      <c r="Q38" s="226" t="e">
        <f t="shared" si="3"/>
        <v>#REF!</v>
      </c>
      <c r="R38" s="226" t="e">
        <f t="shared" si="4"/>
        <v>#REF!</v>
      </c>
      <c r="AF38" s="14"/>
      <c r="AG38" s="14"/>
      <c r="AH38" s="14"/>
      <c r="AI38" s="14"/>
      <c r="AJ38" s="14"/>
      <c r="AK38" s="14"/>
      <c r="AL38" s="14"/>
    </row>
    <row r="39" spans="3:38" ht="12.75" customHeight="1" x14ac:dyDescent="0.35">
      <c r="C39" s="224" t="str" cm="1">
        <f t="array" ref="C39">INDEX('List Values'!$B$2:$B$21,(1+ROUNDDOWN((ROW()-ROW($C$5))*1/6,2)))</f>
        <v>Spray Application of Paints and Coatings - 2-day application</v>
      </c>
      <c r="D39" s="224" t="s">
        <v>54</v>
      </c>
      <c r="E39" s="224" t="s">
        <v>52</v>
      </c>
      <c r="F39" s="225" t="s">
        <v>108</v>
      </c>
      <c r="G39" s="164">
        <f>IF(E39="High-End",SUMIFS(Inhalation_Exp[24hr_High-End],Inhalation_Exp[OES],$C39,Inhalation_Exp[Worker Type],$D39,Inhalation_Exp[Data Type],$F39),SUMIFS(Inhalation_Exp[24hr_Central Tendency],Inhalation_Exp[OES],$C39,Inhalation_Exp[Worker Type],$D39,Inhalation_Exp[Data Type],$F39))</f>
        <v>0</v>
      </c>
      <c r="H39" s="164">
        <f>IF(E39="High-End",SUMIFS(Inhalation_Exp[Int_High-End],Inhalation_Exp[OES],$C39,Inhalation_Exp[Worker Type],$D39,Inhalation_Exp[Data Type],$F39),SUMIFS(Inhalation_Exp[Int_Central Tendency],Inhalation_Exp[OES],$C39,Inhalation_Exp[Worker Type],$D39,Inhalation_Exp[Data Type],$F39))</f>
        <v>0</v>
      </c>
      <c r="I39" s="164">
        <f>IF(E39="High-End",SUMIFS(Inhalation_Exp[ADC_High-End],Inhalation_Exp[OES],$C39,Inhalation_Exp[Worker Type],$D39,Inhalation_Exp[Data Type],$F39),SUMIFS(Inhalation_Exp[ADC_Central Tendency],Inhalation_Exp[OES],$C39,Inhalation_Exp[Worker Type],$D39,Inhalation_Exp[Data Type],$F39))</f>
        <v>0</v>
      </c>
      <c r="J39" s="164" t="e">
        <f>IF(E39="High-End",SUMIFS(#REF!,Inhalation_Exp[OES],$C39,Inhalation_Exp[Worker Type],$D39,Inhalation_Exp[Data Type],$F39),SUMIFS(#REF!,Inhalation_Exp[OES],$C39,Inhalation_Exp[Worker Type],$D39,Inhalation_Exp[Data Type],$F39))</f>
        <v>#REF!</v>
      </c>
      <c r="K39" s="207" t="e">
        <f>IF($E39="High-End",SUMIFS(#REF!,Dermal_Exp[Worker Type],$D39,Dermal_Exp[OES],$C39),SUMIFS(#REF!,Dermal_Exp[Worker Type],$D39,Dermal_Exp[OES],$C39))</f>
        <v>#REF!</v>
      </c>
      <c r="L39" s="207" t="e">
        <f>IF($E39="High-End",SUMIFS(#REF!,Dermal_Exp[Worker Type],$D39,Dermal_Exp[OES],$C39),SUMIFS(#REF!,Dermal_Exp[Worker Type],$D39,Dermal_Exp[OES],$C39))</f>
        <v>#REF!</v>
      </c>
      <c r="M39" s="207" t="e">
        <f>IF($E39="High-End",SUMIFS(#REF!,Dermal_Exp[Worker Type],$D39,Dermal_Exp[OES],$C39),SUMIFS(#REF!,Dermal_Exp[Worker Type],$D39,Dermal_Exp[OES],$C39))</f>
        <v>#REF!</v>
      </c>
      <c r="N39" s="207" t="e">
        <f>IF($E39="High-End",SUMIFS(#REF!,Dermal_Exp[Worker Type],$D39,Dermal_Exp[OES],$C39),SUMIFS(#REF!,Dermal_Exp[Worker Type],$D39,Dermal_Exp[OES],$C39))</f>
        <v>#REF!</v>
      </c>
      <c r="O39" s="226" t="e">
        <f t="shared" si="5"/>
        <v>#REF!</v>
      </c>
      <c r="P39" s="226" t="e">
        <f t="shared" si="2"/>
        <v>#REF!</v>
      </c>
      <c r="Q39" s="226" t="e">
        <f t="shared" si="3"/>
        <v>#REF!</v>
      </c>
      <c r="R39" s="226" t="e">
        <f t="shared" si="4"/>
        <v>#REF!</v>
      </c>
      <c r="AF39" s="14"/>
      <c r="AG39" s="14"/>
      <c r="AH39" s="14"/>
      <c r="AI39" s="14"/>
      <c r="AJ39" s="14"/>
      <c r="AK39" s="14"/>
      <c r="AL39" s="14"/>
    </row>
    <row r="40" spans="3:38" ht="12.75" customHeight="1" x14ac:dyDescent="0.35">
      <c r="C40" s="224" t="str" cm="1">
        <f t="array" ref="C40">INDEX('List Values'!$B$2:$B$21,(1+ROUNDDOWN((ROW()-ROW($C$5))*1/6,2)))</f>
        <v>Spray Application of Paints and Coatings - 2-day application</v>
      </c>
      <c r="D40" s="224" t="s">
        <v>54</v>
      </c>
      <c r="E40" s="224" t="s">
        <v>53</v>
      </c>
      <c r="F40" s="225" t="s">
        <v>108</v>
      </c>
      <c r="G40" s="164">
        <f>IF(E40="High-End",SUMIFS(Inhalation_Exp[24hr_High-End],Inhalation_Exp[OES],$C40,Inhalation_Exp[Worker Type],$D40,Inhalation_Exp[Data Type],$F40),SUMIFS(Inhalation_Exp[24hr_Central Tendency],Inhalation_Exp[OES],$C40,Inhalation_Exp[Worker Type],$D40,Inhalation_Exp[Data Type],$F40))</f>
        <v>0</v>
      </c>
      <c r="H40" s="164">
        <f>IF(E40="High-End",SUMIFS(Inhalation_Exp[Int_High-End],Inhalation_Exp[OES],$C40,Inhalation_Exp[Worker Type],$D40,Inhalation_Exp[Data Type],$F40),SUMIFS(Inhalation_Exp[Int_Central Tendency],Inhalation_Exp[OES],$C40,Inhalation_Exp[Worker Type],$D40,Inhalation_Exp[Data Type],$F40))</f>
        <v>0</v>
      </c>
      <c r="I40" s="164">
        <f>IF(E40="High-End",SUMIFS(Inhalation_Exp[ADC_High-End],Inhalation_Exp[OES],$C40,Inhalation_Exp[Worker Type],$D40,Inhalation_Exp[Data Type],$F40),SUMIFS(Inhalation_Exp[ADC_Central Tendency],Inhalation_Exp[OES],$C40,Inhalation_Exp[Worker Type],$D40,Inhalation_Exp[Data Type],$F40))</f>
        <v>0</v>
      </c>
      <c r="J40" s="164" t="e">
        <f>IF(E40="High-End",SUMIFS(#REF!,Inhalation_Exp[OES],$C40,Inhalation_Exp[Worker Type],$D40,Inhalation_Exp[Data Type],$F40),SUMIFS(#REF!,Inhalation_Exp[OES],$C40,Inhalation_Exp[Worker Type],$D40,Inhalation_Exp[Data Type],$F40))</f>
        <v>#REF!</v>
      </c>
      <c r="K40" s="207" t="e">
        <f>IF($E40="High-End",SUMIFS(#REF!,Dermal_Exp[Worker Type],$D40,Dermal_Exp[OES],$C40),SUMIFS(#REF!,Dermal_Exp[Worker Type],$D40,Dermal_Exp[OES],$C40))</f>
        <v>#REF!</v>
      </c>
      <c r="L40" s="207" t="e">
        <f>IF($E40="High-End",SUMIFS(#REF!,Dermal_Exp[Worker Type],$D40,Dermal_Exp[OES],$C40),SUMIFS(#REF!,Dermal_Exp[Worker Type],$D40,Dermal_Exp[OES],$C40))</f>
        <v>#REF!</v>
      </c>
      <c r="M40" s="207" t="e">
        <f>IF($E40="High-End",SUMIFS(#REF!,Dermal_Exp[Worker Type],$D40,Dermal_Exp[OES],$C40),SUMIFS(#REF!,Dermal_Exp[Worker Type],$D40,Dermal_Exp[OES],$C40))</f>
        <v>#REF!</v>
      </c>
      <c r="N40" s="207" t="e">
        <f>IF($E40="High-End",SUMIFS(#REF!,Dermal_Exp[Worker Type],$D40,Dermal_Exp[OES],$C40),SUMIFS(#REF!,Dermal_Exp[Worker Type],$D40,Dermal_Exp[OES],$C40))</f>
        <v>#REF!</v>
      </c>
      <c r="O40" s="226" t="e">
        <f t="shared" si="5"/>
        <v>#REF!</v>
      </c>
      <c r="P40" s="226" t="e">
        <f t="shared" si="2"/>
        <v>#REF!</v>
      </c>
      <c r="Q40" s="226" t="e">
        <f t="shared" si="3"/>
        <v>#REF!</v>
      </c>
      <c r="R40" s="226" t="e">
        <f t="shared" si="4"/>
        <v>#REF!</v>
      </c>
      <c r="AF40" s="14"/>
      <c r="AG40" s="14"/>
      <c r="AH40" s="14"/>
      <c r="AI40" s="14"/>
      <c r="AJ40" s="14"/>
      <c r="AK40" s="14"/>
      <c r="AL40" s="14"/>
    </row>
    <row r="41" spans="3:38" ht="12.75" customHeight="1" x14ac:dyDescent="0.35">
      <c r="C41" s="224" t="str" cm="1">
        <f t="array" ref="C41">INDEX('List Values'!$B$2:$B$21,(1+ROUNDDOWN((ROW()-ROW($C$5))*1/6,2)))</f>
        <v>Spray Application of Paints and Coatings - 250-day application</v>
      </c>
      <c r="D41" s="224" t="s">
        <v>34</v>
      </c>
      <c r="E41" s="218" t="s">
        <v>52</v>
      </c>
      <c r="F41" s="225" t="s">
        <v>108</v>
      </c>
      <c r="G41" s="164">
        <f>IF(E41="High-End",SUMIFS(Inhalation_Exp[24hr_High-End],Inhalation_Exp[OES],$C41,Inhalation_Exp[Worker Type],$D41,Inhalation_Exp[Data Type],$F41),SUMIFS(Inhalation_Exp[24hr_Central Tendency],Inhalation_Exp[OES],$C41,Inhalation_Exp[Worker Type],$D41,Inhalation_Exp[Data Type],$F41))</f>
        <v>0</v>
      </c>
      <c r="H41" s="164">
        <f>IF(E41="High-End",SUMIFS(Inhalation_Exp[Int_High-End],Inhalation_Exp[OES],$C41,Inhalation_Exp[Worker Type],$D41,Inhalation_Exp[Data Type],$F41),SUMIFS(Inhalation_Exp[Int_Central Tendency],Inhalation_Exp[OES],$C41,Inhalation_Exp[Worker Type],$D41,Inhalation_Exp[Data Type],$F41))</f>
        <v>0</v>
      </c>
      <c r="I41" s="164">
        <f>IF(E41="High-End",SUMIFS(Inhalation_Exp[ADC_High-End],Inhalation_Exp[OES],$C41,Inhalation_Exp[Worker Type],$D41,Inhalation_Exp[Data Type],$F41),SUMIFS(Inhalation_Exp[ADC_Central Tendency],Inhalation_Exp[OES],$C41,Inhalation_Exp[Worker Type],$D41,Inhalation_Exp[Data Type],$F41))</f>
        <v>0</v>
      </c>
      <c r="J41" s="164" t="e">
        <f>IF(E41="High-End",SUMIFS(#REF!,Inhalation_Exp[OES],$C41,Inhalation_Exp[Worker Type],$D41,Inhalation_Exp[Data Type],$F41),SUMIFS(#REF!,Inhalation_Exp[OES],$C41,Inhalation_Exp[Worker Type],$D41,Inhalation_Exp[Data Type],$F41))</f>
        <v>#REF!</v>
      </c>
      <c r="K41" s="207" t="e">
        <f>IF($E41="High-End",SUMIFS(#REF!,Dermal_Exp[Worker Type],$D41,Dermal_Exp[OES],$C41),SUMIFS(#REF!,Dermal_Exp[Worker Type],$D41,Dermal_Exp[OES],$C41))</f>
        <v>#REF!</v>
      </c>
      <c r="L41" s="207" t="e">
        <f>IF($E41="High-End",SUMIFS(#REF!,Dermal_Exp[Worker Type],$D41,Dermal_Exp[OES],$C41),SUMIFS(#REF!,Dermal_Exp[Worker Type],$D41,Dermal_Exp[OES],$C41))</f>
        <v>#REF!</v>
      </c>
      <c r="M41" s="207" t="e">
        <f>IF($E41="High-End",SUMIFS(#REF!,Dermal_Exp[Worker Type],$D41,Dermal_Exp[OES],$C41),SUMIFS(#REF!,Dermal_Exp[Worker Type],$D41,Dermal_Exp[OES],$C41))</f>
        <v>#REF!</v>
      </c>
      <c r="N41" s="207" t="e">
        <f>IF($E41="High-End",SUMIFS(#REF!,Dermal_Exp[Worker Type],$D41,Dermal_Exp[OES],$C41),SUMIFS(#REF!,Dermal_Exp[Worker Type],$D41,Dermal_Exp[OES],$C41))</f>
        <v>#REF!</v>
      </c>
      <c r="O41" s="226" t="e">
        <f t="shared" si="5"/>
        <v>#REF!</v>
      </c>
      <c r="P41" s="226" t="e">
        <f t="shared" si="2"/>
        <v>#REF!</v>
      </c>
      <c r="Q41" s="226" t="e">
        <f t="shared" si="3"/>
        <v>#REF!</v>
      </c>
      <c r="R41" s="226" t="e">
        <f t="shared" si="4"/>
        <v>#REF!</v>
      </c>
      <c r="AF41" s="14"/>
      <c r="AG41" s="14"/>
      <c r="AH41" s="14"/>
      <c r="AI41" s="14"/>
      <c r="AJ41" s="14"/>
      <c r="AK41" s="14"/>
      <c r="AL41" s="14"/>
    </row>
    <row r="42" spans="3:38" ht="12.75" customHeight="1" x14ac:dyDescent="0.35">
      <c r="C42" s="224" t="str" cm="1">
        <f t="array" ref="C42">INDEX('List Values'!$B$2:$B$21,(1+ROUNDDOWN((ROW()-ROW($C$5))*1/6,2)))</f>
        <v>Spray Application of Paints and Coatings - 250-day application</v>
      </c>
      <c r="D42" s="224" t="s">
        <v>34</v>
      </c>
      <c r="E42" s="224" t="s">
        <v>53</v>
      </c>
      <c r="F42" s="225" t="s">
        <v>108</v>
      </c>
      <c r="G42" s="164">
        <f>IF(E42="High-End",SUMIFS(Inhalation_Exp[24hr_High-End],Inhalation_Exp[OES],$C42,Inhalation_Exp[Worker Type],$D42,Inhalation_Exp[Data Type],$F42),SUMIFS(Inhalation_Exp[24hr_Central Tendency],Inhalation_Exp[OES],$C42,Inhalation_Exp[Worker Type],$D42,Inhalation_Exp[Data Type],$F42))</f>
        <v>0</v>
      </c>
      <c r="H42" s="164">
        <f>IF(E42="High-End",SUMIFS(Inhalation_Exp[Int_High-End],Inhalation_Exp[OES],$C42,Inhalation_Exp[Worker Type],$D42,Inhalation_Exp[Data Type],$F42),SUMIFS(Inhalation_Exp[Int_Central Tendency],Inhalation_Exp[OES],$C42,Inhalation_Exp[Worker Type],$D42,Inhalation_Exp[Data Type],$F42))</f>
        <v>0</v>
      </c>
      <c r="I42" s="164">
        <f>IF(E42="High-End",SUMIFS(Inhalation_Exp[ADC_High-End],Inhalation_Exp[OES],$C42,Inhalation_Exp[Worker Type],$D42,Inhalation_Exp[Data Type],$F42),SUMIFS(Inhalation_Exp[ADC_Central Tendency],Inhalation_Exp[OES],$C42,Inhalation_Exp[Worker Type],$D42,Inhalation_Exp[Data Type],$F42))</f>
        <v>0</v>
      </c>
      <c r="J42" s="164" t="e">
        <f>IF(E42="High-End",SUMIFS(#REF!,Inhalation_Exp[OES],$C42,Inhalation_Exp[Worker Type],$D42,Inhalation_Exp[Data Type],$F42),SUMIFS(#REF!,Inhalation_Exp[OES],$C42,Inhalation_Exp[Worker Type],$D42,Inhalation_Exp[Data Type],$F42))</f>
        <v>#REF!</v>
      </c>
      <c r="K42" s="207" t="e">
        <f>IF($E42="High-End",SUMIFS(#REF!,Dermal_Exp[Worker Type],$D42,Dermal_Exp[OES],$C42),SUMIFS(#REF!,Dermal_Exp[Worker Type],$D42,Dermal_Exp[OES],$C42))</f>
        <v>#REF!</v>
      </c>
      <c r="L42" s="207" t="e">
        <f>IF($E42="High-End",SUMIFS(#REF!,Dermal_Exp[Worker Type],$D42,Dermal_Exp[OES],$C42),SUMIFS(#REF!,Dermal_Exp[Worker Type],$D42,Dermal_Exp[OES],$C42))</f>
        <v>#REF!</v>
      </c>
      <c r="M42" s="207" t="e">
        <f>IF($E42="High-End",SUMIFS(#REF!,Dermal_Exp[Worker Type],$D42,Dermal_Exp[OES],$C42),SUMIFS(#REF!,Dermal_Exp[Worker Type],$D42,Dermal_Exp[OES],$C42))</f>
        <v>#REF!</v>
      </c>
      <c r="N42" s="207" t="e">
        <f>IF($E42="High-End",SUMIFS(#REF!,Dermal_Exp[Worker Type],$D42,Dermal_Exp[OES],$C42),SUMIFS(#REF!,Dermal_Exp[Worker Type],$D42,Dermal_Exp[OES],$C42))</f>
        <v>#REF!</v>
      </c>
      <c r="O42" s="226" t="e">
        <f t="shared" si="5"/>
        <v>#REF!</v>
      </c>
      <c r="P42" s="226" t="e">
        <f t="shared" si="2"/>
        <v>#REF!</v>
      </c>
      <c r="Q42" s="226" t="e">
        <f t="shared" si="3"/>
        <v>#REF!</v>
      </c>
      <c r="R42" s="226" t="e">
        <f t="shared" si="4"/>
        <v>#REF!</v>
      </c>
      <c r="AF42" s="14"/>
      <c r="AG42" s="14"/>
      <c r="AH42" s="14"/>
      <c r="AI42" s="14"/>
      <c r="AJ42" s="14"/>
      <c r="AK42" s="14"/>
      <c r="AL42" s="14"/>
    </row>
    <row r="43" spans="3:38" ht="12.75" customHeight="1" x14ac:dyDescent="0.35">
      <c r="C43" s="224" t="str" cm="1">
        <f t="array" ref="C43">INDEX('List Values'!$B$2:$B$21,(1+ROUNDDOWN((ROW()-ROW($C$5))*1/6,2)))</f>
        <v>Spray Application of Paints and Coatings - 250-day application</v>
      </c>
      <c r="D43" s="224" t="s">
        <v>109</v>
      </c>
      <c r="E43" s="224" t="s">
        <v>52</v>
      </c>
      <c r="F43" s="225" t="s">
        <v>108</v>
      </c>
      <c r="G43" s="164">
        <f>IF(E43="High-End",SUMIFS(Inhalation_Exp[24hr_High-End],Inhalation_Exp[OES],$C43,Inhalation_Exp[Worker Type],$D43,Inhalation_Exp[Data Type],$F43),SUMIFS(Inhalation_Exp[24hr_Central Tendency],Inhalation_Exp[OES],$C43,Inhalation_Exp[Worker Type],$D43,Inhalation_Exp[Data Type],$F43))</f>
        <v>0</v>
      </c>
      <c r="H43" s="164">
        <f>IF(E43="High-End",SUMIFS(Inhalation_Exp[Int_High-End],Inhalation_Exp[OES],$C43,Inhalation_Exp[Worker Type],$D43,Inhalation_Exp[Data Type],$F43),SUMIFS(Inhalation_Exp[Int_Central Tendency],Inhalation_Exp[OES],$C43,Inhalation_Exp[Worker Type],$D43,Inhalation_Exp[Data Type],$F43))</f>
        <v>0</v>
      </c>
      <c r="I43" s="164">
        <f>IF(E43="High-End",SUMIFS(Inhalation_Exp[ADC_High-End],Inhalation_Exp[OES],$C43,Inhalation_Exp[Worker Type],$D43,Inhalation_Exp[Data Type],$F43),SUMIFS(Inhalation_Exp[ADC_Central Tendency],Inhalation_Exp[OES],$C43,Inhalation_Exp[Worker Type],$D43,Inhalation_Exp[Data Type],$F43))</f>
        <v>0</v>
      </c>
      <c r="J43" s="164" t="e">
        <f>IF(E43="High-End",SUMIFS(#REF!,Inhalation_Exp[OES],$C43,Inhalation_Exp[Worker Type],$D43,Inhalation_Exp[Data Type],$F43),SUMIFS(#REF!,Inhalation_Exp[OES],$C43,Inhalation_Exp[Worker Type],$D43,Inhalation_Exp[Data Type],$F43))</f>
        <v>#REF!</v>
      </c>
      <c r="K43" s="207" t="e">
        <f>IF($E43="High-End",SUMIFS(#REF!,Dermal_Exp[Worker Type],$D43,Dermal_Exp[OES],$C43),SUMIFS(#REF!,Dermal_Exp[Worker Type],$D43,Dermal_Exp[OES],$C43))</f>
        <v>#REF!</v>
      </c>
      <c r="L43" s="207" t="e">
        <f>IF($E43="High-End",SUMIFS(#REF!,Dermal_Exp[Worker Type],$D43,Dermal_Exp[OES],$C43),SUMIFS(#REF!,Dermal_Exp[Worker Type],$D43,Dermal_Exp[OES],$C43))</f>
        <v>#REF!</v>
      </c>
      <c r="M43" s="207" t="e">
        <f>IF($E43="High-End",SUMIFS(#REF!,Dermal_Exp[Worker Type],$D43,Dermal_Exp[OES],$C43),SUMIFS(#REF!,Dermal_Exp[Worker Type],$D43,Dermal_Exp[OES],$C43))</f>
        <v>#REF!</v>
      </c>
      <c r="N43" s="207" t="e">
        <f>IF($E43="High-End",SUMIFS(#REF!,Dermal_Exp[Worker Type],$D43,Dermal_Exp[OES],$C43),SUMIFS(#REF!,Dermal_Exp[Worker Type],$D43,Dermal_Exp[OES],$C43))</f>
        <v>#REF!</v>
      </c>
      <c r="O43" s="226" t="e">
        <f t="shared" si="5"/>
        <v>#REF!</v>
      </c>
      <c r="P43" s="226" t="e">
        <f t="shared" si="2"/>
        <v>#REF!</v>
      </c>
      <c r="Q43" s="226" t="e">
        <f t="shared" si="3"/>
        <v>#REF!</v>
      </c>
      <c r="R43" s="226" t="e">
        <f t="shared" si="4"/>
        <v>#REF!</v>
      </c>
      <c r="AF43" s="14"/>
      <c r="AG43" s="14"/>
      <c r="AH43" s="14"/>
      <c r="AI43" s="14"/>
      <c r="AJ43" s="14"/>
      <c r="AK43" s="14"/>
      <c r="AL43" s="14"/>
    </row>
    <row r="44" spans="3:38" ht="12.75" customHeight="1" x14ac:dyDescent="0.35">
      <c r="C44" s="224" t="str" cm="1">
        <f t="array" ref="C44">INDEX('List Values'!$B$2:$B$21,(1+ROUNDDOWN((ROW()-ROW($C$5))*1/6,2)))</f>
        <v>Spray Application of Paints and Coatings - 250-day application</v>
      </c>
      <c r="D44" s="224" t="s">
        <v>109</v>
      </c>
      <c r="E44" s="224" t="s">
        <v>53</v>
      </c>
      <c r="F44" s="225" t="s">
        <v>108</v>
      </c>
      <c r="G44" s="164">
        <f>IF(E44="High-End",SUMIFS(Inhalation_Exp[24hr_High-End],Inhalation_Exp[OES],$C44,Inhalation_Exp[Worker Type],$D44,Inhalation_Exp[Data Type],$F44),SUMIFS(Inhalation_Exp[24hr_Central Tendency],Inhalation_Exp[OES],$C44,Inhalation_Exp[Worker Type],$D44,Inhalation_Exp[Data Type],$F44))</f>
        <v>0</v>
      </c>
      <c r="H44" s="164">
        <f>IF(E44="High-End",SUMIFS(Inhalation_Exp[Int_High-End],Inhalation_Exp[OES],$C44,Inhalation_Exp[Worker Type],$D44,Inhalation_Exp[Data Type],$F44),SUMIFS(Inhalation_Exp[Int_Central Tendency],Inhalation_Exp[OES],$C44,Inhalation_Exp[Worker Type],$D44,Inhalation_Exp[Data Type],$F44))</f>
        <v>0</v>
      </c>
      <c r="I44" s="164">
        <f>IF(E44="High-End",SUMIFS(Inhalation_Exp[ADC_High-End],Inhalation_Exp[OES],$C44,Inhalation_Exp[Worker Type],$D44,Inhalation_Exp[Data Type],$F44),SUMIFS(Inhalation_Exp[ADC_Central Tendency],Inhalation_Exp[OES],$C44,Inhalation_Exp[Worker Type],$D44,Inhalation_Exp[Data Type],$F44))</f>
        <v>0</v>
      </c>
      <c r="J44" s="164" t="e">
        <f>IF(E44="High-End",SUMIFS(#REF!,Inhalation_Exp[OES],$C44,Inhalation_Exp[Worker Type],$D44,Inhalation_Exp[Data Type],$F44),SUMIFS(#REF!,Inhalation_Exp[OES],$C44,Inhalation_Exp[Worker Type],$D44,Inhalation_Exp[Data Type],$F44))</f>
        <v>#REF!</v>
      </c>
      <c r="K44" s="207" t="e">
        <f>IF($E44="High-End",SUMIFS(#REF!,Dermal_Exp[Worker Type],$D44,Dermal_Exp[OES],$C44),SUMIFS(#REF!,Dermal_Exp[Worker Type],$D44,Dermal_Exp[OES],$C44))</f>
        <v>#REF!</v>
      </c>
      <c r="L44" s="207" t="e">
        <f>IF($E44="High-End",SUMIFS(#REF!,Dermal_Exp[Worker Type],$D44,Dermal_Exp[OES],$C44),SUMIFS(#REF!,Dermal_Exp[Worker Type],$D44,Dermal_Exp[OES],$C44))</f>
        <v>#REF!</v>
      </c>
      <c r="M44" s="207" t="e">
        <f>IF($E44="High-End",SUMIFS(#REF!,Dermal_Exp[Worker Type],$D44,Dermal_Exp[OES],$C44),SUMIFS(#REF!,Dermal_Exp[Worker Type],$D44,Dermal_Exp[OES],$C44))</f>
        <v>#REF!</v>
      </c>
      <c r="N44" s="207" t="e">
        <f>IF($E44="High-End",SUMIFS(#REF!,Dermal_Exp[Worker Type],$D44,Dermal_Exp[OES],$C44),SUMIFS(#REF!,Dermal_Exp[Worker Type],$D44,Dermal_Exp[OES],$C44))</f>
        <v>#REF!</v>
      </c>
      <c r="O44" s="226" t="e">
        <f t="shared" si="5"/>
        <v>#REF!</v>
      </c>
      <c r="P44" s="226" t="e">
        <f t="shared" si="2"/>
        <v>#REF!</v>
      </c>
      <c r="Q44" s="226" t="e">
        <f t="shared" si="3"/>
        <v>#REF!</v>
      </c>
      <c r="R44" s="226" t="e">
        <f t="shared" si="4"/>
        <v>#REF!</v>
      </c>
      <c r="AF44" s="14"/>
      <c r="AG44" s="14"/>
      <c r="AH44" s="14"/>
      <c r="AI44" s="14"/>
      <c r="AJ44" s="14"/>
      <c r="AK44" s="14"/>
      <c r="AL44" s="14"/>
    </row>
    <row r="45" spans="3:38" ht="12.75" customHeight="1" x14ac:dyDescent="0.35">
      <c r="C45" s="224" t="str" cm="1">
        <f t="array" ref="C45">INDEX('List Values'!$B$2:$B$21,(1+ROUNDDOWN((ROW()-ROW($C$5))*1/6,2)))</f>
        <v>Spray Application of Paints and Coatings - 250-day application</v>
      </c>
      <c r="D45" s="224" t="s">
        <v>54</v>
      </c>
      <c r="E45" s="224" t="s">
        <v>52</v>
      </c>
      <c r="F45" s="225" t="s">
        <v>108</v>
      </c>
      <c r="G45" s="164">
        <f>IF(E45="High-End",SUMIFS(Inhalation_Exp[24hr_High-End],Inhalation_Exp[OES],$C45,Inhalation_Exp[Worker Type],$D45,Inhalation_Exp[Data Type],$F45),SUMIFS(Inhalation_Exp[24hr_Central Tendency],Inhalation_Exp[OES],$C45,Inhalation_Exp[Worker Type],$D45,Inhalation_Exp[Data Type],$F45))</f>
        <v>0</v>
      </c>
      <c r="H45" s="164">
        <f>IF(E45="High-End",SUMIFS(Inhalation_Exp[Int_High-End],Inhalation_Exp[OES],$C45,Inhalation_Exp[Worker Type],$D45,Inhalation_Exp[Data Type],$F45),SUMIFS(Inhalation_Exp[Int_Central Tendency],Inhalation_Exp[OES],$C45,Inhalation_Exp[Worker Type],$D45,Inhalation_Exp[Data Type],$F45))</f>
        <v>0</v>
      </c>
      <c r="I45" s="164">
        <f>IF(E45="High-End",SUMIFS(Inhalation_Exp[ADC_High-End],Inhalation_Exp[OES],$C45,Inhalation_Exp[Worker Type],$D45,Inhalation_Exp[Data Type],$F45),SUMIFS(Inhalation_Exp[ADC_Central Tendency],Inhalation_Exp[OES],$C45,Inhalation_Exp[Worker Type],$D45,Inhalation_Exp[Data Type],$F45))</f>
        <v>0</v>
      </c>
      <c r="J45" s="164" t="e">
        <f>IF(E45="High-End",SUMIFS(#REF!,Inhalation_Exp[OES],$C45,Inhalation_Exp[Worker Type],$D45,Inhalation_Exp[Data Type],$F45),SUMIFS(#REF!,Inhalation_Exp[OES],$C45,Inhalation_Exp[Worker Type],$D45,Inhalation_Exp[Data Type],$F45))</f>
        <v>#REF!</v>
      </c>
      <c r="K45" s="207" t="e">
        <f>IF($E45="High-End",SUMIFS(#REF!,Dermal_Exp[Worker Type],$D45,Dermal_Exp[OES],$C45),SUMIFS(#REF!,Dermal_Exp[Worker Type],$D45,Dermal_Exp[OES],$C45))</f>
        <v>#REF!</v>
      </c>
      <c r="L45" s="207" t="e">
        <f>IF($E45="High-End",SUMIFS(#REF!,Dermal_Exp[Worker Type],$D45,Dermal_Exp[OES],$C45),SUMIFS(#REF!,Dermal_Exp[Worker Type],$D45,Dermal_Exp[OES],$C45))</f>
        <v>#REF!</v>
      </c>
      <c r="M45" s="207" t="e">
        <f>IF($E45="High-End",SUMIFS(#REF!,Dermal_Exp[Worker Type],$D45,Dermal_Exp[OES],$C45),SUMIFS(#REF!,Dermal_Exp[Worker Type],$D45,Dermal_Exp[OES],$C45))</f>
        <v>#REF!</v>
      </c>
      <c r="N45" s="207" t="e">
        <f>IF($E45="High-End",SUMIFS(#REF!,Dermal_Exp[Worker Type],$D45,Dermal_Exp[OES],$C45),SUMIFS(#REF!,Dermal_Exp[Worker Type],$D45,Dermal_Exp[OES],$C45))</f>
        <v>#REF!</v>
      </c>
      <c r="O45" s="226" t="e">
        <f t="shared" si="5"/>
        <v>#REF!</v>
      </c>
      <c r="P45" s="226" t="e">
        <f t="shared" si="2"/>
        <v>#REF!</v>
      </c>
      <c r="Q45" s="226" t="e">
        <f t="shared" si="3"/>
        <v>#REF!</v>
      </c>
      <c r="R45" s="226" t="e">
        <f t="shared" si="4"/>
        <v>#REF!</v>
      </c>
      <c r="AF45" s="14"/>
      <c r="AG45" s="14"/>
      <c r="AH45" s="14"/>
      <c r="AI45" s="14"/>
      <c r="AJ45" s="14"/>
      <c r="AK45" s="14"/>
      <c r="AL45" s="14"/>
    </row>
    <row r="46" spans="3:38" ht="12.75" customHeight="1" x14ac:dyDescent="0.35">
      <c r="C46" s="224" t="str" cm="1">
        <f t="array" ref="C46">INDEX('List Values'!$B$2:$B$21,(1+ROUNDDOWN((ROW()-ROW($C$5))*1/6,2)))</f>
        <v>Spray Application of Paints and Coatings - 250-day application</v>
      </c>
      <c r="D46" s="224" t="s">
        <v>54</v>
      </c>
      <c r="E46" s="224" t="s">
        <v>53</v>
      </c>
      <c r="F46" s="225" t="s">
        <v>108</v>
      </c>
      <c r="G46" s="164">
        <f>IF(E46="High-End",SUMIFS(Inhalation_Exp[24hr_High-End],Inhalation_Exp[OES],$C46,Inhalation_Exp[Worker Type],$D46,Inhalation_Exp[Data Type],$F46),SUMIFS(Inhalation_Exp[24hr_Central Tendency],Inhalation_Exp[OES],$C46,Inhalation_Exp[Worker Type],$D46,Inhalation_Exp[Data Type],$F46))</f>
        <v>0</v>
      </c>
      <c r="H46" s="164">
        <f>IF(E46="High-End",SUMIFS(Inhalation_Exp[Int_High-End],Inhalation_Exp[OES],$C46,Inhalation_Exp[Worker Type],$D46,Inhalation_Exp[Data Type],$F46),SUMIFS(Inhalation_Exp[Int_Central Tendency],Inhalation_Exp[OES],$C46,Inhalation_Exp[Worker Type],$D46,Inhalation_Exp[Data Type],$F46))</f>
        <v>0</v>
      </c>
      <c r="I46" s="164">
        <f>IF(E46="High-End",SUMIFS(Inhalation_Exp[ADC_High-End],Inhalation_Exp[OES],$C46,Inhalation_Exp[Worker Type],$D46,Inhalation_Exp[Data Type],$F46),SUMIFS(Inhalation_Exp[ADC_Central Tendency],Inhalation_Exp[OES],$C46,Inhalation_Exp[Worker Type],$D46,Inhalation_Exp[Data Type],$F46))</f>
        <v>0</v>
      </c>
      <c r="J46" s="164" t="e">
        <f>IF(E46="High-End",SUMIFS(#REF!,Inhalation_Exp[OES],$C46,Inhalation_Exp[Worker Type],$D46,Inhalation_Exp[Data Type],$F46),SUMIFS(#REF!,Inhalation_Exp[OES],$C46,Inhalation_Exp[Worker Type],$D46,Inhalation_Exp[Data Type],$F46))</f>
        <v>#REF!</v>
      </c>
      <c r="K46" s="207" t="e">
        <f>IF($E46="High-End",SUMIFS(#REF!,Dermal_Exp[Worker Type],$D46,Dermal_Exp[OES],$C46),SUMIFS(#REF!,Dermal_Exp[Worker Type],$D46,Dermal_Exp[OES],$C46))</f>
        <v>#REF!</v>
      </c>
      <c r="L46" s="207" t="e">
        <f>IF($E46="High-End",SUMIFS(#REF!,Dermal_Exp[Worker Type],$D46,Dermal_Exp[OES],$C46),SUMIFS(#REF!,Dermal_Exp[Worker Type],$D46,Dermal_Exp[OES],$C46))</f>
        <v>#REF!</v>
      </c>
      <c r="M46" s="207" t="e">
        <f>IF($E46="High-End",SUMIFS(#REF!,Dermal_Exp[Worker Type],$D46,Dermal_Exp[OES],$C46),SUMIFS(#REF!,Dermal_Exp[Worker Type],$D46,Dermal_Exp[OES],$C46))</f>
        <v>#REF!</v>
      </c>
      <c r="N46" s="207" t="e">
        <f>IF($E46="High-End",SUMIFS(#REF!,Dermal_Exp[Worker Type],$D46,Dermal_Exp[OES],$C46),SUMIFS(#REF!,Dermal_Exp[Worker Type],$D46,Dermal_Exp[OES],$C46))</f>
        <v>#REF!</v>
      </c>
      <c r="O46" s="226" t="e">
        <f t="shared" si="5"/>
        <v>#REF!</v>
      </c>
      <c r="P46" s="226" t="e">
        <f t="shared" si="2"/>
        <v>#REF!</v>
      </c>
      <c r="Q46" s="226" t="e">
        <f t="shared" si="3"/>
        <v>#REF!</v>
      </c>
      <c r="R46" s="226" t="e">
        <f t="shared" si="4"/>
        <v>#REF!</v>
      </c>
      <c r="AF46" s="14"/>
      <c r="AG46" s="14"/>
      <c r="AH46" s="14"/>
      <c r="AI46" s="14"/>
      <c r="AJ46" s="14"/>
      <c r="AK46" s="14"/>
      <c r="AL46" s="14"/>
    </row>
    <row r="47" spans="3:38" ht="12.75" customHeight="1" x14ac:dyDescent="0.35">
      <c r="C47" s="224" t="str" cm="1">
        <f t="array" ref="C47">INDEX('List Values'!$B$2:$B$21,(1+ROUNDDOWN((ROW()-ROW($C$5))*1/6,2)))</f>
        <v>Formulation of Adhesives (Neat D4)</v>
      </c>
      <c r="D47" s="224" t="s">
        <v>34</v>
      </c>
      <c r="E47" s="218" t="s">
        <v>52</v>
      </c>
      <c r="F47" s="225" t="s">
        <v>108</v>
      </c>
      <c r="G47" s="164">
        <f>IF(E47="High-End",SUMIFS(Inhalation_Exp[24hr_High-End],Inhalation_Exp[OES],$C47,Inhalation_Exp[Worker Type],$D47,Inhalation_Exp[Data Type],$F47),SUMIFS(Inhalation_Exp[24hr_Central Tendency],Inhalation_Exp[OES],$C47,Inhalation_Exp[Worker Type],$D47,Inhalation_Exp[Data Type],$F47))</f>
        <v>0</v>
      </c>
      <c r="H47" s="164">
        <f>IF(E47="High-End",SUMIFS(Inhalation_Exp[Int_High-End],Inhalation_Exp[OES],$C47,Inhalation_Exp[Worker Type],$D47,Inhalation_Exp[Data Type],$F47),SUMIFS(Inhalation_Exp[Int_Central Tendency],Inhalation_Exp[OES],$C47,Inhalation_Exp[Worker Type],$D47,Inhalation_Exp[Data Type],$F47))</f>
        <v>0</v>
      </c>
      <c r="I47" s="164">
        <f>IF(E47="High-End",SUMIFS(Inhalation_Exp[ADC_High-End],Inhalation_Exp[OES],$C47,Inhalation_Exp[Worker Type],$D47,Inhalation_Exp[Data Type],$F47),SUMIFS(Inhalation_Exp[ADC_Central Tendency],Inhalation_Exp[OES],$C47,Inhalation_Exp[Worker Type],$D47,Inhalation_Exp[Data Type],$F47))</f>
        <v>0</v>
      </c>
      <c r="J47" s="164" t="e">
        <f>IF(E47="High-End",SUMIFS(#REF!,Inhalation_Exp[OES],$C47,Inhalation_Exp[Worker Type],$D47,Inhalation_Exp[Data Type],$F47),SUMIFS(#REF!,Inhalation_Exp[OES],$C47,Inhalation_Exp[Worker Type],$D47,Inhalation_Exp[Data Type],$F47))</f>
        <v>#REF!</v>
      </c>
      <c r="K47" s="207" t="e">
        <f>IF($E47="High-End",SUMIFS(#REF!,Dermal_Exp[Worker Type],$D47,Dermal_Exp[OES],$C47),SUMIFS(#REF!,Dermal_Exp[Worker Type],$D47,Dermal_Exp[OES],$C47))</f>
        <v>#REF!</v>
      </c>
      <c r="L47" s="207" t="e">
        <f>IF($E47="High-End",SUMIFS(#REF!,Dermal_Exp[Worker Type],$D47,Dermal_Exp[OES],$C47),SUMIFS(#REF!,Dermal_Exp[Worker Type],$D47,Dermal_Exp[OES],$C47))</f>
        <v>#REF!</v>
      </c>
      <c r="M47" s="207" t="e">
        <f>IF($E47="High-End",SUMIFS(#REF!,Dermal_Exp[Worker Type],$D47,Dermal_Exp[OES],$C47),SUMIFS(#REF!,Dermal_Exp[Worker Type],$D47,Dermal_Exp[OES],$C47))</f>
        <v>#REF!</v>
      </c>
      <c r="N47" s="207" t="e">
        <f>IF($E47="High-End",SUMIFS(#REF!,Dermal_Exp[Worker Type],$D47,Dermal_Exp[OES],$C47),SUMIFS(#REF!,Dermal_Exp[Worker Type],$D47,Dermal_Exp[OES],$C47))</f>
        <v>#REF!</v>
      </c>
      <c r="O47" s="226" t="e">
        <f t="shared" si="5"/>
        <v>#REF!</v>
      </c>
      <c r="P47" s="226" t="e">
        <f t="shared" si="2"/>
        <v>#REF!</v>
      </c>
      <c r="Q47" s="226" t="e">
        <f t="shared" si="3"/>
        <v>#REF!</v>
      </c>
      <c r="R47" s="226" t="e">
        <f t="shared" si="4"/>
        <v>#REF!</v>
      </c>
      <c r="AF47" s="14"/>
      <c r="AG47" s="14"/>
      <c r="AH47" s="14"/>
      <c r="AI47" s="14"/>
      <c r="AJ47" s="14"/>
      <c r="AK47" s="14"/>
      <c r="AL47" s="14"/>
    </row>
    <row r="48" spans="3:38" ht="12.75" customHeight="1" x14ac:dyDescent="0.35">
      <c r="C48" s="224" t="str" cm="1">
        <f t="array" ref="C48">INDEX('List Values'!$B$2:$B$21,(1+ROUNDDOWN((ROW()-ROW($C$5))*1/6,2)))</f>
        <v>Formulation of Adhesives (Neat D4)</v>
      </c>
      <c r="D48" s="224" t="s">
        <v>34</v>
      </c>
      <c r="E48" s="224" t="s">
        <v>53</v>
      </c>
      <c r="F48" s="225" t="s">
        <v>108</v>
      </c>
      <c r="G48" s="164">
        <f>IF(E48="High-End",SUMIFS(Inhalation_Exp[24hr_High-End],Inhalation_Exp[OES],$C48,Inhalation_Exp[Worker Type],$D48,Inhalation_Exp[Data Type],$F48),SUMIFS(Inhalation_Exp[24hr_Central Tendency],Inhalation_Exp[OES],$C48,Inhalation_Exp[Worker Type],$D48,Inhalation_Exp[Data Type],$F48))</f>
        <v>0</v>
      </c>
      <c r="H48" s="164">
        <f>IF(E48="High-End",SUMIFS(Inhalation_Exp[Int_High-End],Inhalation_Exp[OES],$C48,Inhalation_Exp[Worker Type],$D48,Inhalation_Exp[Data Type],$F48),SUMIFS(Inhalation_Exp[Int_Central Tendency],Inhalation_Exp[OES],$C48,Inhalation_Exp[Worker Type],$D48,Inhalation_Exp[Data Type],$F48))</f>
        <v>0</v>
      </c>
      <c r="I48" s="164">
        <f>IF(E48="High-End",SUMIFS(Inhalation_Exp[ADC_High-End],Inhalation_Exp[OES],$C48,Inhalation_Exp[Worker Type],$D48,Inhalation_Exp[Data Type],$F48),SUMIFS(Inhalation_Exp[ADC_Central Tendency],Inhalation_Exp[OES],$C48,Inhalation_Exp[Worker Type],$D48,Inhalation_Exp[Data Type],$F48))</f>
        <v>0</v>
      </c>
      <c r="J48" s="164" t="e">
        <f>IF(E48="High-End",SUMIFS(#REF!,Inhalation_Exp[OES],$C48,Inhalation_Exp[Worker Type],$D48,Inhalation_Exp[Data Type],$F48),SUMIFS(#REF!,Inhalation_Exp[OES],$C48,Inhalation_Exp[Worker Type],$D48,Inhalation_Exp[Data Type],$F48))</f>
        <v>#REF!</v>
      </c>
      <c r="K48" s="207" t="e">
        <f>IF($E48="High-End",SUMIFS(#REF!,Dermal_Exp[Worker Type],$D48,Dermal_Exp[OES],$C48),SUMIFS(#REF!,Dermal_Exp[Worker Type],$D48,Dermal_Exp[OES],$C48))</f>
        <v>#REF!</v>
      </c>
      <c r="L48" s="207" t="e">
        <f>IF($E48="High-End",SUMIFS(#REF!,Dermal_Exp[Worker Type],$D48,Dermal_Exp[OES],$C48),SUMIFS(#REF!,Dermal_Exp[Worker Type],$D48,Dermal_Exp[OES],$C48))</f>
        <v>#REF!</v>
      </c>
      <c r="M48" s="207" t="e">
        <f>IF($E48="High-End",SUMIFS(#REF!,Dermal_Exp[Worker Type],$D48,Dermal_Exp[OES],$C48),SUMIFS(#REF!,Dermal_Exp[Worker Type],$D48,Dermal_Exp[OES],$C48))</f>
        <v>#REF!</v>
      </c>
      <c r="N48" s="207" t="e">
        <f>IF($E48="High-End",SUMIFS(#REF!,Dermal_Exp[Worker Type],$D48,Dermal_Exp[OES],$C48),SUMIFS(#REF!,Dermal_Exp[Worker Type],$D48,Dermal_Exp[OES],$C48))</f>
        <v>#REF!</v>
      </c>
      <c r="O48" s="226" t="e">
        <f t="shared" si="5"/>
        <v>#REF!</v>
      </c>
      <c r="P48" s="226" t="e">
        <f t="shared" si="2"/>
        <v>#REF!</v>
      </c>
      <c r="Q48" s="226" t="e">
        <f t="shared" si="3"/>
        <v>#REF!</v>
      </c>
      <c r="R48" s="226" t="e">
        <f t="shared" si="4"/>
        <v>#REF!</v>
      </c>
      <c r="AF48" s="14"/>
      <c r="AG48" s="14"/>
      <c r="AH48" s="14"/>
      <c r="AI48" s="14"/>
      <c r="AJ48" s="14"/>
      <c r="AK48" s="14"/>
      <c r="AL48" s="14"/>
    </row>
    <row r="49" spans="3:38" x14ac:dyDescent="0.35">
      <c r="C49" s="224" t="str" cm="1">
        <f t="array" ref="C49">INDEX('List Values'!$B$2:$B$21,(1+ROUNDDOWN((ROW()-ROW($C$5))*1/6,2)))</f>
        <v>Formulation of Adhesives (Neat D4)</v>
      </c>
      <c r="D49" s="224" t="s">
        <v>109</v>
      </c>
      <c r="E49" s="224" t="s">
        <v>52</v>
      </c>
      <c r="F49" s="225" t="s">
        <v>108</v>
      </c>
      <c r="G49" s="164">
        <f>IF(E49="High-End",SUMIFS(Inhalation_Exp[24hr_High-End],Inhalation_Exp[OES],$C49,Inhalation_Exp[Worker Type],$D49,Inhalation_Exp[Data Type],$F49),SUMIFS(Inhalation_Exp[24hr_Central Tendency],Inhalation_Exp[OES],$C49,Inhalation_Exp[Worker Type],$D49,Inhalation_Exp[Data Type],$F49))</f>
        <v>0</v>
      </c>
      <c r="H49" s="164">
        <f>IF(E49="High-End",SUMIFS(Inhalation_Exp[Int_High-End],Inhalation_Exp[OES],$C49,Inhalation_Exp[Worker Type],$D49,Inhalation_Exp[Data Type],$F49),SUMIFS(Inhalation_Exp[Int_Central Tendency],Inhalation_Exp[OES],$C49,Inhalation_Exp[Worker Type],$D49,Inhalation_Exp[Data Type],$F49))</f>
        <v>0</v>
      </c>
      <c r="I49" s="164">
        <f>IF(E49="High-End",SUMIFS(Inhalation_Exp[ADC_High-End],Inhalation_Exp[OES],$C49,Inhalation_Exp[Worker Type],$D49,Inhalation_Exp[Data Type],$F49),SUMIFS(Inhalation_Exp[ADC_Central Tendency],Inhalation_Exp[OES],$C49,Inhalation_Exp[Worker Type],$D49,Inhalation_Exp[Data Type],$F49))</f>
        <v>0</v>
      </c>
      <c r="J49" s="164" t="e">
        <f>IF(E49="High-End",SUMIFS(#REF!,Inhalation_Exp[OES],$C49,Inhalation_Exp[Worker Type],$D49,Inhalation_Exp[Data Type],$F49),SUMIFS(#REF!,Inhalation_Exp[OES],$C49,Inhalation_Exp[Worker Type],$D49,Inhalation_Exp[Data Type],$F49))</f>
        <v>#REF!</v>
      </c>
      <c r="K49" s="207" t="e">
        <f>IF($E49="High-End",SUMIFS(#REF!,Dermal_Exp[Worker Type],$D49,Dermal_Exp[OES],$C49),SUMIFS(#REF!,Dermal_Exp[Worker Type],$D49,Dermal_Exp[OES],$C49))</f>
        <v>#REF!</v>
      </c>
      <c r="L49" s="207" t="e">
        <f>IF($E49="High-End",SUMIFS(#REF!,Dermal_Exp[Worker Type],$D49,Dermal_Exp[OES],$C49),SUMIFS(#REF!,Dermal_Exp[Worker Type],$D49,Dermal_Exp[OES],$C49))</f>
        <v>#REF!</v>
      </c>
      <c r="M49" s="207" t="e">
        <f>IF($E49="High-End",SUMIFS(#REF!,Dermal_Exp[Worker Type],$D49,Dermal_Exp[OES],$C49),SUMIFS(#REF!,Dermal_Exp[Worker Type],$D49,Dermal_Exp[OES],$C49))</f>
        <v>#REF!</v>
      </c>
      <c r="N49" s="207" t="e">
        <f>IF($E49="High-End",SUMIFS(#REF!,Dermal_Exp[Worker Type],$D49,Dermal_Exp[OES],$C49),SUMIFS(#REF!,Dermal_Exp[Worker Type],$D49,Dermal_Exp[OES],$C49))</f>
        <v>#REF!</v>
      </c>
      <c r="O49" s="226" t="e">
        <f t="shared" si="5"/>
        <v>#REF!</v>
      </c>
      <c r="P49" s="226" t="e">
        <f t="shared" si="2"/>
        <v>#REF!</v>
      </c>
      <c r="Q49" s="226" t="e">
        <f t="shared" si="3"/>
        <v>#REF!</v>
      </c>
      <c r="R49" s="226" t="e">
        <f t="shared" si="4"/>
        <v>#REF!</v>
      </c>
      <c r="AF49" s="14"/>
      <c r="AG49" s="14"/>
      <c r="AH49" s="14"/>
      <c r="AI49" s="14"/>
      <c r="AJ49" s="14"/>
      <c r="AK49" s="14"/>
      <c r="AL49" s="14"/>
    </row>
    <row r="50" spans="3:38" x14ac:dyDescent="0.35">
      <c r="C50" s="224" t="str" cm="1">
        <f t="array" ref="C50">INDEX('List Values'!$B$2:$B$21,(1+ROUNDDOWN((ROW()-ROW($C$5))*1/6,2)))</f>
        <v>Formulation of Adhesives (Neat D4)</v>
      </c>
      <c r="D50" s="224" t="s">
        <v>109</v>
      </c>
      <c r="E50" s="224" t="s">
        <v>53</v>
      </c>
      <c r="F50" s="225" t="s">
        <v>108</v>
      </c>
      <c r="G50" s="164">
        <f>IF(E50="High-End",SUMIFS(Inhalation_Exp[24hr_High-End],Inhalation_Exp[OES],$C50,Inhalation_Exp[Worker Type],$D50,Inhalation_Exp[Data Type],$F50),SUMIFS(Inhalation_Exp[24hr_Central Tendency],Inhalation_Exp[OES],$C50,Inhalation_Exp[Worker Type],$D50,Inhalation_Exp[Data Type],$F50))</f>
        <v>0</v>
      </c>
      <c r="H50" s="164">
        <f>IF(E50="High-End",SUMIFS(Inhalation_Exp[Int_High-End],Inhalation_Exp[OES],$C50,Inhalation_Exp[Worker Type],$D50,Inhalation_Exp[Data Type],$F50),SUMIFS(Inhalation_Exp[Int_Central Tendency],Inhalation_Exp[OES],$C50,Inhalation_Exp[Worker Type],$D50,Inhalation_Exp[Data Type],$F50))</f>
        <v>0</v>
      </c>
      <c r="I50" s="164">
        <f>IF(E50="High-End",SUMIFS(Inhalation_Exp[ADC_High-End],Inhalation_Exp[OES],$C50,Inhalation_Exp[Worker Type],$D50,Inhalation_Exp[Data Type],$F50),SUMIFS(Inhalation_Exp[ADC_Central Tendency],Inhalation_Exp[OES],$C50,Inhalation_Exp[Worker Type],$D50,Inhalation_Exp[Data Type],$F50))</f>
        <v>0</v>
      </c>
      <c r="J50" s="164" t="e">
        <f>IF(E50="High-End",SUMIFS(#REF!,Inhalation_Exp[OES],$C50,Inhalation_Exp[Worker Type],$D50,Inhalation_Exp[Data Type],$F50),SUMIFS(#REF!,Inhalation_Exp[OES],$C50,Inhalation_Exp[Worker Type],$D50,Inhalation_Exp[Data Type],$F50))</f>
        <v>#REF!</v>
      </c>
      <c r="K50" s="207" t="e">
        <f>IF($E50="High-End",SUMIFS(#REF!,Dermal_Exp[Worker Type],$D50,Dermal_Exp[OES],$C50),SUMIFS(#REF!,Dermal_Exp[Worker Type],$D50,Dermal_Exp[OES],$C50))</f>
        <v>#REF!</v>
      </c>
      <c r="L50" s="207" t="e">
        <f>IF($E50="High-End",SUMIFS(#REF!,Dermal_Exp[Worker Type],$D50,Dermal_Exp[OES],$C50),SUMIFS(#REF!,Dermal_Exp[Worker Type],$D50,Dermal_Exp[OES],$C50))</f>
        <v>#REF!</v>
      </c>
      <c r="M50" s="207" t="e">
        <f>IF($E50="High-End",SUMIFS(#REF!,Dermal_Exp[Worker Type],$D50,Dermal_Exp[OES],$C50),SUMIFS(#REF!,Dermal_Exp[Worker Type],$D50,Dermal_Exp[OES],$C50))</f>
        <v>#REF!</v>
      </c>
      <c r="N50" s="207" t="e">
        <f>IF($E50="High-End",SUMIFS(#REF!,Dermal_Exp[Worker Type],$D50,Dermal_Exp[OES],$C50),SUMIFS(#REF!,Dermal_Exp[Worker Type],$D50,Dermal_Exp[OES],$C50))</f>
        <v>#REF!</v>
      </c>
      <c r="O50" s="226" t="e">
        <f t="shared" si="5"/>
        <v>#REF!</v>
      </c>
      <c r="P50" s="226" t="e">
        <f t="shared" si="2"/>
        <v>#REF!</v>
      </c>
      <c r="Q50" s="226" t="e">
        <f t="shared" si="3"/>
        <v>#REF!</v>
      </c>
      <c r="R50" s="226" t="e">
        <f t="shared" si="4"/>
        <v>#REF!</v>
      </c>
      <c r="AF50" s="14"/>
      <c r="AG50" s="14"/>
      <c r="AH50" s="14"/>
      <c r="AI50" s="14"/>
      <c r="AJ50" s="14"/>
      <c r="AK50" s="14"/>
      <c r="AL50" s="14"/>
    </row>
    <row r="51" spans="3:38" x14ac:dyDescent="0.35">
      <c r="C51" s="224" t="str" cm="1">
        <f t="array" ref="C51">INDEX('List Values'!$B$2:$B$21,(1+ROUNDDOWN((ROW()-ROW($C$5))*1/6,2)))</f>
        <v>Formulation of Adhesives (Neat D4)</v>
      </c>
      <c r="D51" s="224" t="s">
        <v>54</v>
      </c>
      <c r="E51" s="224" t="s">
        <v>52</v>
      </c>
      <c r="F51" s="225" t="s">
        <v>108</v>
      </c>
      <c r="G51" s="164">
        <f>IF(E51="High-End",SUMIFS(Inhalation_Exp[24hr_High-End],Inhalation_Exp[OES],$C51,Inhalation_Exp[Worker Type],$D51,Inhalation_Exp[Data Type],$F51),SUMIFS(Inhalation_Exp[24hr_Central Tendency],Inhalation_Exp[OES],$C51,Inhalation_Exp[Worker Type],$D51,Inhalation_Exp[Data Type],$F51))</f>
        <v>0</v>
      </c>
      <c r="H51" s="164">
        <f>IF(E51="High-End",SUMIFS(Inhalation_Exp[Int_High-End],Inhalation_Exp[OES],$C51,Inhalation_Exp[Worker Type],$D51,Inhalation_Exp[Data Type],$F51),SUMIFS(Inhalation_Exp[Int_Central Tendency],Inhalation_Exp[OES],$C51,Inhalation_Exp[Worker Type],$D51,Inhalation_Exp[Data Type],$F51))</f>
        <v>0</v>
      </c>
      <c r="I51" s="164">
        <f>IF(E51="High-End",SUMIFS(Inhalation_Exp[ADC_High-End],Inhalation_Exp[OES],$C51,Inhalation_Exp[Worker Type],$D51,Inhalation_Exp[Data Type],$F51),SUMIFS(Inhalation_Exp[ADC_Central Tendency],Inhalation_Exp[OES],$C51,Inhalation_Exp[Worker Type],$D51,Inhalation_Exp[Data Type],$F51))</f>
        <v>0</v>
      </c>
      <c r="J51" s="164" t="e">
        <f>IF(E51="High-End",SUMIFS(#REF!,Inhalation_Exp[OES],$C51,Inhalation_Exp[Worker Type],$D51,Inhalation_Exp[Data Type],$F51),SUMIFS(#REF!,Inhalation_Exp[OES],$C51,Inhalation_Exp[Worker Type],$D51,Inhalation_Exp[Data Type],$F51))</f>
        <v>#REF!</v>
      </c>
      <c r="K51" s="207" t="e">
        <f>IF($E51="High-End",SUMIFS(#REF!,Dermal_Exp[Worker Type],$D51,Dermal_Exp[OES],$C51),SUMIFS(#REF!,Dermal_Exp[Worker Type],$D51,Dermal_Exp[OES],$C51))</f>
        <v>#REF!</v>
      </c>
      <c r="L51" s="207" t="e">
        <f>IF($E51="High-End",SUMIFS(#REF!,Dermal_Exp[Worker Type],$D51,Dermal_Exp[OES],$C51),SUMIFS(#REF!,Dermal_Exp[Worker Type],$D51,Dermal_Exp[OES],$C51))</f>
        <v>#REF!</v>
      </c>
      <c r="M51" s="207" t="e">
        <f>IF($E51="High-End",SUMIFS(#REF!,Dermal_Exp[Worker Type],$D51,Dermal_Exp[OES],$C51),SUMIFS(#REF!,Dermal_Exp[Worker Type],$D51,Dermal_Exp[OES],$C51))</f>
        <v>#REF!</v>
      </c>
      <c r="N51" s="207" t="e">
        <f>IF($E51="High-End",SUMIFS(#REF!,Dermal_Exp[Worker Type],$D51,Dermal_Exp[OES],$C51),SUMIFS(#REF!,Dermal_Exp[Worker Type],$D51,Dermal_Exp[OES],$C51))</f>
        <v>#REF!</v>
      </c>
      <c r="O51" s="226" t="e">
        <f t="shared" si="5"/>
        <v>#REF!</v>
      </c>
      <c r="P51" s="226" t="e">
        <f t="shared" si="2"/>
        <v>#REF!</v>
      </c>
      <c r="Q51" s="226" t="e">
        <f t="shared" si="3"/>
        <v>#REF!</v>
      </c>
      <c r="R51" s="226" t="e">
        <f t="shared" si="4"/>
        <v>#REF!</v>
      </c>
      <c r="AF51" s="14"/>
      <c r="AG51" s="14"/>
      <c r="AH51" s="14"/>
      <c r="AI51" s="14"/>
      <c r="AJ51" s="14"/>
      <c r="AK51" s="14"/>
      <c r="AL51" s="14"/>
    </row>
    <row r="52" spans="3:38" x14ac:dyDescent="0.35">
      <c r="C52" s="224" t="str" cm="1">
        <f t="array" ref="C52">INDEX('List Values'!$B$2:$B$21,(1+ROUNDDOWN((ROW()-ROW($C$5))*1/6,2)))</f>
        <v>Formulation of Adhesives (Neat D4)</v>
      </c>
      <c r="D52" s="224" t="s">
        <v>54</v>
      </c>
      <c r="E52" s="224" t="s">
        <v>53</v>
      </c>
      <c r="F52" s="225" t="s">
        <v>108</v>
      </c>
      <c r="G52" s="164">
        <f>IF(E52="High-End",SUMIFS(Inhalation_Exp[24hr_High-End],Inhalation_Exp[OES],$C52,Inhalation_Exp[Worker Type],$D52,Inhalation_Exp[Data Type],$F52),SUMIFS(Inhalation_Exp[24hr_Central Tendency],Inhalation_Exp[OES],$C52,Inhalation_Exp[Worker Type],$D52,Inhalation_Exp[Data Type],$F52))</f>
        <v>0</v>
      </c>
      <c r="H52" s="164">
        <f>IF(E52="High-End",SUMIFS(Inhalation_Exp[Int_High-End],Inhalation_Exp[OES],$C52,Inhalation_Exp[Worker Type],$D52,Inhalation_Exp[Data Type],$F52),SUMIFS(Inhalation_Exp[Int_Central Tendency],Inhalation_Exp[OES],$C52,Inhalation_Exp[Worker Type],$D52,Inhalation_Exp[Data Type],$F52))</f>
        <v>0</v>
      </c>
      <c r="I52" s="164">
        <f>IF(E52="High-End",SUMIFS(Inhalation_Exp[ADC_High-End],Inhalation_Exp[OES],$C52,Inhalation_Exp[Worker Type],$D52,Inhalation_Exp[Data Type],$F52),SUMIFS(Inhalation_Exp[ADC_Central Tendency],Inhalation_Exp[OES],$C52,Inhalation_Exp[Worker Type],$D52,Inhalation_Exp[Data Type],$F52))</f>
        <v>0</v>
      </c>
      <c r="J52" s="164" t="e">
        <f>IF(E52="High-End",SUMIFS(#REF!,Inhalation_Exp[OES],$C52,Inhalation_Exp[Worker Type],$D52,Inhalation_Exp[Data Type],$F52),SUMIFS(#REF!,Inhalation_Exp[OES],$C52,Inhalation_Exp[Worker Type],$D52,Inhalation_Exp[Data Type],$F52))</f>
        <v>#REF!</v>
      </c>
      <c r="K52" s="207" t="e">
        <f>IF($E52="High-End",SUMIFS(#REF!,Dermal_Exp[Worker Type],$D52,Dermal_Exp[OES],$C52),SUMIFS(#REF!,Dermal_Exp[Worker Type],$D52,Dermal_Exp[OES],$C52))</f>
        <v>#REF!</v>
      </c>
      <c r="L52" s="207" t="e">
        <f>IF($E52="High-End",SUMIFS(#REF!,Dermal_Exp[Worker Type],$D52,Dermal_Exp[OES],$C52),SUMIFS(#REF!,Dermal_Exp[Worker Type],$D52,Dermal_Exp[OES],$C52))</f>
        <v>#REF!</v>
      </c>
      <c r="M52" s="207" t="e">
        <f>IF($E52="High-End",SUMIFS(#REF!,Dermal_Exp[Worker Type],$D52,Dermal_Exp[OES],$C52),SUMIFS(#REF!,Dermal_Exp[Worker Type],$D52,Dermal_Exp[OES],$C52))</f>
        <v>#REF!</v>
      </c>
      <c r="N52" s="207" t="e">
        <f>IF($E52="High-End",SUMIFS(#REF!,Dermal_Exp[Worker Type],$D52,Dermal_Exp[OES],$C52),SUMIFS(#REF!,Dermal_Exp[Worker Type],$D52,Dermal_Exp[OES],$C52))</f>
        <v>#REF!</v>
      </c>
      <c r="O52" s="226" t="e">
        <f t="shared" si="5"/>
        <v>#REF!</v>
      </c>
      <c r="P52" s="226" t="e">
        <f t="shared" si="2"/>
        <v>#REF!</v>
      </c>
      <c r="Q52" s="226" t="e">
        <f t="shared" si="3"/>
        <v>#REF!</v>
      </c>
      <c r="R52" s="226" t="e">
        <f t="shared" si="4"/>
        <v>#REF!</v>
      </c>
      <c r="AF52" s="14"/>
      <c r="AG52" s="14"/>
      <c r="AH52" s="14"/>
      <c r="AI52" s="14"/>
      <c r="AJ52" s="14"/>
      <c r="AK52" s="14"/>
      <c r="AL52" s="14"/>
    </row>
    <row r="53" spans="3:38" x14ac:dyDescent="0.35">
      <c r="C53" s="224" t="str" cm="1">
        <f t="array" ref="C53">INDEX('List Values'!$B$2:$B$21,(1+ROUNDDOWN((ROW()-ROW($C$5))*1/6,2)))</f>
        <v>Formulation of Adhesives (Residual D4)</v>
      </c>
      <c r="D53" s="224" t="s">
        <v>34</v>
      </c>
      <c r="E53" s="218" t="s">
        <v>52</v>
      </c>
      <c r="F53" s="225" t="s">
        <v>108</v>
      </c>
      <c r="G53" s="164">
        <f>IF(E53="High-End",SUMIFS(Inhalation_Exp[24hr_High-End],Inhalation_Exp[OES],$C53,Inhalation_Exp[Worker Type],$D53,Inhalation_Exp[Data Type],$F53),SUMIFS(Inhalation_Exp[24hr_Central Tendency],Inhalation_Exp[OES],$C53,Inhalation_Exp[Worker Type],$D53,Inhalation_Exp[Data Type],$F53))</f>
        <v>0</v>
      </c>
      <c r="H53" s="164">
        <f>IF(E53="High-End",SUMIFS(Inhalation_Exp[Int_High-End],Inhalation_Exp[OES],$C53,Inhalation_Exp[Worker Type],$D53,Inhalation_Exp[Data Type],$F53),SUMIFS(Inhalation_Exp[Int_Central Tendency],Inhalation_Exp[OES],$C53,Inhalation_Exp[Worker Type],$D53,Inhalation_Exp[Data Type],$F53))</f>
        <v>0</v>
      </c>
      <c r="I53" s="164">
        <f>IF(E53="High-End",SUMIFS(Inhalation_Exp[ADC_High-End],Inhalation_Exp[OES],$C53,Inhalation_Exp[Worker Type],$D53,Inhalation_Exp[Data Type],$F53),SUMIFS(Inhalation_Exp[ADC_Central Tendency],Inhalation_Exp[OES],$C53,Inhalation_Exp[Worker Type],$D53,Inhalation_Exp[Data Type],$F53))</f>
        <v>0</v>
      </c>
      <c r="J53" s="164" t="e">
        <f>IF(E53="High-End",SUMIFS(#REF!,Inhalation_Exp[OES],$C53,Inhalation_Exp[Worker Type],$D53,Inhalation_Exp[Data Type],$F53),SUMIFS(#REF!,Inhalation_Exp[OES],$C53,Inhalation_Exp[Worker Type],$D53,Inhalation_Exp[Data Type],$F53))</f>
        <v>#REF!</v>
      </c>
      <c r="K53" s="207" t="e">
        <f>IF($E53="High-End",SUMIFS(#REF!,Dermal_Exp[Worker Type],$D53,Dermal_Exp[OES],$C53),SUMIFS(#REF!,Dermal_Exp[Worker Type],$D53,Dermal_Exp[OES],$C53))</f>
        <v>#REF!</v>
      </c>
      <c r="L53" s="207" t="e">
        <f>IF($E53="High-End",SUMIFS(#REF!,Dermal_Exp[Worker Type],$D53,Dermal_Exp[OES],$C53),SUMIFS(#REF!,Dermal_Exp[Worker Type],$D53,Dermal_Exp[OES],$C53))</f>
        <v>#REF!</v>
      </c>
      <c r="M53" s="207" t="e">
        <f>IF($E53="High-End",SUMIFS(#REF!,Dermal_Exp[Worker Type],$D53,Dermal_Exp[OES],$C53),SUMIFS(#REF!,Dermal_Exp[Worker Type],$D53,Dermal_Exp[OES],$C53))</f>
        <v>#REF!</v>
      </c>
      <c r="N53" s="207" t="e">
        <f>IF($E53="High-End",SUMIFS(#REF!,Dermal_Exp[Worker Type],$D53,Dermal_Exp[OES],$C53),SUMIFS(#REF!,Dermal_Exp[Worker Type],$D53,Dermal_Exp[OES],$C53))</f>
        <v>#REF!</v>
      </c>
      <c r="O53" s="226" t="e">
        <f t="shared" si="5"/>
        <v>#REF!</v>
      </c>
      <c r="P53" s="226" t="e">
        <f t="shared" si="2"/>
        <v>#REF!</v>
      </c>
      <c r="Q53" s="226" t="e">
        <f t="shared" si="3"/>
        <v>#REF!</v>
      </c>
      <c r="R53" s="226" t="e">
        <f t="shared" si="4"/>
        <v>#REF!</v>
      </c>
      <c r="AF53" s="14"/>
      <c r="AG53" s="14"/>
      <c r="AH53" s="14"/>
      <c r="AI53" s="14"/>
      <c r="AJ53" s="14"/>
      <c r="AK53" s="14"/>
      <c r="AL53" s="14"/>
    </row>
    <row r="54" spans="3:38" x14ac:dyDescent="0.35">
      <c r="C54" s="224" t="str" cm="1">
        <f t="array" ref="C54">INDEX('List Values'!$B$2:$B$21,(1+ROUNDDOWN((ROW()-ROW($C$5))*1/6,2)))</f>
        <v>Formulation of Adhesives (Residual D4)</v>
      </c>
      <c r="D54" s="224" t="s">
        <v>34</v>
      </c>
      <c r="E54" s="224" t="s">
        <v>53</v>
      </c>
      <c r="F54" s="225" t="s">
        <v>108</v>
      </c>
      <c r="G54" s="164">
        <f>IF(E54="High-End",SUMIFS(Inhalation_Exp[24hr_High-End],Inhalation_Exp[OES],$C54,Inhalation_Exp[Worker Type],$D54,Inhalation_Exp[Data Type],$F54),SUMIFS(Inhalation_Exp[24hr_Central Tendency],Inhalation_Exp[OES],$C54,Inhalation_Exp[Worker Type],$D54,Inhalation_Exp[Data Type],$F54))</f>
        <v>0</v>
      </c>
      <c r="H54" s="164">
        <f>IF(E54="High-End",SUMIFS(Inhalation_Exp[Int_High-End],Inhalation_Exp[OES],$C54,Inhalation_Exp[Worker Type],$D54,Inhalation_Exp[Data Type],$F54),SUMIFS(Inhalation_Exp[Int_Central Tendency],Inhalation_Exp[OES],$C54,Inhalation_Exp[Worker Type],$D54,Inhalation_Exp[Data Type],$F54))</f>
        <v>0</v>
      </c>
      <c r="I54" s="164">
        <f>IF(E54="High-End",SUMIFS(Inhalation_Exp[ADC_High-End],Inhalation_Exp[OES],$C54,Inhalation_Exp[Worker Type],$D54,Inhalation_Exp[Data Type],$F54),SUMIFS(Inhalation_Exp[ADC_Central Tendency],Inhalation_Exp[OES],$C54,Inhalation_Exp[Worker Type],$D54,Inhalation_Exp[Data Type],$F54))</f>
        <v>0</v>
      </c>
      <c r="J54" s="164" t="e">
        <f>IF(E54="High-End",SUMIFS(#REF!,Inhalation_Exp[OES],$C54,Inhalation_Exp[Worker Type],$D54,Inhalation_Exp[Data Type],$F54),SUMIFS(#REF!,Inhalation_Exp[OES],$C54,Inhalation_Exp[Worker Type],$D54,Inhalation_Exp[Data Type],$F54))</f>
        <v>#REF!</v>
      </c>
      <c r="K54" s="207" t="e">
        <f>IF($E54="High-End",SUMIFS(#REF!,Dermal_Exp[Worker Type],$D54,Dermal_Exp[OES],$C54),SUMIFS(#REF!,Dermal_Exp[Worker Type],$D54,Dermal_Exp[OES],$C54))</f>
        <v>#REF!</v>
      </c>
      <c r="L54" s="207" t="e">
        <f>IF($E54="High-End",SUMIFS(#REF!,Dermal_Exp[Worker Type],$D54,Dermal_Exp[OES],$C54),SUMIFS(#REF!,Dermal_Exp[Worker Type],$D54,Dermal_Exp[OES],$C54))</f>
        <v>#REF!</v>
      </c>
      <c r="M54" s="207" t="e">
        <f>IF($E54="High-End",SUMIFS(#REF!,Dermal_Exp[Worker Type],$D54,Dermal_Exp[OES],$C54),SUMIFS(#REF!,Dermal_Exp[Worker Type],$D54,Dermal_Exp[OES],$C54))</f>
        <v>#REF!</v>
      </c>
      <c r="N54" s="207" t="e">
        <f>IF($E54="High-End",SUMIFS(#REF!,Dermal_Exp[Worker Type],$D54,Dermal_Exp[OES],$C54),SUMIFS(#REF!,Dermal_Exp[Worker Type],$D54,Dermal_Exp[OES],$C54))</f>
        <v>#REF!</v>
      </c>
      <c r="O54" s="226" t="e">
        <f t="shared" si="5"/>
        <v>#REF!</v>
      </c>
      <c r="P54" s="226" t="e">
        <f t="shared" si="2"/>
        <v>#REF!</v>
      </c>
      <c r="Q54" s="226" t="e">
        <f t="shared" si="3"/>
        <v>#REF!</v>
      </c>
      <c r="R54" s="226" t="e">
        <f t="shared" si="4"/>
        <v>#REF!</v>
      </c>
      <c r="AF54" s="14"/>
      <c r="AG54" s="14"/>
      <c r="AH54" s="14"/>
      <c r="AI54" s="14"/>
      <c r="AJ54" s="14"/>
      <c r="AK54" s="14"/>
      <c r="AL54" s="14"/>
    </row>
    <row r="55" spans="3:38" x14ac:dyDescent="0.35">
      <c r="C55" s="224" t="str" cm="1">
        <f t="array" ref="C55">INDEX('List Values'!$B$2:$B$21,(1+ROUNDDOWN((ROW()-ROW($C$5))*1/6,2)))</f>
        <v>Formulation of Adhesives (Residual D4)</v>
      </c>
      <c r="D55" s="224" t="s">
        <v>109</v>
      </c>
      <c r="E55" s="224" t="s">
        <v>52</v>
      </c>
      <c r="F55" s="225" t="s">
        <v>108</v>
      </c>
      <c r="G55" s="164">
        <f>IF(E55="High-End",SUMIFS(Inhalation_Exp[24hr_High-End],Inhalation_Exp[OES],$C55,Inhalation_Exp[Worker Type],$D55,Inhalation_Exp[Data Type],$F55),SUMIFS(Inhalation_Exp[24hr_Central Tendency],Inhalation_Exp[OES],$C55,Inhalation_Exp[Worker Type],$D55,Inhalation_Exp[Data Type],$F55))</f>
        <v>0</v>
      </c>
      <c r="H55" s="164">
        <f>IF(E55="High-End",SUMIFS(Inhalation_Exp[Int_High-End],Inhalation_Exp[OES],$C55,Inhalation_Exp[Worker Type],$D55,Inhalation_Exp[Data Type],$F55),SUMIFS(Inhalation_Exp[Int_Central Tendency],Inhalation_Exp[OES],$C55,Inhalation_Exp[Worker Type],$D55,Inhalation_Exp[Data Type],$F55))</f>
        <v>0</v>
      </c>
      <c r="I55" s="164">
        <f>IF(E55="High-End",SUMIFS(Inhalation_Exp[ADC_High-End],Inhalation_Exp[OES],$C55,Inhalation_Exp[Worker Type],$D55,Inhalation_Exp[Data Type],$F55),SUMIFS(Inhalation_Exp[ADC_Central Tendency],Inhalation_Exp[OES],$C55,Inhalation_Exp[Worker Type],$D55,Inhalation_Exp[Data Type],$F55))</f>
        <v>0</v>
      </c>
      <c r="J55" s="164" t="e">
        <f>IF(E55="High-End",SUMIFS(#REF!,Inhalation_Exp[OES],$C55,Inhalation_Exp[Worker Type],$D55,Inhalation_Exp[Data Type],$F55),SUMIFS(#REF!,Inhalation_Exp[OES],$C55,Inhalation_Exp[Worker Type],$D55,Inhalation_Exp[Data Type],$F55))</f>
        <v>#REF!</v>
      </c>
      <c r="K55" s="207" t="e">
        <f>IF($E55="High-End",SUMIFS(#REF!,Dermal_Exp[Worker Type],$D55,Dermal_Exp[OES],$C55),SUMIFS(#REF!,Dermal_Exp[Worker Type],$D55,Dermal_Exp[OES],$C55))</f>
        <v>#REF!</v>
      </c>
      <c r="L55" s="207" t="e">
        <f>IF($E55="High-End",SUMIFS(#REF!,Dermal_Exp[Worker Type],$D55,Dermal_Exp[OES],$C55),SUMIFS(#REF!,Dermal_Exp[Worker Type],$D55,Dermal_Exp[OES],$C55))</f>
        <v>#REF!</v>
      </c>
      <c r="M55" s="207" t="e">
        <f>IF($E55="High-End",SUMIFS(#REF!,Dermal_Exp[Worker Type],$D55,Dermal_Exp[OES],$C55),SUMIFS(#REF!,Dermal_Exp[Worker Type],$D55,Dermal_Exp[OES],$C55))</f>
        <v>#REF!</v>
      </c>
      <c r="N55" s="207" t="e">
        <f>IF($E55="High-End",SUMIFS(#REF!,Dermal_Exp[Worker Type],$D55,Dermal_Exp[OES],$C55),SUMIFS(#REF!,Dermal_Exp[Worker Type],$D55,Dermal_Exp[OES],$C55))</f>
        <v>#REF!</v>
      </c>
      <c r="O55" s="226" t="e">
        <f t="shared" si="5"/>
        <v>#REF!</v>
      </c>
      <c r="P55" s="226" t="e">
        <f t="shared" si="2"/>
        <v>#REF!</v>
      </c>
      <c r="Q55" s="226" t="e">
        <f t="shared" si="3"/>
        <v>#REF!</v>
      </c>
      <c r="R55" s="226" t="e">
        <f t="shared" si="4"/>
        <v>#REF!</v>
      </c>
      <c r="AF55" s="14"/>
      <c r="AG55" s="14"/>
      <c r="AH55" s="14"/>
      <c r="AI55" s="14"/>
      <c r="AJ55" s="14"/>
      <c r="AK55" s="14"/>
      <c r="AL55" s="14"/>
    </row>
    <row r="56" spans="3:38" x14ac:dyDescent="0.35">
      <c r="C56" s="224" t="str" cm="1">
        <f t="array" ref="C56">INDEX('List Values'!$B$2:$B$21,(1+ROUNDDOWN((ROW()-ROW($C$5))*1/6,2)))</f>
        <v>Formulation of Adhesives (Residual D4)</v>
      </c>
      <c r="D56" s="224" t="s">
        <v>109</v>
      </c>
      <c r="E56" s="224" t="s">
        <v>53</v>
      </c>
      <c r="F56" s="225" t="s">
        <v>108</v>
      </c>
      <c r="G56" s="164">
        <f>IF(E56="High-End",SUMIFS(Inhalation_Exp[24hr_High-End],Inhalation_Exp[OES],$C56,Inhalation_Exp[Worker Type],$D56,Inhalation_Exp[Data Type],$F56),SUMIFS(Inhalation_Exp[24hr_Central Tendency],Inhalation_Exp[OES],$C56,Inhalation_Exp[Worker Type],$D56,Inhalation_Exp[Data Type],$F56))</f>
        <v>0</v>
      </c>
      <c r="H56" s="164">
        <f>IF(E56="High-End",SUMIFS(Inhalation_Exp[Int_High-End],Inhalation_Exp[OES],$C56,Inhalation_Exp[Worker Type],$D56,Inhalation_Exp[Data Type],$F56),SUMIFS(Inhalation_Exp[Int_Central Tendency],Inhalation_Exp[OES],$C56,Inhalation_Exp[Worker Type],$D56,Inhalation_Exp[Data Type],$F56))</f>
        <v>0</v>
      </c>
      <c r="I56" s="164">
        <f>IF(E56="High-End",SUMIFS(Inhalation_Exp[ADC_High-End],Inhalation_Exp[OES],$C56,Inhalation_Exp[Worker Type],$D56,Inhalation_Exp[Data Type],$F56),SUMIFS(Inhalation_Exp[ADC_Central Tendency],Inhalation_Exp[OES],$C56,Inhalation_Exp[Worker Type],$D56,Inhalation_Exp[Data Type],$F56))</f>
        <v>0</v>
      </c>
      <c r="J56" s="164" t="e">
        <f>IF(E56="High-End",SUMIFS(#REF!,Inhalation_Exp[OES],$C56,Inhalation_Exp[Worker Type],$D56,Inhalation_Exp[Data Type],$F56),SUMIFS(#REF!,Inhalation_Exp[OES],$C56,Inhalation_Exp[Worker Type],$D56,Inhalation_Exp[Data Type],$F56))</f>
        <v>#REF!</v>
      </c>
      <c r="K56" s="207" t="e">
        <f>IF($E56="High-End",SUMIFS(#REF!,Dermal_Exp[Worker Type],$D56,Dermal_Exp[OES],$C56),SUMIFS(#REF!,Dermal_Exp[Worker Type],$D56,Dermal_Exp[OES],$C56))</f>
        <v>#REF!</v>
      </c>
      <c r="L56" s="207" t="e">
        <f>IF($E56="High-End",SUMIFS(#REF!,Dermal_Exp[Worker Type],$D56,Dermal_Exp[OES],$C56),SUMIFS(#REF!,Dermal_Exp[Worker Type],$D56,Dermal_Exp[OES],$C56))</f>
        <v>#REF!</v>
      </c>
      <c r="M56" s="207" t="e">
        <f>IF($E56="High-End",SUMIFS(#REF!,Dermal_Exp[Worker Type],$D56,Dermal_Exp[OES],$C56),SUMIFS(#REF!,Dermal_Exp[Worker Type],$D56,Dermal_Exp[OES],$C56))</f>
        <v>#REF!</v>
      </c>
      <c r="N56" s="207" t="e">
        <f>IF($E56="High-End",SUMIFS(#REF!,Dermal_Exp[Worker Type],$D56,Dermal_Exp[OES],$C56),SUMIFS(#REF!,Dermal_Exp[Worker Type],$D56,Dermal_Exp[OES],$C56))</f>
        <v>#REF!</v>
      </c>
      <c r="O56" s="226" t="e">
        <f t="shared" si="5"/>
        <v>#REF!</v>
      </c>
      <c r="P56" s="226" t="e">
        <f t="shared" si="2"/>
        <v>#REF!</v>
      </c>
      <c r="Q56" s="226" t="e">
        <f t="shared" si="3"/>
        <v>#REF!</v>
      </c>
      <c r="R56" s="226" t="e">
        <f t="shared" si="4"/>
        <v>#REF!</v>
      </c>
      <c r="AF56" s="14"/>
      <c r="AG56" s="14"/>
      <c r="AH56" s="14"/>
      <c r="AI56" s="14"/>
      <c r="AJ56" s="14"/>
      <c r="AK56" s="14"/>
      <c r="AL56" s="14"/>
    </row>
    <row r="57" spans="3:38" x14ac:dyDescent="0.35">
      <c r="C57" s="224" t="str" cm="1">
        <f t="array" ref="C57">INDEX('List Values'!$B$2:$B$21,(1+ROUNDDOWN((ROW()-ROW($C$5))*1/6,2)))</f>
        <v>Formulation of Adhesives (Residual D4)</v>
      </c>
      <c r="D57" s="224" t="s">
        <v>54</v>
      </c>
      <c r="E57" s="224" t="s">
        <v>52</v>
      </c>
      <c r="F57" s="225" t="s">
        <v>108</v>
      </c>
      <c r="G57" s="164">
        <f>IF(E57="High-End",SUMIFS(Inhalation_Exp[24hr_High-End],Inhalation_Exp[OES],$C57,Inhalation_Exp[Worker Type],$D57,Inhalation_Exp[Data Type],$F57),SUMIFS(Inhalation_Exp[24hr_Central Tendency],Inhalation_Exp[OES],$C57,Inhalation_Exp[Worker Type],$D57,Inhalation_Exp[Data Type],$F57))</f>
        <v>0</v>
      </c>
      <c r="H57" s="164">
        <f>IF(E57="High-End",SUMIFS(Inhalation_Exp[Int_High-End],Inhalation_Exp[OES],$C57,Inhalation_Exp[Worker Type],$D57,Inhalation_Exp[Data Type],$F57),SUMIFS(Inhalation_Exp[Int_Central Tendency],Inhalation_Exp[OES],$C57,Inhalation_Exp[Worker Type],$D57,Inhalation_Exp[Data Type],$F57))</f>
        <v>0</v>
      </c>
      <c r="I57" s="164">
        <f>IF(E57="High-End",SUMIFS(Inhalation_Exp[ADC_High-End],Inhalation_Exp[OES],$C57,Inhalation_Exp[Worker Type],$D57,Inhalation_Exp[Data Type],$F57),SUMIFS(Inhalation_Exp[ADC_Central Tendency],Inhalation_Exp[OES],$C57,Inhalation_Exp[Worker Type],$D57,Inhalation_Exp[Data Type],$F57))</f>
        <v>0</v>
      </c>
      <c r="J57" s="164" t="e">
        <f>IF(E57="High-End",SUMIFS(#REF!,Inhalation_Exp[OES],$C57,Inhalation_Exp[Worker Type],$D57,Inhalation_Exp[Data Type],$F57),SUMIFS(#REF!,Inhalation_Exp[OES],$C57,Inhalation_Exp[Worker Type],$D57,Inhalation_Exp[Data Type],$F57))</f>
        <v>#REF!</v>
      </c>
      <c r="K57" s="207" t="e">
        <f>IF($E57="High-End",SUMIFS(#REF!,Dermal_Exp[Worker Type],$D57,Dermal_Exp[OES],$C57),SUMIFS(#REF!,Dermal_Exp[Worker Type],$D57,Dermal_Exp[OES],$C57))</f>
        <v>#REF!</v>
      </c>
      <c r="L57" s="207" t="e">
        <f>IF($E57="High-End",SUMIFS(#REF!,Dermal_Exp[Worker Type],$D57,Dermal_Exp[OES],$C57),SUMIFS(#REF!,Dermal_Exp[Worker Type],$D57,Dermal_Exp[OES],$C57))</f>
        <v>#REF!</v>
      </c>
      <c r="M57" s="207" t="e">
        <f>IF($E57="High-End",SUMIFS(#REF!,Dermal_Exp[Worker Type],$D57,Dermal_Exp[OES],$C57),SUMIFS(#REF!,Dermal_Exp[Worker Type],$D57,Dermal_Exp[OES],$C57))</f>
        <v>#REF!</v>
      </c>
      <c r="N57" s="207" t="e">
        <f>IF($E57="High-End",SUMIFS(#REF!,Dermal_Exp[Worker Type],$D57,Dermal_Exp[OES],$C57),SUMIFS(#REF!,Dermal_Exp[Worker Type],$D57,Dermal_Exp[OES],$C57))</f>
        <v>#REF!</v>
      </c>
      <c r="O57" s="226" t="e">
        <f t="shared" si="5"/>
        <v>#REF!</v>
      </c>
      <c r="P57" s="226" t="e">
        <f t="shared" si="2"/>
        <v>#REF!</v>
      </c>
      <c r="Q57" s="226" t="e">
        <f t="shared" si="3"/>
        <v>#REF!</v>
      </c>
      <c r="R57" s="226" t="e">
        <f t="shared" si="4"/>
        <v>#REF!</v>
      </c>
      <c r="AF57" s="14"/>
      <c r="AG57" s="14"/>
      <c r="AH57" s="14"/>
      <c r="AI57" s="14"/>
      <c r="AJ57" s="14"/>
      <c r="AK57" s="14"/>
      <c r="AL57" s="14"/>
    </row>
    <row r="58" spans="3:38" x14ac:dyDescent="0.35">
      <c r="C58" s="224" t="str" cm="1">
        <f t="array" ref="C58">INDEX('List Values'!$B$2:$B$21,(1+ROUNDDOWN((ROW()-ROW($C$5))*1/6,2)))</f>
        <v>Formulation of Adhesives (Residual D4)</v>
      </c>
      <c r="D58" s="224" t="s">
        <v>54</v>
      </c>
      <c r="E58" s="224" t="s">
        <v>53</v>
      </c>
      <c r="F58" s="225" t="s">
        <v>108</v>
      </c>
      <c r="G58" s="164">
        <f>IF(E58="High-End",SUMIFS(Inhalation_Exp[24hr_High-End],Inhalation_Exp[OES],$C58,Inhalation_Exp[Worker Type],$D58,Inhalation_Exp[Data Type],$F58),SUMIFS(Inhalation_Exp[24hr_Central Tendency],Inhalation_Exp[OES],$C58,Inhalation_Exp[Worker Type],$D58,Inhalation_Exp[Data Type],$F58))</f>
        <v>0</v>
      </c>
      <c r="H58" s="164">
        <f>IF(E58="High-End",SUMIFS(Inhalation_Exp[Int_High-End],Inhalation_Exp[OES],$C58,Inhalation_Exp[Worker Type],$D58,Inhalation_Exp[Data Type],$F58),SUMIFS(Inhalation_Exp[Int_Central Tendency],Inhalation_Exp[OES],$C58,Inhalation_Exp[Worker Type],$D58,Inhalation_Exp[Data Type],$F58))</f>
        <v>0</v>
      </c>
      <c r="I58" s="164">
        <f>IF(E58="High-End",SUMIFS(Inhalation_Exp[ADC_High-End],Inhalation_Exp[OES],$C58,Inhalation_Exp[Worker Type],$D58,Inhalation_Exp[Data Type],$F58),SUMIFS(Inhalation_Exp[ADC_Central Tendency],Inhalation_Exp[OES],$C58,Inhalation_Exp[Worker Type],$D58,Inhalation_Exp[Data Type],$F58))</f>
        <v>0</v>
      </c>
      <c r="J58" s="164" t="e">
        <f>IF(E58="High-End",SUMIFS(#REF!,Inhalation_Exp[OES],$C58,Inhalation_Exp[Worker Type],$D58,Inhalation_Exp[Data Type],$F58),SUMIFS(#REF!,Inhalation_Exp[OES],$C58,Inhalation_Exp[Worker Type],$D58,Inhalation_Exp[Data Type],$F58))</f>
        <v>#REF!</v>
      </c>
      <c r="K58" s="207" t="e">
        <f>IF($E58="High-End",SUMIFS(#REF!,Dermal_Exp[Worker Type],$D58,Dermal_Exp[OES],$C58),SUMIFS(#REF!,Dermal_Exp[Worker Type],$D58,Dermal_Exp[OES],$C58))</f>
        <v>#REF!</v>
      </c>
      <c r="L58" s="207" t="e">
        <f>IF($E58="High-End",SUMIFS(#REF!,Dermal_Exp[Worker Type],$D58,Dermal_Exp[OES],$C58),SUMIFS(#REF!,Dermal_Exp[Worker Type],$D58,Dermal_Exp[OES],$C58))</f>
        <v>#REF!</v>
      </c>
      <c r="M58" s="207" t="e">
        <f>IF($E58="High-End",SUMIFS(#REF!,Dermal_Exp[Worker Type],$D58,Dermal_Exp[OES],$C58),SUMIFS(#REF!,Dermal_Exp[Worker Type],$D58,Dermal_Exp[OES],$C58))</f>
        <v>#REF!</v>
      </c>
      <c r="N58" s="207" t="e">
        <f>IF($E58="High-End",SUMIFS(#REF!,Dermal_Exp[Worker Type],$D58,Dermal_Exp[OES],$C58),SUMIFS(#REF!,Dermal_Exp[Worker Type],$D58,Dermal_Exp[OES],$C58))</f>
        <v>#REF!</v>
      </c>
      <c r="O58" s="226" t="e">
        <f t="shared" si="5"/>
        <v>#REF!</v>
      </c>
      <c r="P58" s="226" t="e">
        <f t="shared" si="2"/>
        <v>#REF!</v>
      </c>
      <c r="Q58" s="226" t="e">
        <f t="shared" si="3"/>
        <v>#REF!</v>
      </c>
      <c r="R58" s="226" t="e">
        <f t="shared" si="4"/>
        <v>#REF!</v>
      </c>
      <c r="AF58" s="14"/>
      <c r="AG58" s="14"/>
      <c r="AH58" s="14"/>
      <c r="AI58" s="14"/>
      <c r="AJ58" s="14"/>
      <c r="AK58" s="14"/>
      <c r="AL58" s="14"/>
    </row>
    <row r="59" spans="3:38" x14ac:dyDescent="0.35">
      <c r="C59" s="224" t="str" cm="1">
        <f t="array" ref="C59">INDEX('List Values'!$B$2:$B$21,(1+ROUNDDOWN((ROW()-ROW($C$5))*1/6,2)))</f>
        <v>Use of Adhesives and Sealants</v>
      </c>
      <c r="D59" s="224" t="s">
        <v>34</v>
      </c>
      <c r="E59" s="218" t="s">
        <v>52</v>
      </c>
      <c r="F59" s="225" t="s">
        <v>108</v>
      </c>
      <c r="G59" s="164">
        <f>IF(E59="High-End",SUMIFS(Inhalation_Exp[24hr_High-End],Inhalation_Exp[OES],$C59,Inhalation_Exp[Worker Type],$D59,Inhalation_Exp[Data Type],$F59),SUMIFS(Inhalation_Exp[24hr_Central Tendency],Inhalation_Exp[OES],$C59,Inhalation_Exp[Worker Type],$D59,Inhalation_Exp[Data Type],$F59))</f>
        <v>0</v>
      </c>
      <c r="H59" s="164">
        <f>IF(E59="High-End",SUMIFS(Inhalation_Exp[Int_High-End],Inhalation_Exp[OES],$C59,Inhalation_Exp[Worker Type],$D59,Inhalation_Exp[Data Type],$F59),SUMIFS(Inhalation_Exp[Int_Central Tendency],Inhalation_Exp[OES],$C59,Inhalation_Exp[Worker Type],$D59,Inhalation_Exp[Data Type],$F59))</f>
        <v>0</v>
      </c>
      <c r="I59" s="164">
        <f>IF(E59="High-End",SUMIFS(Inhalation_Exp[ADC_High-End],Inhalation_Exp[OES],$C59,Inhalation_Exp[Worker Type],$D59,Inhalation_Exp[Data Type],$F59),SUMIFS(Inhalation_Exp[ADC_Central Tendency],Inhalation_Exp[OES],$C59,Inhalation_Exp[Worker Type],$D59,Inhalation_Exp[Data Type],$F59))</f>
        <v>0</v>
      </c>
      <c r="J59" s="164" t="e">
        <f>IF(E59="High-End",SUMIFS(#REF!,Inhalation_Exp[OES],$C59,Inhalation_Exp[Worker Type],$D59,Inhalation_Exp[Data Type],$F59),SUMIFS(#REF!,Inhalation_Exp[OES],$C59,Inhalation_Exp[Worker Type],$D59,Inhalation_Exp[Data Type],$F59))</f>
        <v>#REF!</v>
      </c>
      <c r="K59" s="207" t="e">
        <f>IF($E59="High-End",SUMIFS(#REF!,Dermal_Exp[Worker Type],$D59,Dermal_Exp[OES],$C59),SUMIFS(#REF!,Dermal_Exp[Worker Type],$D59,Dermal_Exp[OES],$C59))</f>
        <v>#REF!</v>
      </c>
      <c r="L59" s="207" t="e">
        <f>IF($E59="High-End",SUMIFS(#REF!,Dermal_Exp[Worker Type],$D59,Dermal_Exp[OES],$C59),SUMIFS(#REF!,Dermal_Exp[Worker Type],$D59,Dermal_Exp[OES],$C59))</f>
        <v>#REF!</v>
      </c>
      <c r="M59" s="207" t="e">
        <f>IF($E59="High-End",SUMIFS(#REF!,Dermal_Exp[Worker Type],$D59,Dermal_Exp[OES],$C59),SUMIFS(#REF!,Dermal_Exp[Worker Type],$D59,Dermal_Exp[OES],$C59))</f>
        <v>#REF!</v>
      </c>
      <c r="N59" s="207" t="e">
        <f>IF($E59="High-End",SUMIFS(#REF!,Dermal_Exp[Worker Type],$D59,Dermal_Exp[OES],$C59),SUMIFS(#REF!,Dermal_Exp[Worker Type],$D59,Dermal_Exp[OES],$C59))</f>
        <v>#REF!</v>
      </c>
      <c r="O59" s="226" t="e">
        <f t="shared" si="5"/>
        <v>#REF!</v>
      </c>
      <c r="P59" s="226" t="e">
        <f t="shared" si="2"/>
        <v>#REF!</v>
      </c>
      <c r="Q59" s="226" t="e">
        <f t="shared" si="3"/>
        <v>#REF!</v>
      </c>
      <c r="R59" s="226" t="e">
        <f t="shared" si="4"/>
        <v>#REF!</v>
      </c>
      <c r="AF59" s="14"/>
      <c r="AG59" s="14"/>
      <c r="AH59" s="14"/>
      <c r="AI59" s="14"/>
      <c r="AJ59" s="14"/>
      <c r="AK59" s="14"/>
      <c r="AL59" s="14"/>
    </row>
    <row r="60" spans="3:38" x14ac:dyDescent="0.35">
      <c r="C60" s="224" t="str" cm="1">
        <f t="array" ref="C60">INDEX('List Values'!$B$2:$B$21,(1+ROUNDDOWN((ROW()-ROW($C$5))*1/6,2)))</f>
        <v>Use of Adhesives and Sealants</v>
      </c>
      <c r="D60" s="224" t="s">
        <v>34</v>
      </c>
      <c r="E60" s="224" t="s">
        <v>53</v>
      </c>
      <c r="F60" s="225" t="s">
        <v>108</v>
      </c>
      <c r="G60" s="164">
        <f>IF(E60="High-End",SUMIFS(Inhalation_Exp[24hr_High-End],Inhalation_Exp[OES],$C60,Inhalation_Exp[Worker Type],$D60,Inhalation_Exp[Data Type],$F60),SUMIFS(Inhalation_Exp[24hr_Central Tendency],Inhalation_Exp[OES],$C60,Inhalation_Exp[Worker Type],$D60,Inhalation_Exp[Data Type],$F60))</f>
        <v>0</v>
      </c>
      <c r="H60" s="164">
        <f>IF(E60="High-End",SUMIFS(Inhalation_Exp[Int_High-End],Inhalation_Exp[OES],$C60,Inhalation_Exp[Worker Type],$D60,Inhalation_Exp[Data Type],$F60),SUMIFS(Inhalation_Exp[Int_Central Tendency],Inhalation_Exp[OES],$C60,Inhalation_Exp[Worker Type],$D60,Inhalation_Exp[Data Type],$F60))</f>
        <v>0</v>
      </c>
      <c r="I60" s="164">
        <f>IF(E60="High-End",SUMIFS(Inhalation_Exp[ADC_High-End],Inhalation_Exp[OES],$C60,Inhalation_Exp[Worker Type],$D60,Inhalation_Exp[Data Type],$F60),SUMIFS(Inhalation_Exp[ADC_Central Tendency],Inhalation_Exp[OES],$C60,Inhalation_Exp[Worker Type],$D60,Inhalation_Exp[Data Type],$F60))</f>
        <v>0</v>
      </c>
      <c r="J60" s="164" t="e">
        <f>IF(E60="High-End",SUMIFS(#REF!,Inhalation_Exp[OES],$C60,Inhalation_Exp[Worker Type],$D60,Inhalation_Exp[Data Type],$F60),SUMIFS(#REF!,Inhalation_Exp[OES],$C60,Inhalation_Exp[Worker Type],$D60,Inhalation_Exp[Data Type],$F60))</f>
        <v>#REF!</v>
      </c>
      <c r="K60" s="207" t="e">
        <f>IF($E60="High-End",SUMIFS(#REF!,Dermal_Exp[Worker Type],$D60,Dermal_Exp[OES],$C60),SUMIFS(#REF!,Dermal_Exp[Worker Type],$D60,Dermal_Exp[OES],$C60))</f>
        <v>#REF!</v>
      </c>
      <c r="L60" s="207" t="e">
        <f>IF($E60="High-End",SUMIFS(#REF!,Dermal_Exp[Worker Type],$D60,Dermal_Exp[OES],$C60),SUMIFS(#REF!,Dermal_Exp[Worker Type],$D60,Dermal_Exp[OES],$C60))</f>
        <v>#REF!</v>
      </c>
      <c r="M60" s="207" t="e">
        <f>IF($E60="High-End",SUMIFS(#REF!,Dermal_Exp[Worker Type],$D60,Dermal_Exp[OES],$C60),SUMIFS(#REF!,Dermal_Exp[Worker Type],$D60,Dermal_Exp[OES],$C60))</f>
        <v>#REF!</v>
      </c>
      <c r="N60" s="207" t="e">
        <f>IF($E60="High-End",SUMIFS(#REF!,Dermal_Exp[Worker Type],$D60,Dermal_Exp[OES],$C60),SUMIFS(#REF!,Dermal_Exp[Worker Type],$D60,Dermal_Exp[OES],$C60))</f>
        <v>#REF!</v>
      </c>
      <c r="O60" s="226" t="e">
        <f t="shared" si="5"/>
        <v>#REF!</v>
      </c>
      <c r="P60" s="226" t="e">
        <f t="shared" si="2"/>
        <v>#REF!</v>
      </c>
      <c r="Q60" s="226" t="e">
        <f t="shared" si="3"/>
        <v>#REF!</v>
      </c>
      <c r="R60" s="226" t="e">
        <f t="shared" si="4"/>
        <v>#REF!</v>
      </c>
      <c r="AF60" s="14"/>
      <c r="AG60" s="14"/>
      <c r="AH60" s="14"/>
      <c r="AI60" s="14"/>
      <c r="AJ60" s="14"/>
      <c r="AK60" s="14"/>
      <c r="AL60" s="14"/>
    </row>
    <row r="61" spans="3:38" x14ac:dyDescent="0.35">
      <c r="C61" s="224" t="str" cm="1">
        <f t="array" ref="C61">INDEX('List Values'!$B$2:$B$21,(1+ROUNDDOWN((ROW()-ROW($C$5))*1/6,2)))</f>
        <v>Use of Adhesives and Sealants</v>
      </c>
      <c r="D61" s="224" t="s">
        <v>109</v>
      </c>
      <c r="E61" s="224" t="s">
        <v>52</v>
      </c>
      <c r="F61" s="225" t="s">
        <v>108</v>
      </c>
      <c r="G61" s="164">
        <f>IF(E61="High-End",SUMIFS(Inhalation_Exp[24hr_High-End],Inhalation_Exp[OES],$C61,Inhalation_Exp[Worker Type],$D61,Inhalation_Exp[Data Type],$F61),SUMIFS(Inhalation_Exp[24hr_Central Tendency],Inhalation_Exp[OES],$C61,Inhalation_Exp[Worker Type],$D61,Inhalation_Exp[Data Type],$F61))</f>
        <v>0</v>
      </c>
      <c r="H61" s="164">
        <f>IF(E61="High-End",SUMIFS(Inhalation_Exp[Int_High-End],Inhalation_Exp[OES],$C61,Inhalation_Exp[Worker Type],$D61,Inhalation_Exp[Data Type],$F61),SUMIFS(Inhalation_Exp[Int_Central Tendency],Inhalation_Exp[OES],$C61,Inhalation_Exp[Worker Type],$D61,Inhalation_Exp[Data Type],$F61))</f>
        <v>0</v>
      </c>
      <c r="I61" s="164">
        <f>IF(E61="High-End",SUMIFS(Inhalation_Exp[ADC_High-End],Inhalation_Exp[OES],$C61,Inhalation_Exp[Worker Type],$D61,Inhalation_Exp[Data Type],$F61),SUMIFS(Inhalation_Exp[ADC_Central Tendency],Inhalation_Exp[OES],$C61,Inhalation_Exp[Worker Type],$D61,Inhalation_Exp[Data Type],$F61))</f>
        <v>0</v>
      </c>
      <c r="J61" s="164" t="e">
        <f>IF(E61="High-End",SUMIFS(#REF!,Inhalation_Exp[OES],$C61,Inhalation_Exp[Worker Type],$D61,Inhalation_Exp[Data Type],$F61),SUMIFS(#REF!,Inhalation_Exp[OES],$C61,Inhalation_Exp[Worker Type],$D61,Inhalation_Exp[Data Type],$F61))</f>
        <v>#REF!</v>
      </c>
      <c r="K61" s="207" t="e">
        <f>IF($E61="High-End",SUMIFS(#REF!,Dermal_Exp[Worker Type],$D61,Dermal_Exp[OES],$C61),SUMIFS(#REF!,Dermal_Exp[Worker Type],$D61,Dermal_Exp[OES],$C61))</f>
        <v>#REF!</v>
      </c>
      <c r="L61" s="207" t="e">
        <f>IF($E61="High-End",SUMIFS(#REF!,Dermal_Exp[Worker Type],$D61,Dermal_Exp[OES],$C61),SUMIFS(#REF!,Dermal_Exp[Worker Type],$D61,Dermal_Exp[OES],$C61))</f>
        <v>#REF!</v>
      </c>
      <c r="M61" s="207" t="e">
        <f>IF($E61="High-End",SUMIFS(#REF!,Dermal_Exp[Worker Type],$D61,Dermal_Exp[OES],$C61),SUMIFS(#REF!,Dermal_Exp[Worker Type],$D61,Dermal_Exp[OES],$C61))</f>
        <v>#REF!</v>
      </c>
      <c r="N61" s="207" t="e">
        <f>IF($E61="High-End",SUMIFS(#REF!,Dermal_Exp[Worker Type],$D61,Dermal_Exp[OES],$C61),SUMIFS(#REF!,Dermal_Exp[Worker Type],$D61,Dermal_Exp[OES],$C61))</f>
        <v>#REF!</v>
      </c>
      <c r="O61" s="226" t="e">
        <f t="shared" si="5"/>
        <v>#REF!</v>
      </c>
      <c r="P61" s="226" t="e">
        <f t="shared" si="2"/>
        <v>#REF!</v>
      </c>
      <c r="Q61" s="226" t="e">
        <f t="shared" si="3"/>
        <v>#REF!</v>
      </c>
      <c r="R61" s="226" t="e">
        <f t="shared" si="4"/>
        <v>#REF!</v>
      </c>
      <c r="AF61" s="14"/>
      <c r="AG61" s="14"/>
      <c r="AH61" s="14"/>
      <c r="AI61" s="14"/>
      <c r="AJ61" s="14"/>
      <c r="AK61" s="14"/>
      <c r="AL61" s="14"/>
    </row>
    <row r="62" spans="3:38" x14ac:dyDescent="0.35">
      <c r="C62" s="224" t="str" cm="1">
        <f t="array" ref="C62">INDEX('List Values'!$B$2:$B$21,(1+ROUNDDOWN((ROW()-ROW($C$5))*1/6,2)))</f>
        <v>Use of Adhesives and Sealants</v>
      </c>
      <c r="D62" s="224" t="s">
        <v>109</v>
      </c>
      <c r="E62" s="224" t="s">
        <v>53</v>
      </c>
      <c r="F62" s="225" t="s">
        <v>108</v>
      </c>
      <c r="G62" s="164">
        <f>IF(E62="High-End",SUMIFS(Inhalation_Exp[24hr_High-End],Inhalation_Exp[OES],$C62,Inhalation_Exp[Worker Type],$D62,Inhalation_Exp[Data Type],$F62),SUMIFS(Inhalation_Exp[24hr_Central Tendency],Inhalation_Exp[OES],$C62,Inhalation_Exp[Worker Type],$D62,Inhalation_Exp[Data Type],$F62))</f>
        <v>0</v>
      </c>
      <c r="H62" s="164">
        <f>IF(E62="High-End",SUMIFS(Inhalation_Exp[Int_High-End],Inhalation_Exp[OES],$C62,Inhalation_Exp[Worker Type],$D62,Inhalation_Exp[Data Type],$F62),SUMIFS(Inhalation_Exp[Int_Central Tendency],Inhalation_Exp[OES],$C62,Inhalation_Exp[Worker Type],$D62,Inhalation_Exp[Data Type],$F62))</f>
        <v>0</v>
      </c>
      <c r="I62" s="164">
        <f>IF(E62="High-End",SUMIFS(Inhalation_Exp[ADC_High-End],Inhalation_Exp[OES],$C62,Inhalation_Exp[Worker Type],$D62,Inhalation_Exp[Data Type],$F62),SUMIFS(Inhalation_Exp[ADC_Central Tendency],Inhalation_Exp[OES],$C62,Inhalation_Exp[Worker Type],$D62,Inhalation_Exp[Data Type],$F62))</f>
        <v>0</v>
      </c>
      <c r="J62" s="164" t="e">
        <f>IF(E62="High-End",SUMIFS(#REF!,Inhalation_Exp[OES],$C62,Inhalation_Exp[Worker Type],$D62,Inhalation_Exp[Data Type],$F62),SUMIFS(#REF!,Inhalation_Exp[OES],$C62,Inhalation_Exp[Worker Type],$D62,Inhalation_Exp[Data Type],$F62))</f>
        <v>#REF!</v>
      </c>
      <c r="K62" s="207" t="e">
        <f>IF($E62="High-End",SUMIFS(#REF!,Dermal_Exp[Worker Type],$D62,Dermal_Exp[OES],$C62),SUMIFS(#REF!,Dermal_Exp[Worker Type],$D62,Dermal_Exp[OES],$C62))</f>
        <v>#REF!</v>
      </c>
      <c r="L62" s="207" t="e">
        <f>IF($E62="High-End",SUMIFS(#REF!,Dermal_Exp[Worker Type],$D62,Dermal_Exp[OES],$C62),SUMIFS(#REF!,Dermal_Exp[Worker Type],$D62,Dermal_Exp[OES],$C62))</f>
        <v>#REF!</v>
      </c>
      <c r="M62" s="207" t="e">
        <f>IF($E62="High-End",SUMIFS(#REF!,Dermal_Exp[Worker Type],$D62,Dermal_Exp[OES],$C62),SUMIFS(#REF!,Dermal_Exp[Worker Type],$D62,Dermal_Exp[OES],$C62))</f>
        <v>#REF!</v>
      </c>
      <c r="N62" s="207" t="e">
        <f>IF($E62="High-End",SUMIFS(#REF!,Dermal_Exp[Worker Type],$D62,Dermal_Exp[OES],$C62),SUMIFS(#REF!,Dermal_Exp[Worker Type],$D62,Dermal_Exp[OES],$C62))</f>
        <v>#REF!</v>
      </c>
      <c r="O62" s="226" t="e">
        <f t="shared" si="5"/>
        <v>#REF!</v>
      </c>
      <c r="P62" s="226" t="e">
        <f t="shared" si="2"/>
        <v>#REF!</v>
      </c>
      <c r="Q62" s="226" t="e">
        <f t="shared" si="3"/>
        <v>#REF!</v>
      </c>
      <c r="R62" s="226" t="e">
        <f t="shared" si="4"/>
        <v>#REF!</v>
      </c>
      <c r="AF62" s="14"/>
      <c r="AG62" s="14"/>
      <c r="AH62" s="14"/>
      <c r="AI62" s="14"/>
      <c r="AJ62" s="14"/>
      <c r="AK62" s="14"/>
      <c r="AL62" s="14"/>
    </row>
    <row r="63" spans="3:38" x14ac:dyDescent="0.35">
      <c r="C63" s="224" t="str" cm="1">
        <f t="array" ref="C63">INDEX('List Values'!$B$2:$B$21,(1+ROUNDDOWN((ROW()-ROW($C$5))*1/6,2)))</f>
        <v>Use of Adhesives and Sealants</v>
      </c>
      <c r="D63" s="224" t="s">
        <v>54</v>
      </c>
      <c r="E63" s="224" t="s">
        <v>52</v>
      </c>
      <c r="F63" s="225" t="s">
        <v>108</v>
      </c>
      <c r="G63" s="164">
        <f>IF(E63="High-End",SUMIFS(Inhalation_Exp[24hr_High-End],Inhalation_Exp[OES],$C63,Inhalation_Exp[Worker Type],$D63,Inhalation_Exp[Data Type],$F63),SUMIFS(Inhalation_Exp[24hr_Central Tendency],Inhalation_Exp[OES],$C63,Inhalation_Exp[Worker Type],$D63,Inhalation_Exp[Data Type],$F63))</f>
        <v>0</v>
      </c>
      <c r="H63" s="164">
        <f>IF(E63="High-End",SUMIFS(Inhalation_Exp[Int_High-End],Inhalation_Exp[OES],$C63,Inhalation_Exp[Worker Type],$D63,Inhalation_Exp[Data Type],$F63),SUMIFS(Inhalation_Exp[Int_Central Tendency],Inhalation_Exp[OES],$C63,Inhalation_Exp[Worker Type],$D63,Inhalation_Exp[Data Type],$F63))</f>
        <v>0</v>
      </c>
      <c r="I63" s="164">
        <f>IF(E63="High-End",SUMIFS(Inhalation_Exp[ADC_High-End],Inhalation_Exp[OES],$C63,Inhalation_Exp[Worker Type],$D63,Inhalation_Exp[Data Type],$F63),SUMIFS(Inhalation_Exp[ADC_Central Tendency],Inhalation_Exp[OES],$C63,Inhalation_Exp[Worker Type],$D63,Inhalation_Exp[Data Type],$F63))</f>
        <v>0</v>
      </c>
      <c r="J63" s="164" t="e">
        <f>IF(E63="High-End",SUMIFS(#REF!,Inhalation_Exp[OES],$C63,Inhalation_Exp[Worker Type],$D63,Inhalation_Exp[Data Type],$F63),SUMIFS(#REF!,Inhalation_Exp[OES],$C63,Inhalation_Exp[Worker Type],$D63,Inhalation_Exp[Data Type],$F63))</f>
        <v>#REF!</v>
      </c>
      <c r="K63" s="207" t="e">
        <f>IF($E63="High-End",SUMIFS(#REF!,Dermal_Exp[Worker Type],$D63,Dermal_Exp[OES],$C63),SUMIFS(#REF!,Dermal_Exp[Worker Type],$D63,Dermal_Exp[OES],$C63))</f>
        <v>#REF!</v>
      </c>
      <c r="L63" s="207" t="e">
        <f>IF($E63="High-End",SUMIFS(#REF!,Dermal_Exp[Worker Type],$D63,Dermal_Exp[OES],$C63),SUMIFS(#REF!,Dermal_Exp[Worker Type],$D63,Dermal_Exp[OES],$C63))</f>
        <v>#REF!</v>
      </c>
      <c r="M63" s="207" t="e">
        <f>IF($E63="High-End",SUMIFS(#REF!,Dermal_Exp[Worker Type],$D63,Dermal_Exp[OES],$C63),SUMIFS(#REF!,Dermal_Exp[Worker Type],$D63,Dermal_Exp[OES],$C63))</f>
        <v>#REF!</v>
      </c>
      <c r="N63" s="207" t="e">
        <f>IF($E63="High-End",SUMIFS(#REF!,Dermal_Exp[Worker Type],$D63,Dermal_Exp[OES],$C63),SUMIFS(#REF!,Dermal_Exp[Worker Type],$D63,Dermal_Exp[OES],$C63))</f>
        <v>#REF!</v>
      </c>
      <c r="O63" s="226" t="e">
        <f t="shared" si="5"/>
        <v>#REF!</v>
      </c>
      <c r="P63" s="226" t="e">
        <f t="shared" si="2"/>
        <v>#REF!</v>
      </c>
      <c r="Q63" s="226" t="e">
        <f t="shared" si="3"/>
        <v>#REF!</v>
      </c>
      <c r="R63" s="226" t="e">
        <f t="shared" si="4"/>
        <v>#REF!</v>
      </c>
      <c r="AF63" s="14"/>
      <c r="AG63" s="14"/>
      <c r="AH63" s="14"/>
      <c r="AI63" s="14"/>
      <c r="AJ63" s="14"/>
      <c r="AK63" s="14"/>
      <c r="AL63" s="14"/>
    </row>
    <row r="64" spans="3:38" x14ac:dyDescent="0.35">
      <c r="C64" s="224" t="str" cm="1">
        <f t="array" ref="C64">INDEX('List Values'!$B$2:$B$21,(1+ROUNDDOWN((ROW()-ROW($C$5))*1/6,2)))</f>
        <v>Use of Adhesives and Sealants</v>
      </c>
      <c r="D64" s="224" t="s">
        <v>54</v>
      </c>
      <c r="E64" s="224" t="s">
        <v>53</v>
      </c>
      <c r="F64" s="225" t="s">
        <v>108</v>
      </c>
      <c r="G64" s="164">
        <f>IF(E64="High-End",SUMIFS(Inhalation_Exp[24hr_High-End],Inhalation_Exp[OES],$C64,Inhalation_Exp[Worker Type],$D64,Inhalation_Exp[Data Type],$F64),SUMIFS(Inhalation_Exp[24hr_Central Tendency],Inhalation_Exp[OES],$C64,Inhalation_Exp[Worker Type],$D64,Inhalation_Exp[Data Type],$F64))</f>
        <v>0</v>
      </c>
      <c r="H64" s="164">
        <f>IF(E64="High-End",SUMIFS(Inhalation_Exp[Int_High-End],Inhalation_Exp[OES],$C64,Inhalation_Exp[Worker Type],$D64,Inhalation_Exp[Data Type],$F64),SUMIFS(Inhalation_Exp[Int_Central Tendency],Inhalation_Exp[OES],$C64,Inhalation_Exp[Worker Type],$D64,Inhalation_Exp[Data Type],$F64))</f>
        <v>0</v>
      </c>
      <c r="I64" s="164">
        <f>IF(E64="High-End",SUMIFS(Inhalation_Exp[ADC_High-End],Inhalation_Exp[OES],$C64,Inhalation_Exp[Worker Type],$D64,Inhalation_Exp[Data Type],$F64),SUMIFS(Inhalation_Exp[ADC_Central Tendency],Inhalation_Exp[OES],$C64,Inhalation_Exp[Worker Type],$D64,Inhalation_Exp[Data Type],$F64))</f>
        <v>0</v>
      </c>
      <c r="J64" s="164" t="e">
        <f>IF(E64="High-End",SUMIFS(#REF!,Inhalation_Exp[OES],$C64,Inhalation_Exp[Worker Type],$D64,Inhalation_Exp[Data Type],$F64),SUMIFS(#REF!,Inhalation_Exp[OES],$C64,Inhalation_Exp[Worker Type],$D64,Inhalation_Exp[Data Type],$F64))</f>
        <v>#REF!</v>
      </c>
      <c r="K64" s="207" t="e">
        <f>IF($E64="High-End",SUMIFS(#REF!,Dermal_Exp[Worker Type],$D64,Dermal_Exp[OES],$C64),SUMIFS(#REF!,Dermal_Exp[Worker Type],$D64,Dermal_Exp[OES],$C64))</f>
        <v>#REF!</v>
      </c>
      <c r="L64" s="207" t="e">
        <f>IF($E64="High-End",SUMIFS(#REF!,Dermal_Exp[Worker Type],$D64,Dermal_Exp[OES],$C64),SUMIFS(#REF!,Dermal_Exp[Worker Type],$D64,Dermal_Exp[OES],$C64))</f>
        <v>#REF!</v>
      </c>
      <c r="M64" s="207" t="e">
        <f>IF($E64="High-End",SUMIFS(#REF!,Dermal_Exp[Worker Type],$D64,Dermal_Exp[OES],$C64),SUMIFS(#REF!,Dermal_Exp[Worker Type],$D64,Dermal_Exp[OES],$C64))</f>
        <v>#REF!</v>
      </c>
      <c r="N64" s="207" t="e">
        <f>IF($E64="High-End",SUMIFS(#REF!,Dermal_Exp[Worker Type],$D64,Dermal_Exp[OES],$C64),SUMIFS(#REF!,Dermal_Exp[Worker Type],$D64,Dermal_Exp[OES],$C64))</f>
        <v>#REF!</v>
      </c>
      <c r="O64" s="226" t="e">
        <f t="shared" si="5"/>
        <v>#REF!</v>
      </c>
      <c r="P64" s="226" t="e">
        <f t="shared" si="2"/>
        <v>#REF!</v>
      </c>
      <c r="Q64" s="226" t="e">
        <f t="shared" si="3"/>
        <v>#REF!</v>
      </c>
      <c r="R64" s="226" t="e">
        <f t="shared" si="4"/>
        <v>#REF!</v>
      </c>
      <c r="AF64" s="14"/>
      <c r="AG64" s="14"/>
      <c r="AH64" s="14"/>
      <c r="AI64" s="14"/>
      <c r="AJ64" s="14"/>
      <c r="AK64" s="14"/>
      <c r="AL64" s="14"/>
    </row>
    <row r="65" spans="3:38" x14ac:dyDescent="0.35">
      <c r="C65" s="224" t="str" cm="1">
        <f t="array" ref="C65">INDEX('List Values'!$B$2:$B$21,(1+ROUNDDOWN((ROW()-ROW($C$5))*1/6,2)))</f>
        <v>Rubber Compounding</v>
      </c>
      <c r="D65" s="224" t="s">
        <v>34</v>
      </c>
      <c r="E65" s="218" t="s">
        <v>52</v>
      </c>
      <c r="F65" s="225" t="s">
        <v>108</v>
      </c>
      <c r="G65" s="164">
        <f>IF(E65="High-End",SUMIFS(Inhalation_Exp[24hr_High-End],Inhalation_Exp[OES],$C65,Inhalation_Exp[Worker Type],$D65,Inhalation_Exp[Data Type],$F65),SUMIFS(Inhalation_Exp[24hr_Central Tendency],Inhalation_Exp[OES],$C65,Inhalation_Exp[Worker Type],$D65,Inhalation_Exp[Data Type],$F65))</f>
        <v>0</v>
      </c>
      <c r="H65" s="164">
        <f>IF(E65="High-End",SUMIFS(Inhalation_Exp[Int_High-End],Inhalation_Exp[OES],$C65,Inhalation_Exp[Worker Type],$D65,Inhalation_Exp[Data Type],$F65),SUMIFS(Inhalation_Exp[Int_Central Tendency],Inhalation_Exp[OES],$C65,Inhalation_Exp[Worker Type],$D65,Inhalation_Exp[Data Type],$F65))</f>
        <v>0</v>
      </c>
      <c r="I65" s="164">
        <f>IF(E65="High-End",SUMIFS(Inhalation_Exp[ADC_High-End],Inhalation_Exp[OES],$C65,Inhalation_Exp[Worker Type],$D65,Inhalation_Exp[Data Type],$F65),SUMIFS(Inhalation_Exp[ADC_Central Tendency],Inhalation_Exp[OES],$C65,Inhalation_Exp[Worker Type],$D65,Inhalation_Exp[Data Type],$F65))</f>
        <v>0</v>
      </c>
      <c r="J65" s="164" t="e">
        <f>IF(E65="High-End",SUMIFS(#REF!,Inhalation_Exp[OES],$C65,Inhalation_Exp[Worker Type],$D65,Inhalation_Exp[Data Type],$F65),SUMIFS(#REF!,Inhalation_Exp[OES],$C65,Inhalation_Exp[Worker Type],$D65,Inhalation_Exp[Data Type],$F65))</f>
        <v>#REF!</v>
      </c>
      <c r="K65" s="207" t="e">
        <f>IF($E65="High-End",SUMIFS(#REF!,Dermal_Exp[Worker Type],$D65,Dermal_Exp[OES],$C65),SUMIFS(#REF!,Dermal_Exp[Worker Type],$D65,Dermal_Exp[OES],$C65))</f>
        <v>#REF!</v>
      </c>
      <c r="L65" s="207" t="e">
        <f>IF($E65="High-End",SUMIFS(#REF!,Dermal_Exp[Worker Type],$D65,Dermal_Exp[OES],$C65),SUMIFS(#REF!,Dermal_Exp[Worker Type],$D65,Dermal_Exp[OES],$C65))</f>
        <v>#REF!</v>
      </c>
      <c r="M65" s="207" t="e">
        <f>IF($E65="High-End",SUMIFS(#REF!,Dermal_Exp[Worker Type],$D65,Dermal_Exp[OES],$C65),SUMIFS(#REF!,Dermal_Exp[Worker Type],$D65,Dermal_Exp[OES],$C65))</f>
        <v>#REF!</v>
      </c>
      <c r="N65" s="207" t="e">
        <f>IF($E65="High-End",SUMIFS(#REF!,Dermal_Exp[Worker Type],$D65,Dermal_Exp[OES],$C65),SUMIFS(#REF!,Dermal_Exp[Worker Type],$D65,Dermal_Exp[OES],$C65))</f>
        <v>#REF!</v>
      </c>
      <c r="O65" s="226" t="e">
        <f t="shared" si="5"/>
        <v>#REF!</v>
      </c>
      <c r="P65" s="226" t="e">
        <f t="shared" si="2"/>
        <v>#REF!</v>
      </c>
      <c r="Q65" s="226" t="e">
        <f t="shared" si="3"/>
        <v>#REF!</v>
      </c>
      <c r="R65" s="226" t="e">
        <f t="shared" si="4"/>
        <v>#REF!</v>
      </c>
      <c r="AF65" s="14"/>
      <c r="AG65" s="14"/>
      <c r="AH65" s="14"/>
      <c r="AI65" s="14"/>
      <c r="AJ65" s="14"/>
      <c r="AK65" s="14"/>
      <c r="AL65" s="14"/>
    </row>
    <row r="66" spans="3:38" x14ac:dyDescent="0.35">
      <c r="C66" s="224" t="str" cm="1">
        <f t="array" ref="C66">INDEX('List Values'!$B$2:$B$21,(1+ROUNDDOWN((ROW()-ROW($C$5))*1/6,2)))</f>
        <v>Rubber Compounding</v>
      </c>
      <c r="D66" s="224" t="s">
        <v>34</v>
      </c>
      <c r="E66" s="224" t="s">
        <v>53</v>
      </c>
      <c r="F66" s="225" t="s">
        <v>108</v>
      </c>
      <c r="G66" s="164">
        <f>IF(E66="High-End",SUMIFS(Inhalation_Exp[24hr_High-End],Inhalation_Exp[OES],$C66,Inhalation_Exp[Worker Type],$D66,Inhalation_Exp[Data Type],$F66),SUMIFS(Inhalation_Exp[24hr_Central Tendency],Inhalation_Exp[OES],$C66,Inhalation_Exp[Worker Type],$D66,Inhalation_Exp[Data Type],$F66))</f>
        <v>0</v>
      </c>
      <c r="H66" s="164">
        <f>IF(E66="High-End",SUMIFS(Inhalation_Exp[Int_High-End],Inhalation_Exp[OES],$C66,Inhalation_Exp[Worker Type],$D66,Inhalation_Exp[Data Type],$F66),SUMIFS(Inhalation_Exp[Int_Central Tendency],Inhalation_Exp[OES],$C66,Inhalation_Exp[Worker Type],$D66,Inhalation_Exp[Data Type],$F66))</f>
        <v>0</v>
      </c>
      <c r="I66" s="164">
        <f>IF(E66="High-End",SUMIFS(Inhalation_Exp[ADC_High-End],Inhalation_Exp[OES],$C66,Inhalation_Exp[Worker Type],$D66,Inhalation_Exp[Data Type],$F66),SUMIFS(Inhalation_Exp[ADC_Central Tendency],Inhalation_Exp[OES],$C66,Inhalation_Exp[Worker Type],$D66,Inhalation_Exp[Data Type],$F66))</f>
        <v>0</v>
      </c>
      <c r="J66" s="164" t="e">
        <f>IF(E66="High-End",SUMIFS(#REF!,Inhalation_Exp[OES],$C66,Inhalation_Exp[Worker Type],$D66,Inhalation_Exp[Data Type],$F66),SUMIFS(#REF!,Inhalation_Exp[OES],$C66,Inhalation_Exp[Worker Type],$D66,Inhalation_Exp[Data Type],$F66))</f>
        <v>#REF!</v>
      </c>
      <c r="K66" s="207" t="e">
        <f>IF($E66="High-End",SUMIFS(#REF!,Dermal_Exp[Worker Type],$D66,Dermal_Exp[OES],$C66),SUMIFS(#REF!,Dermal_Exp[Worker Type],$D66,Dermal_Exp[OES],$C66))</f>
        <v>#REF!</v>
      </c>
      <c r="L66" s="207" t="e">
        <f>IF($E66="High-End",SUMIFS(#REF!,Dermal_Exp[Worker Type],$D66,Dermal_Exp[OES],$C66),SUMIFS(#REF!,Dermal_Exp[Worker Type],$D66,Dermal_Exp[OES],$C66))</f>
        <v>#REF!</v>
      </c>
      <c r="M66" s="207" t="e">
        <f>IF($E66="High-End",SUMIFS(#REF!,Dermal_Exp[Worker Type],$D66,Dermal_Exp[OES],$C66),SUMIFS(#REF!,Dermal_Exp[Worker Type],$D66,Dermal_Exp[OES],$C66))</f>
        <v>#REF!</v>
      </c>
      <c r="N66" s="207" t="e">
        <f>IF($E66="High-End",SUMIFS(#REF!,Dermal_Exp[Worker Type],$D66,Dermal_Exp[OES],$C66),SUMIFS(#REF!,Dermal_Exp[Worker Type],$D66,Dermal_Exp[OES],$C66))</f>
        <v>#REF!</v>
      </c>
      <c r="O66" s="226" t="e">
        <f t="shared" si="5"/>
        <v>#REF!</v>
      </c>
      <c r="P66" s="226" t="e">
        <f t="shared" si="2"/>
        <v>#REF!</v>
      </c>
      <c r="Q66" s="226" t="e">
        <f t="shared" si="3"/>
        <v>#REF!</v>
      </c>
      <c r="R66" s="226" t="e">
        <f t="shared" si="4"/>
        <v>#REF!</v>
      </c>
      <c r="AF66" s="14"/>
      <c r="AG66" s="14"/>
      <c r="AH66" s="14"/>
      <c r="AI66" s="14"/>
      <c r="AJ66" s="14"/>
      <c r="AK66" s="14"/>
      <c r="AL66" s="14"/>
    </row>
    <row r="67" spans="3:38" x14ac:dyDescent="0.35">
      <c r="C67" s="224" t="str" cm="1">
        <f t="array" ref="C67">INDEX('List Values'!$B$2:$B$21,(1+ROUNDDOWN((ROW()-ROW($C$5))*1/6,2)))</f>
        <v>Rubber Compounding</v>
      </c>
      <c r="D67" s="224" t="s">
        <v>109</v>
      </c>
      <c r="E67" s="224" t="s">
        <v>52</v>
      </c>
      <c r="F67" s="225" t="s">
        <v>108</v>
      </c>
      <c r="G67" s="164">
        <f>IF(E67="High-End",SUMIFS(Inhalation_Exp[24hr_High-End],Inhalation_Exp[OES],$C67,Inhalation_Exp[Worker Type],$D67,Inhalation_Exp[Data Type],$F67),SUMIFS(Inhalation_Exp[24hr_Central Tendency],Inhalation_Exp[OES],$C67,Inhalation_Exp[Worker Type],$D67,Inhalation_Exp[Data Type],$F67))</f>
        <v>0</v>
      </c>
      <c r="H67" s="164">
        <f>IF(E67="High-End",SUMIFS(Inhalation_Exp[Int_High-End],Inhalation_Exp[OES],$C67,Inhalation_Exp[Worker Type],$D67,Inhalation_Exp[Data Type],$F67),SUMIFS(Inhalation_Exp[Int_Central Tendency],Inhalation_Exp[OES],$C67,Inhalation_Exp[Worker Type],$D67,Inhalation_Exp[Data Type],$F67))</f>
        <v>0</v>
      </c>
      <c r="I67" s="164">
        <f>IF(E67="High-End",SUMIFS(Inhalation_Exp[ADC_High-End],Inhalation_Exp[OES],$C67,Inhalation_Exp[Worker Type],$D67,Inhalation_Exp[Data Type],$F67),SUMIFS(Inhalation_Exp[ADC_Central Tendency],Inhalation_Exp[OES],$C67,Inhalation_Exp[Worker Type],$D67,Inhalation_Exp[Data Type],$F67))</f>
        <v>0</v>
      </c>
      <c r="J67" s="164" t="e">
        <f>IF(E67="High-End",SUMIFS(#REF!,Inhalation_Exp[OES],$C67,Inhalation_Exp[Worker Type],$D67,Inhalation_Exp[Data Type],$F67),SUMIFS(#REF!,Inhalation_Exp[OES],$C67,Inhalation_Exp[Worker Type],$D67,Inhalation_Exp[Data Type],$F67))</f>
        <v>#REF!</v>
      </c>
      <c r="K67" s="207" t="e">
        <f>IF($E67="High-End",SUMIFS(#REF!,Dermal_Exp[Worker Type],$D67,Dermal_Exp[OES],$C67),SUMIFS(#REF!,Dermal_Exp[Worker Type],$D67,Dermal_Exp[OES],$C67))</f>
        <v>#REF!</v>
      </c>
      <c r="L67" s="207" t="e">
        <f>IF($E67="High-End",SUMIFS(#REF!,Dermal_Exp[Worker Type],$D67,Dermal_Exp[OES],$C67),SUMIFS(#REF!,Dermal_Exp[Worker Type],$D67,Dermal_Exp[OES],$C67))</f>
        <v>#REF!</v>
      </c>
      <c r="M67" s="207" t="e">
        <f>IF($E67="High-End",SUMIFS(#REF!,Dermal_Exp[Worker Type],$D67,Dermal_Exp[OES],$C67),SUMIFS(#REF!,Dermal_Exp[Worker Type],$D67,Dermal_Exp[OES],$C67))</f>
        <v>#REF!</v>
      </c>
      <c r="N67" s="207" t="e">
        <f>IF($E67="High-End",SUMIFS(#REF!,Dermal_Exp[Worker Type],$D67,Dermal_Exp[OES],$C67),SUMIFS(#REF!,Dermal_Exp[Worker Type],$D67,Dermal_Exp[OES],$C67))</f>
        <v>#REF!</v>
      </c>
      <c r="O67" s="226" t="e">
        <f t="shared" si="5"/>
        <v>#REF!</v>
      </c>
      <c r="P67" s="226" t="e">
        <f t="shared" si="2"/>
        <v>#REF!</v>
      </c>
      <c r="Q67" s="226" t="e">
        <f t="shared" si="3"/>
        <v>#REF!</v>
      </c>
      <c r="R67" s="226" t="e">
        <f t="shared" si="4"/>
        <v>#REF!</v>
      </c>
      <c r="AF67" s="14"/>
      <c r="AG67" s="14"/>
      <c r="AH67" s="14"/>
      <c r="AI67" s="14"/>
      <c r="AJ67" s="14"/>
      <c r="AK67" s="14"/>
      <c r="AL67" s="14"/>
    </row>
    <row r="68" spans="3:38" x14ac:dyDescent="0.35">
      <c r="C68" s="224" t="str" cm="1">
        <f t="array" ref="C68">INDEX('List Values'!$B$2:$B$21,(1+ROUNDDOWN((ROW()-ROW($C$5))*1/6,2)))</f>
        <v>Rubber Compounding</v>
      </c>
      <c r="D68" s="224" t="s">
        <v>109</v>
      </c>
      <c r="E68" s="224" t="s">
        <v>53</v>
      </c>
      <c r="F68" s="225" t="s">
        <v>108</v>
      </c>
      <c r="G68" s="164">
        <f>IF(E68="High-End",SUMIFS(Inhalation_Exp[24hr_High-End],Inhalation_Exp[OES],$C68,Inhalation_Exp[Worker Type],$D68,Inhalation_Exp[Data Type],$F68),SUMIFS(Inhalation_Exp[24hr_Central Tendency],Inhalation_Exp[OES],$C68,Inhalation_Exp[Worker Type],$D68,Inhalation_Exp[Data Type],$F68))</f>
        <v>0</v>
      </c>
      <c r="H68" s="164">
        <f>IF(E68="High-End",SUMIFS(Inhalation_Exp[Int_High-End],Inhalation_Exp[OES],$C68,Inhalation_Exp[Worker Type],$D68,Inhalation_Exp[Data Type],$F68),SUMIFS(Inhalation_Exp[Int_Central Tendency],Inhalation_Exp[OES],$C68,Inhalation_Exp[Worker Type],$D68,Inhalation_Exp[Data Type],$F68))</f>
        <v>0</v>
      </c>
      <c r="I68" s="164">
        <f>IF(E68="High-End",SUMIFS(Inhalation_Exp[ADC_High-End],Inhalation_Exp[OES],$C68,Inhalation_Exp[Worker Type],$D68,Inhalation_Exp[Data Type],$F68),SUMIFS(Inhalation_Exp[ADC_Central Tendency],Inhalation_Exp[OES],$C68,Inhalation_Exp[Worker Type],$D68,Inhalation_Exp[Data Type],$F68))</f>
        <v>0</v>
      </c>
      <c r="J68" s="164" t="e">
        <f>IF(E68="High-End",SUMIFS(#REF!,Inhalation_Exp[OES],$C68,Inhalation_Exp[Worker Type],$D68,Inhalation_Exp[Data Type],$F68),SUMIFS(#REF!,Inhalation_Exp[OES],$C68,Inhalation_Exp[Worker Type],$D68,Inhalation_Exp[Data Type],$F68))</f>
        <v>#REF!</v>
      </c>
      <c r="K68" s="207" t="e">
        <f>IF($E68="High-End",SUMIFS(#REF!,Dermal_Exp[Worker Type],$D68,Dermal_Exp[OES],$C68),SUMIFS(#REF!,Dermal_Exp[Worker Type],$D68,Dermal_Exp[OES],$C68))</f>
        <v>#REF!</v>
      </c>
      <c r="L68" s="207" t="e">
        <f>IF($E68="High-End",SUMIFS(#REF!,Dermal_Exp[Worker Type],$D68,Dermal_Exp[OES],$C68),SUMIFS(#REF!,Dermal_Exp[Worker Type],$D68,Dermal_Exp[OES],$C68))</f>
        <v>#REF!</v>
      </c>
      <c r="M68" s="207" t="e">
        <f>IF($E68="High-End",SUMIFS(#REF!,Dermal_Exp[Worker Type],$D68,Dermal_Exp[OES],$C68),SUMIFS(#REF!,Dermal_Exp[Worker Type],$D68,Dermal_Exp[OES],$C68))</f>
        <v>#REF!</v>
      </c>
      <c r="N68" s="207" t="e">
        <f>IF($E68="High-End",SUMIFS(#REF!,Dermal_Exp[Worker Type],$D68,Dermal_Exp[OES],$C68),SUMIFS(#REF!,Dermal_Exp[Worker Type],$D68,Dermal_Exp[OES],$C68))</f>
        <v>#REF!</v>
      </c>
      <c r="O68" s="226" t="e">
        <f t="shared" si="5"/>
        <v>#REF!</v>
      </c>
      <c r="P68" s="226" t="e">
        <f t="shared" si="2"/>
        <v>#REF!</v>
      </c>
      <c r="Q68" s="226" t="e">
        <f t="shared" si="3"/>
        <v>#REF!</v>
      </c>
      <c r="R68" s="226" t="e">
        <f t="shared" si="4"/>
        <v>#REF!</v>
      </c>
      <c r="AF68" s="14"/>
      <c r="AG68" s="14"/>
      <c r="AH68" s="14"/>
      <c r="AI68" s="14"/>
      <c r="AJ68" s="14"/>
      <c r="AK68" s="14"/>
      <c r="AL68" s="14"/>
    </row>
    <row r="69" spans="3:38" x14ac:dyDescent="0.35">
      <c r="C69" s="224" t="str" cm="1">
        <f t="array" ref="C69">INDEX('List Values'!$B$2:$B$21,(1+ROUNDDOWN((ROW()-ROW($C$5))*1/6,2)))</f>
        <v>Rubber Compounding</v>
      </c>
      <c r="D69" s="224" t="s">
        <v>54</v>
      </c>
      <c r="E69" s="224" t="s">
        <v>52</v>
      </c>
      <c r="F69" s="225" t="s">
        <v>108</v>
      </c>
      <c r="G69" s="164">
        <f>IF(E69="High-End",SUMIFS(Inhalation_Exp[24hr_High-End],Inhalation_Exp[OES],$C69,Inhalation_Exp[Worker Type],$D69,Inhalation_Exp[Data Type],$F69),SUMIFS(Inhalation_Exp[24hr_Central Tendency],Inhalation_Exp[OES],$C69,Inhalation_Exp[Worker Type],$D69,Inhalation_Exp[Data Type],$F69))</f>
        <v>0</v>
      </c>
      <c r="H69" s="164">
        <f>IF(E69="High-End",SUMIFS(Inhalation_Exp[Int_High-End],Inhalation_Exp[OES],$C69,Inhalation_Exp[Worker Type],$D69,Inhalation_Exp[Data Type],$F69),SUMIFS(Inhalation_Exp[Int_Central Tendency],Inhalation_Exp[OES],$C69,Inhalation_Exp[Worker Type],$D69,Inhalation_Exp[Data Type],$F69))</f>
        <v>0</v>
      </c>
      <c r="I69" s="164">
        <f>IF(E69="High-End",SUMIFS(Inhalation_Exp[ADC_High-End],Inhalation_Exp[OES],$C69,Inhalation_Exp[Worker Type],$D69,Inhalation_Exp[Data Type],$F69),SUMIFS(Inhalation_Exp[ADC_Central Tendency],Inhalation_Exp[OES],$C69,Inhalation_Exp[Worker Type],$D69,Inhalation_Exp[Data Type],$F69))</f>
        <v>0</v>
      </c>
      <c r="J69" s="164" t="e">
        <f>IF(E69="High-End",SUMIFS(#REF!,Inhalation_Exp[OES],$C69,Inhalation_Exp[Worker Type],$D69,Inhalation_Exp[Data Type],$F69),SUMIFS(#REF!,Inhalation_Exp[OES],$C69,Inhalation_Exp[Worker Type],$D69,Inhalation_Exp[Data Type],$F69))</f>
        <v>#REF!</v>
      </c>
      <c r="K69" s="207" t="e">
        <f>IF($E69="High-End",SUMIFS(#REF!,Dermal_Exp[Worker Type],$D69,Dermal_Exp[OES],$C69),SUMIFS(#REF!,Dermal_Exp[Worker Type],$D69,Dermal_Exp[OES],$C69))</f>
        <v>#REF!</v>
      </c>
      <c r="L69" s="207" t="e">
        <f>IF($E69="High-End",SUMIFS(#REF!,Dermal_Exp[Worker Type],$D69,Dermal_Exp[OES],$C69),SUMIFS(#REF!,Dermal_Exp[Worker Type],$D69,Dermal_Exp[OES],$C69))</f>
        <v>#REF!</v>
      </c>
      <c r="M69" s="207" t="e">
        <f>IF($E69="High-End",SUMIFS(#REF!,Dermal_Exp[Worker Type],$D69,Dermal_Exp[OES],$C69),SUMIFS(#REF!,Dermal_Exp[Worker Type],$D69,Dermal_Exp[OES],$C69))</f>
        <v>#REF!</v>
      </c>
      <c r="N69" s="207" t="e">
        <f>IF($E69="High-End",SUMIFS(#REF!,Dermal_Exp[Worker Type],$D69,Dermal_Exp[OES],$C69),SUMIFS(#REF!,Dermal_Exp[Worker Type],$D69,Dermal_Exp[OES],$C69))</f>
        <v>#REF!</v>
      </c>
      <c r="O69" s="226" t="e">
        <f t="shared" si="5"/>
        <v>#REF!</v>
      </c>
      <c r="P69" s="226" t="e">
        <f t="shared" si="2"/>
        <v>#REF!</v>
      </c>
      <c r="Q69" s="226" t="e">
        <f t="shared" si="3"/>
        <v>#REF!</v>
      </c>
      <c r="R69" s="226" t="e">
        <f t="shared" si="4"/>
        <v>#REF!</v>
      </c>
      <c r="AF69" s="14"/>
      <c r="AG69" s="14"/>
      <c r="AH69" s="14"/>
      <c r="AI69" s="14"/>
      <c r="AJ69" s="14"/>
      <c r="AK69" s="14"/>
      <c r="AL69" s="14"/>
    </row>
    <row r="70" spans="3:38" x14ac:dyDescent="0.35">
      <c r="C70" s="224" t="str" cm="1">
        <f t="array" ref="C70">INDEX('List Values'!$B$2:$B$21,(1+ROUNDDOWN((ROW()-ROW($C$5))*1/6,2)))</f>
        <v>Rubber Compounding</v>
      </c>
      <c r="D70" s="224" t="s">
        <v>54</v>
      </c>
      <c r="E70" s="224" t="s">
        <v>53</v>
      </c>
      <c r="F70" s="225" t="s">
        <v>108</v>
      </c>
      <c r="G70" s="164">
        <f>IF(E70="High-End",SUMIFS(Inhalation_Exp[24hr_High-End],Inhalation_Exp[OES],$C70,Inhalation_Exp[Worker Type],$D70,Inhalation_Exp[Data Type],$F70),SUMIFS(Inhalation_Exp[24hr_Central Tendency],Inhalation_Exp[OES],$C70,Inhalation_Exp[Worker Type],$D70,Inhalation_Exp[Data Type],$F70))</f>
        <v>0</v>
      </c>
      <c r="H70" s="164">
        <f>IF(E70="High-End",SUMIFS(Inhalation_Exp[Int_High-End],Inhalation_Exp[OES],$C70,Inhalation_Exp[Worker Type],$D70,Inhalation_Exp[Data Type],$F70),SUMIFS(Inhalation_Exp[Int_Central Tendency],Inhalation_Exp[OES],$C70,Inhalation_Exp[Worker Type],$D70,Inhalation_Exp[Data Type],$F70))</f>
        <v>0</v>
      </c>
      <c r="I70" s="164">
        <f>IF(E70="High-End",SUMIFS(Inhalation_Exp[ADC_High-End],Inhalation_Exp[OES],$C70,Inhalation_Exp[Worker Type],$D70,Inhalation_Exp[Data Type],$F70),SUMIFS(Inhalation_Exp[ADC_Central Tendency],Inhalation_Exp[OES],$C70,Inhalation_Exp[Worker Type],$D70,Inhalation_Exp[Data Type],$F70))</f>
        <v>0</v>
      </c>
      <c r="J70" s="164" t="e">
        <f>IF(E70="High-End",SUMIFS(#REF!,Inhalation_Exp[OES],$C70,Inhalation_Exp[Worker Type],$D70,Inhalation_Exp[Data Type],$F70),SUMIFS(#REF!,Inhalation_Exp[OES],$C70,Inhalation_Exp[Worker Type],$D70,Inhalation_Exp[Data Type],$F70))</f>
        <v>#REF!</v>
      </c>
      <c r="K70" s="207" t="e">
        <f>IF($E70="High-End",SUMIFS(#REF!,Dermal_Exp[Worker Type],$D70,Dermal_Exp[OES],$C70),SUMIFS(#REF!,Dermal_Exp[Worker Type],$D70,Dermal_Exp[OES],$C70))</f>
        <v>#REF!</v>
      </c>
      <c r="L70" s="207" t="e">
        <f>IF($E70="High-End",SUMIFS(#REF!,Dermal_Exp[Worker Type],$D70,Dermal_Exp[OES],$C70),SUMIFS(#REF!,Dermal_Exp[Worker Type],$D70,Dermal_Exp[OES],$C70))</f>
        <v>#REF!</v>
      </c>
      <c r="M70" s="207" t="e">
        <f>IF($E70="High-End",SUMIFS(#REF!,Dermal_Exp[Worker Type],$D70,Dermal_Exp[OES],$C70),SUMIFS(#REF!,Dermal_Exp[Worker Type],$D70,Dermal_Exp[OES],$C70))</f>
        <v>#REF!</v>
      </c>
      <c r="N70" s="207" t="e">
        <f>IF($E70="High-End",SUMIFS(#REF!,Dermal_Exp[Worker Type],$D70,Dermal_Exp[OES],$C70),SUMIFS(#REF!,Dermal_Exp[Worker Type],$D70,Dermal_Exp[OES],$C70))</f>
        <v>#REF!</v>
      </c>
      <c r="O70" s="226" t="e">
        <f t="shared" si="5"/>
        <v>#REF!</v>
      </c>
      <c r="P70" s="226" t="e">
        <f t="shared" si="2"/>
        <v>#REF!</v>
      </c>
      <c r="Q70" s="226" t="e">
        <f t="shared" si="3"/>
        <v>#REF!</v>
      </c>
      <c r="R70" s="226" t="e">
        <f t="shared" si="4"/>
        <v>#REF!</v>
      </c>
      <c r="AF70" s="14"/>
      <c r="AG70" s="14"/>
      <c r="AH70" s="14"/>
      <c r="AI70" s="14"/>
      <c r="AJ70" s="14"/>
      <c r="AK70" s="14"/>
      <c r="AL70" s="14"/>
    </row>
    <row r="71" spans="3:38" x14ac:dyDescent="0.35">
      <c r="C71" s="224" t="str" cm="1">
        <f t="array" ref="C71">INDEX('List Values'!$B$2:$B$21,(1+ROUNDDOWN((ROW()-ROW($C$5))*1/6,2)))</f>
        <v>Rubber Converting</v>
      </c>
      <c r="D71" s="224" t="s">
        <v>34</v>
      </c>
      <c r="E71" s="218" t="s">
        <v>52</v>
      </c>
      <c r="F71" s="225" t="s">
        <v>108</v>
      </c>
      <c r="G71" s="164">
        <f>IF(E71="High-End",SUMIFS(Inhalation_Exp[24hr_High-End],Inhalation_Exp[OES],$C71,Inhalation_Exp[Worker Type],$D71,Inhalation_Exp[Data Type],$F71),SUMIFS(Inhalation_Exp[24hr_Central Tendency],Inhalation_Exp[OES],$C71,Inhalation_Exp[Worker Type],$D71,Inhalation_Exp[Data Type],$F71))</f>
        <v>0</v>
      </c>
      <c r="H71" s="164">
        <f>IF(E71="High-End",SUMIFS(Inhalation_Exp[Int_High-End],Inhalation_Exp[OES],$C71,Inhalation_Exp[Worker Type],$D71,Inhalation_Exp[Data Type],$F71),SUMIFS(Inhalation_Exp[Int_Central Tendency],Inhalation_Exp[OES],$C71,Inhalation_Exp[Worker Type],$D71,Inhalation_Exp[Data Type],$F71))</f>
        <v>0</v>
      </c>
      <c r="I71" s="164">
        <f>IF(E71="High-End",SUMIFS(Inhalation_Exp[ADC_High-End],Inhalation_Exp[OES],$C71,Inhalation_Exp[Worker Type],$D71,Inhalation_Exp[Data Type],$F71),SUMIFS(Inhalation_Exp[ADC_Central Tendency],Inhalation_Exp[OES],$C71,Inhalation_Exp[Worker Type],$D71,Inhalation_Exp[Data Type],$F71))</f>
        <v>0</v>
      </c>
      <c r="J71" s="164" t="e">
        <f>IF(E71="High-End",SUMIFS(#REF!,Inhalation_Exp[OES],$C71,Inhalation_Exp[Worker Type],$D71,Inhalation_Exp[Data Type],$F71),SUMIFS(#REF!,Inhalation_Exp[OES],$C71,Inhalation_Exp[Worker Type],$D71,Inhalation_Exp[Data Type],$F71))</f>
        <v>#REF!</v>
      </c>
      <c r="K71" s="207" t="e">
        <f>IF($E71="High-End",SUMIFS(#REF!,Dermal_Exp[Worker Type],$D71,Dermal_Exp[OES],$C71),SUMIFS(#REF!,Dermal_Exp[Worker Type],$D71,Dermal_Exp[OES],$C71))</f>
        <v>#REF!</v>
      </c>
      <c r="L71" s="207" t="e">
        <f>IF($E71="High-End",SUMIFS(#REF!,Dermal_Exp[Worker Type],$D71,Dermal_Exp[OES],$C71),SUMIFS(#REF!,Dermal_Exp[Worker Type],$D71,Dermal_Exp[OES],$C71))</f>
        <v>#REF!</v>
      </c>
      <c r="M71" s="207" t="e">
        <f>IF($E71="High-End",SUMIFS(#REF!,Dermal_Exp[Worker Type],$D71,Dermal_Exp[OES],$C71),SUMIFS(#REF!,Dermal_Exp[Worker Type],$D71,Dermal_Exp[OES],$C71))</f>
        <v>#REF!</v>
      </c>
      <c r="N71" s="207" t="e">
        <f>IF($E71="High-End",SUMIFS(#REF!,Dermal_Exp[Worker Type],$D71,Dermal_Exp[OES],$C71),SUMIFS(#REF!,Dermal_Exp[Worker Type],$D71,Dermal_Exp[OES],$C71))</f>
        <v>#REF!</v>
      </c>
      <c r="O71" s="226" t="e">
        <f t="shared" si="5"/>
        <v>#REF!</v>
      </c>
      <c r="P71" s="226" t="e">
        <f t="shared" si="2"/>
        <v>#REF!</v>
      </c>
      <c r="Q71" s="226" t="e">
        <f t="shared" si="3"/>
        <v>#REF!</v>
      </c>
      <c r="R71" s="226" t="e">
        <f t="shared" si="4"/>
        <v>#REF!</v>
      </c>
      <c r="AF71" s="14"/>
      <c r="AG71" s="14"/>
      <c r="AH71" s="14"/>
      <c r="AI71" s="14"/>
      <c r="AJ71" s="14"/>
      <c r="AK71" s="14"/>
      <c r="AL71" s="14"/>
    </row>
    <row r="72" spans="3:38" x14ac:dyDescent="0.35">
      <c r="C72" s="224" t="str" cm="1">
        <f t="array" ref="C72">INDEX('List Values'!$B$2:$B$21,(1+ROUNDDOWN((ROW()-ROW($C$5))*1/6,2)))</f>
        <v>Rubber Converting</v>
      </c>
      <c r="D72" s="224" t="s">
        <v>34</v>
      </c>
      <c r="E72" s="224" t="s">
        <v>53</v>
      </c>
      <c r="F72" s="225" t="s">
        <v>108</v>
      </c>
      <c r="G72" s="164">
        <f>IF(E72="High-End",SUMIFS(Inhalation_Exp[24hr_High-End],Inhalation_Exp[OES],$C72,Inhalation_Exp[Worker Type],$D72,Inhalation_Exp[Data Type],$F72),SUMIFS(Inhalation_Exp[24hr_Central Tendency],Inhalation_Exp[OES],$C72,Inhalation_Exp[Worker Type],$D72,Inhalation_Exp[Data Type],$F72))</f>
        <v>0</v>
      </c>
      <c r="H72" s="164">
        <f>IF(E72="High-End",SUMIFS(Inhalation_Exp[Int_High-End],Inhalation_Exp[OES],$C72,Inhalation_Exp[Worker Type],$D72,Inhalation_Exp[Data Type],$F72),SUMIFS(Inhalation_Exp[Int_Central Tendency],Inhalation_Exp[OES],$C72,Inhalation_Exp[Worker Type],$D72,Inhalation_Exp[Data Type],$F72))</f>
        <v>0</v>
      </c>
      <c r="I72" s="164">
        <f>IF(E72="High-End",SUMIFS(Inhalation_Exp[ADC_High-End],Inhalation_Exp[OES],$C72,Inhalation_Exp[Worker Type],$D72,Inhalation_Exp[Data Type],$F72),SUMIFS(Inhalation_Exp[ADC_Central Tendency],Inhalation_Exp[OES],$C72,Inhalation_Exp[Worker Type],$D72,Inhalation_Exp[Data Type],$F72))</f>
        <v>0</v>
      </c>
      <c r="J72" s="164" t="e">
        <f>IF(E72="High-End",SUMIFS(#REF!,Inhalation_Exp[OES],$C72,Inhalation_Exp[Worker Type],$D72,Inhalation_Exp[Data Type],$F72),SUMIFS(#REF!,Inhalation_Exp[OES],$C72,Inhalation_Exp[Worker Type],$D72,Inhalation_Exp[Data Type],$F72))</f>
        <v>#REF!</v>
      </c>
      <c r="K72" s="207" t="e">
        <f>IF($E72="High-End",SUMIFS(#REF!,Dermal_Exp[Worker Type],$D72,Dermal_Exp[OES],$C72),SUMIFS(#REF!,Dermal_Exp[Worker Type],$D72,Dermal_Exp[OES],$C72))</f>
        <v>#REF!</v>
      </c>
      <c r="L72" s="207" t="e">
        <f>IF($E72="High-End",SUMIFS(#REF!,Dermal_Exp[Worker Type],$D72,Dermal_Exp[OES],$C72),SUMIFS(#REF!,Dermal_Exp[Worker Type],$D72,Dermal_Exp[OES],$C72))</f>
        <v>#REF!</v>
      </c>
      <c r="M72" s="207" t="e">
        <f>IF($E72="High-End",SUMIFS(#REF!,Dermal_Exp[Worker Type],$D72,Dermal_Exp[OES],$C72),SUMIFS(#REF!,Dermal_Exp[Worker Type],$D72,Dermal_Exp[OES],$C72))</f>
        <v>#REF!</v>
      </c>
      <c r="N72" s="207" t="e">
        <f>IF($E72="High-End",SUMIFS(#REF!,Dermal_Exp[Worker Type],$D72,Dermal_Exp[OES],$C72),SUMIFS(#REF!,Dermal_Exp[Worker Type],$D72,Dermal_Exp[OES],$C72))</f>
        <v>#REF!</v>
      </c>
      <c r="O72" s="226" t="e">
        <f t="shared" si="5"/>
        <v>#REF!</v>
      </c>
      <c r="P72" s="226" t="e">
        <f t="shared" si="2"/>
        <v>#REF!</v>
      </c>
      <c r="Q72" s="226" t="e">
        <f t="shared" si="3"/>
        <v>#REF!</v>
      </c>
      <c r="R72" s="226" t="e">
        <f t="shared" si="4"/>
        <v>#REF!</v>
      </c>
      <c r="AF72" s="14"/>
      <c r="AG72" s="14"/>
      <c r="AH72" s="14"/>
      <c r="AI72" s="14"/>
      <c r="AJ72" s="14"/>
      <c r="AK72" s="14"/>
      <c r="AL72" s="14"/>
    </row>
    <row r="73" spans="3:38" x14ac:dyDescent="0.35">
      <c r="C73" s="224" t="str" cm="1">
        <f t="array" ref="C73">INDEX('List Values'!$B$2:$B$21,(1+ROUNDDOWN((ROW()-ROW($C$5))*1/6,2)))</f>
        <v>Rubber Converting</v>
      </c>
      <c r="D73" s="224" t="s">
        <v>109</v>
      </c>
      <c r="E73" s="224" t="s">
        <v>52</v>
      </c>
      <c r="F73" s="225" t="s">
        <v>108</v>
      </c>
      <c r="G73" s="164">
        <f>IF(E73="High-End",SUMIFS(Inhalation_Exp[24hr_High-End],Inhalation_Exp[OES],$C73,Inhalation_Exp[Worker Type],$D73,Inhalation_Exp[Data Type],$F73),SUMIFS(Inhalation_Exp[24hr_Central Tendency],Inhalation_Exp[OES],$C73,Inhalation_Exp[Worker Type],$D73,Inhalation_Exp[Data Type],$F73))</f>
        <v>0</v>
      </c>
      <c r="H73" s="164">
        <f>IF(E73="High-End",SUMIFS(Inhalation_Exp[Int_High-End],Inhalation_Exp[OES],$C73,Inhalation_Exp[Worker Type],$D73,Inhalation_Exp[Data Type],$F73),SUMIFS(Inhalation_Exp[Int_Central Tendency],Inhalation_Exp[OES],$C73,Inhalation_Exp[Worker Type],$D73,Inhalation_Exp[Data Type],$F73))</f>
        <v>0</v>
      </c>
      <c r="I73" s="164">
        <f>IF(E73="High-End",SUMIFS(Inhalation_Exp[ADC_High-End],Inhalation_Exp[OES],$C73,Inhalation_Exp[Worker Type],$D73,Inhalation_Exp[Data Type],$F73),SUMIFS(Inhalation_Exp[ADC_Central Tendency],Inhalation_Exp[OES],$C73,Inhalation_Exp[Worker Type],$D73,Inhalation_Exp[Data Type],$F73))</f>
        <v>0</v>
      </c>
      <c r="J73" s="164" t="e">
        <f>IF(E73="High-End",SUMIFS(#REF!,Inhalation_Exp[OES],$C73,Inhalation_Exp[Worker Type],$D73,Inhalation_Exp[Data Type],$F73),SUMIFS(#REF!,Inhalation_Exp[OES],$C73,Inhalation_Exp[Worker Type],$D73,Inhalation_Exp[Data Type],$F73))</f>
        <v>#REF!</v>
      </c>
      <c r="K73" s="207" t="e">
        <f>IF($E73="High-End",SUMIFS(#REF!,Dermal_Exp[Worker Type],$D73,Dermal_Exp[OES],$C73),SUMIFS(#REF!,Dermal_Exp[Worker Type],$D73,Dermal_Exp[OES],$C73))</f>
        <v>#REF!</v>
      </c>
      <c r="L73" s="207" t="e">
        <f>IF($E73="High-End",SUMIFS(#REF!,Dermal_Exp[Worker Type],$D73,Dermal_Exp[OES],$C73),SUMIFS(#REF!,Dermal_Exp[Worker Type],$D73,Dermal_Exp[OES],$C73))</f>
        <v>#REF!</v>
      </c>
      <c r="M73" s="207" t="e">
        <f>IF($E73="High-End",SUMIFS(#REF!,Dermal_Exp[Worker Type],$D73,Dermal_Exp[OES],$C73),SUMIFS(#REF!,Dermal_Exp[Worker Type],$D73,Dermal_Exp[OES],$C73))</f>
        <v>#REF!</v>
      </c>
      <c r="N73" s="207" t="e">
        <f>IF($E73="High-End",SUMIFS(#REF!,Dermal_Exp[Worker Type],$D73,Dermal_Exp[OES],$C73),SUMIFS(#REF!,Dermal_Exp[Worker Type],$D73,Dermal_Exp[OES],$C73))</f>
        <v>#REF!</v>
      </c>
      <c r="O73" s="226" t="e">
        <f t="shared" si="5"/>
        <v>#REF!</v>
      </c>
      <c r="P73" s="226" t="e">
        <f t="shared" si="2"/>
        <v>#REF!</v>
      </c>
      <c r="Q73" s="226" t="e">
        <f t="shared" si="3"/>
        <v>#REF!</v>
      </c>
      <c r="R73" s="226" t="e">
        <f t="shared" si="4"/>
        <v>#REF!</v>
      </c>
      <c r="AF73" s="14"/>
      <c r="AG73" s="14"/>
      <c r="AH73" s="14"/>
      <c r="AI73" s="14"/>
      <c r="AJ73" s="14"/>
      <c r="AK73" s="14"/>
      <c r="AL73" s="14"/>
    </row>
    <row r="74" spans="3:38" x14ac:dyDescent="0.35">
      <c r="C74" s="224" t="str" cm="1">
        <f t="array" ref="C74">INDEX('List Values'!$B$2:$B$21,(1+ROUNDDOWN((ROW()-ROW($C$5))*1/6,2)))</f>
        <v>Rubber Converting</v>
      </c>
      <c r="D74" s="224" t="s">
        <v>109</v>
      </c>
      <c r="E74" s="224" t="s">
        <v>53</v>
      </c>
      <c r="F74" s="225" t="s">
        <v>108</v>
      </c>
      <c r="G74" s="164">
        <f>IF(E74="High-End",SUMIFS(Inhalation_Exp[24hr_High-End],Inhalation_Exp[OES],$C74,Inhalation_Exp[Worker Type],$D74,Inhalation_Exp[Data Type],$F74),SUMIFS(Inhalation_Exp[24hr_Central Tendency],Inhalation_Exp[OES],$C74,Inhalation_Exp[Worker Type],$D74,Inhalation_Exp[Data Type],$F74))</f>
        <v>0</v>
      </c>
      <c r="H74" s="164">
        <f>IF(E74="High-End",SUMIFS(Inhalation_Exp[Int_High-End],Inhalation_Exp[OES],$C74,Inhalation_Exp[Worker Type],$D74,Inhalation_Exp[Data Type],$F74),SUMIFS(Inhalation_Exp[Int_Central Tendency],Inhalation_Exp[OES],$C74,Inhalation_Exp[Worker Type],$D74,Inhalation_Exp[Data Type],$F74))</f>
        <v>0</v>
      </c>
      <c r="I74" s="164">
        <f>IF(E74="High-End",SUMIFS(Inhalation_Exp[ADC_High-End],Inhalation_Exp[OES],$C74,Inhalation_Exp[Worker Type],$D74,Inhalation_Exp[Data Type],$F74),SUMIFS(Inhalation_Exp[ADC_Central Tendency],Inhalation_Exp[OES],$C74,Inhalation_Exp[Worker Type],$D74,Inhalation_Exp[Data Type],$F74))</f>
        <v>0</v>
      </c>
      <c r="J74" s="164" t="e">
        <f>IF(E74="High-End",SUMIFS(#REF!,Inhalation_Exp[OES],$C74,Inhalation_Exp[Worker Type],$D74,Inhalation_Exp[Data Type],$F74),SUMIFS(#REF!,Inhalation_Exp[OES],$C74,Inhalation_Exp[Worker Type],$D74,Inhalation_Exp[Data Type],$F74))</f>
        <v>#REF!</v>
      </c>
      <c r="K74" s="207" t="e">
        <f>IF($E74="High-End",SUMIFS(#REF!,Dermal_Exp[Worker Type],$D74,Dermal_Exp[OES],$C74),SUMIFS(#REF!,Dermal_Exp[Worker Type],$D74,Dermal_Exp[OES],$C74))</f>
        <v>#REF!</v>
      </c>
      <c r="L74" s="207" t="e">
        <f>IF($E74="High-End",SUMIFS(#REF!,Dermal_Exp[Worker Type],$D74,Dermal_Exp[OES],$C74),SUMIFS(#REF!,Dermal_Exp[Worker Type],$D74,Dermal_Exp[OES],$C74))</f>
        <v>#REF!</v>
      </c>
      <c r="M74" s="207" t="e">
        <f>IF($E74="High-End",SUMIFS(#REF!,Dermal_Exp[Worker Type],$D74,Dermal_Exp[OES],$C74),SUMIFS(#REF!,Dermal_Exp[Worker Type],$D74,Dermal_Exp[OES],$C74))</f>
        <v>#REF!</v>
      </c>
      <c r="N74" s="207" t="e">
        <f>IF($E74="High-End",SUMIFS(#REF!,Dermal_Exp[Worker Type],$D74,Dermal_Exp[OES],$C74),SUMIFS(#REF!,Dermal_Exp[Worker Type],$D74,Dermal_Exp[OES],$C74))</f>
        <v>#REF!</v>
      </c>
      <c r="O74" s="226" t="e">
        <f t="shared" si="5"/>
        <v>#REF!</v>
      </c>
      <c r="P74" s="226" t="e">
        <f t="shared" si="2"/>
        <v>#REF!</v>
      </c>
      <c r="Q74" s="226" t="e">
        <f t="shared" si="3"/>
        <v>#REF!</v>
      </c>
      <c r="R74" s="226" t="e">
        <f t="shared" si="4"/>
        <v>#REF!</v>
      </c>
      <c r="AF74" s="14"/>
      <c r="AG74" s="14"/>
      <c r="AH74" s="14"/>
      <c r="AI74" s="14"/>
      <c r="AJ74" s="14"/>
      <c r="AK74" s="14"/>
      <c r="AL74" s="14"/>
    </row>
    <row r="75" spans="3:38" x14ac:dyDescent="0.35">
      <c r="C75" s="224" t="str" cm="1">
        <f t="array" ref="C75">INDEX('List Values'!$B$2:$B$21,(1+ROUNDDOWN((ROW()-ROW($C$5))*1/6,2)))</f>
        <v>Rubber Converting</v>
      </c>
      <c r="D75" s="224" t="s">
        <v>54</v>
      </c>
      <c r="E75" s="224" t="s">
        <v>52</v>
      </c>
      <c r="F75" s="225" t="s">
        <v>108</v>
      </c>
      <c r="G75" s="164">
        <f>IF(E75="High-End",SUMIFS(Inhalation_Exp[24hr_High-End],Inhalation_Exp[OES],$C75,Inhalation_Exp[Worker Type],$D75,Inhalation_Exp[Data Type],$F75),SUMIFS(Inhalation_Exp[24hr_Central Tendency],Inhalation_Exp[OES],$C75,Inhalation_Exp[Worker Type],$D75,Inhalation_Exp[Data Type],$F75))</f>
        <v>0</v>
      </c>
      <c r="H75" s="164">
        <f>IF(E75="High-End",SUMIFS(Inhalation_Exp[Int_High-End],Inhalation_Exp[OES],$C75,Inhalation_Exp[Worker Type],$D75,Inhalation_Exp[Data Type],$F75),SUMIFS(Inhalation_Exp[Int_Central Tendency],Inhalation_Exp[OES],$C75,Inhalation_Exp[Worker Type],$D75,Inhalation_Exp[Data Type],$F75))</f>
        <v>0</v>
      </c>
      <c r="I75" s="164">
        <f>IF(E75="High-End",SUMIFS(Inhalation_Exp[ADC_High-End],Inhalation_Exp[OES],$C75,Inhalation_Exp[Worker Type],$D75,Inhalation_Exp[Data Type],$F75),SUMIFS(Inhalation_Exp[ADC_Central Tendency],Inhalation_Exp[OES],$C75,Inhalation_Exp[Worker Type],$D75,Inhalation_Exp[Data Type],$F75))</f>
        <v>0</v>
      </c>
      <c r="J75" s="164" t="e">
        <f>IF(E75="High-End",SUMIFS(#REF!,Inhalation_Exp[OES],$C75,Inhalation_Exp[Worker Type],$D75,Inhalation_Exp[Data Type],$F75),SUMIFS(#REF!,Inhalation_Exp[OES],$C75,Inhalation_Exp[Worker Type],$D75,Inhalation_Exp[Data Type],$F75))</f>
        <v>#REF!</v>
      </c>
      <c r="K75" s="207" t="e">
        <f>IF($E75="High-End",SUMIFS(#REF!,Dermal_Exp[Worker Type],$D75,Dermal_Exp[OES],$C75),SUMIFS(#REF!,Dermal_Exp[Worker Type],$D75,Dermal_Exp[OES],$C75))</f>
        <v>#REF!</v>
      </c>
      <c r="L75" s="207" t="e">
        <f>IF($E75="High-End",SUMIFS(#REF!,Dermal_Exp[Worker Type],$D75,Dermal_Exp[OES],$C75),SUMIFS(#REF!,Dermal_Exp[Worker Type],$D75,Dermal_Exp[OES],$C75))</f>
        <v>#REF!</v>
      </c>
      <c r="M75" s="207" t="e">
        <f>IF($E75="High-End",SUMIFS(#REF!,Dermal_Exp[Worker Type],$D75,Dermal_Exp[OES],$C75),SUMIFS(#REF!,Dermal_Exp[Worker Type],$D75,Dermal_Exp[OES],$C75))</f>
        <v>#REF!</v>
      </c>
      <c r="N75" s="207" t="e">
        <f>IF($E75="High-End",SUMIFS(#REF!,Dermal_Exp[Worker Type],$D75,Dermal_Exp[OES],$C75),SUMIFS(#REF!,Dermal_Exp[Worker Type],$D75,Dermal_Exp[OES],$C75))</f>
        <v>#REF!</v>
      </c>
      <c r="O75" s="226" t="e">
        <f t="shared" si="5"/>
        <v>#REF!</v>
      </c>
      <c r="P75" s="226" t="e">
        <f t="shared" ref="P75:P100" si="6">H75+L75</f>
        <v>#REF!</v>
      </c>
      <c r="Q75" s="226" t="e">
        <f t="shared" ref="Q75:Q100" si="7">I75+M75</f>
        <v>#REF!</v>
      </c>
      <c r="R75" s="226" t="e">
        <f t="shared" ref="R75:R100" si="8">J75+N75</f>
        <v>#REF!</v>
      </c>
      <c r="AF75" s="14"/>
      <c r="AG75" s="14"/>
      <c r="AH75" s="14"/>
      <c r="AI75" s="14"/>
      <c r="AJ75" s="14"/>
      <c r="AK75" s="14"/>
      <c r="AL75" s="14"/>
    </row>
    <row r="76" spans="3:38" x14ac:dyDescent="0.35">
      <c r="C76" s="224" t="str" cm="1">
        <f t="array" ref="C76">INDEX('List Values'!$B$2:$B$21,(1+ROUNDDOWN((ROW()-ROW($C$5))*1/6,2)))</f>
        <v>Rubber Converting</v>
      </c>
      <c r="D76" s="224" t="s">
        <v>54</v>
      </c>
      <c r="E76" s="224" t="s">
        <v>53</v>
      </c>
      <c r="F76" s="225" t="s">
        <v>108</v>
      </c>
      <c r="G76" s="164">
        <f>IF(E76="High-End",SUMIFS(Inhalation_Exp[24hr_High-End],Inhalation_Exp[OES],$C76,Inhalation_Exp[Worker Type],$D76,Inhalation_Exp[Data Type],$F76),SUMIFS(Inhalation_Exp[24hr_Central Tendency],Inhalation_Exp[OES],$C76,Inhalation_Exp[Worker Type],$D76,Inhalation_Exp[Data Type],$F76))</f>
        <v>0</v>
      </c>
      <c r="H76" s="164">
        <f>IF(E76="High-End",SUMIFS(Inhalation_Exp[Int_High-End],Inhalation_Exp[OES],$C76,Inhalation_Exp[Worker Type],$D76,Inhalation_Exp[Data Type],$F76),SUMIFS(Inhalation_Exp[Int_Central Tendency],Inhalation_Exp[OES],$C76,Inhalation_Exp[Worker Type],$D76,Inhalation_Exp[Data Type],$F76))</f>
        <v>0</v>
      </c>
      <c r="I76" s="164">
        <f>IF(E76="High-End",SUMIFS(Inhalation_Exp[ADC_High-End],Inhalation_Exp[OES],$C76,Inhalation_Exp[Worker Type],$D76,Inhalation_Exp[Data Type],$F76),SUMIFS(Inhalation_Exp[ADC_Central Tendency],Inhalation_Exp[OES],$C76,Inhalation_Exp[Worker Type],$D76,Inhalation_Exp[Data Type],$F76))</f>
        <v>0</v>
      </c>
      <c r="J76" s="164" t="e">
        <f>IF(E76="High-End",SUMIFS(#REF!,Inhalation_Exp[OES],$C76,Inhalation_Exp[Worker Type],$D76,Inhalation_Exp[Data Type],$F76),SUMIFS(#REF!,Inhalation_Exp[OES],$C76,Inhalation_Exp[Worker Type],$D76,Inhalation_Exp[Data Type],$F76))</f>
        <v>#REF!</v>
      </c>
      <c r="K76" s="207" t="e">
        <f>IF($E76="High-End",SUMIFS(#REF!,Dermal_Exp[Worker Type],$D76,Dermal_Exp[OES],$C76),SUMIFS(#REF!,Dermal_Exp[Worker Type],$D76,Dermal_Exp[OES],$C76))</f>
        <v>#REF!</v>
      </c>
      <c r="L76" s="207" t="e">
        <f>IF($E76="High-End",SUMIFS(#REF!,Dermal_Exp[Worker Type],$D76,Dermal_Exp[OES],$C76),SUMIFS(#REF!,Dermal_Exp[Worker Type],$D76,Dermal_Exp[OES],$C76))</f>
        <v>#REF!</v>
      </c>
      <c r="M76" s="207" t="e">
        <f>IF($E76="High-End",SUMIFS(#REF!,Dermal_Exp[Worker Type],$D76,Dermal_Exp[OES],$C76),SUMIFS(#REF!,Dermal_Exp[Worker Type],$D76,Dermal_Exp[OES],$C76))</f>
        <v>#REF!</v>
      </c>
      <c r="N76" s="207" t="e">
        <f>IF($E76="High-End",SUMIFS(#REF!,Dermal_Exp[Worker Type],$D76,Dermal_Exp[OES],$C76),SUMIFS(#REF!,Dermal_Exp[Worker Type],$D76,Dermal_Exp[OES],$C76))</f>
        <v>#REF!</v>
      </c>
      <c r="O76" s="226" t="e">
        <f t="shared" ref="O76:O100" si="9">G76+K76</f>
        <v>#REF!</v>
      </c>
      <c r="P76" s="226" t="e">
        <f t="shared" si="6"/>
        <v>#REF!</v>
      </c>
      <c r="Q76" s="226" t="e">
        <f t="shared" si="7"/>
        <v>#REF!</v>
      </c>
      <c r="R76" s="226" t="e">
        <f t="shared" si="8"/>
        <v>#REF!</v>
      </c>
      <c r="AF76" s="14"/>
      <c r="AG76" s="14"/>
      <c r="AH76" s="14"/>
      <c r="AI76" s="14"/>
      <c r="AJ76" s="14"/>
      <c r="AK76" s="14"/>
      <c r="AL76" s="14"/>
    </row>
    <row r="77" spans="3:38" x14ac:dyDescent="0.35">
      <c r="C77" s="224" t="str" cm="1">
        <f t="array" ref="C77">INDEX('List Values'!$B$2:$B$21,(1+ROUNDDOWN((ROW()-ROW($C$5))*1/6,2)))</f>
        <v>Formulation of Products Containing Greater than 3% D4</v>
      </c>
      <c r="D77" s="224" t="s">
        <v>34</v>
      </c>
      <c r="E77" s="218" t="s">
        <v>52</v>
      </c>
      <c r="F77" s="225" t="s">
        <v>108</v>
      </c>
      <c r="G77" s="164">
        <f>IF(E77="High-End",SUMIFS(Inhalation_Exp[24hr_High-End],Inhalation_Exp[OES],$C77,Inhalation_Exp[Worker Type],$D77,Inhalation_Exp[Data Type],$F77),SUMIFS(Inhalation_Exp[24hr_Central Tendency],Inhalation_Exp[OES],$C77,Inhalation_Exp[Worker Type],$D77,Inhalation_Exp[Data Type],$F77))</f>
        <v>0</v>
      </c>
      <c r="H77" s="164">
        <f>IF(E77="High-End",SUMIFS(Inhalation_Exp[Int_High-End],Inhalation_Exp[OES],$C77,Inhalation_Exp[Worker Type],$D77,Inhalation_Exp[Data Type],$F77),SUMIFS(Inhalation_Exp[Int_Central Tendency],Inhalation_Exp[OES],$C77,Inhalation_Exp[Worker Type],$D77,Inhalation_Exp[Data Type],$F77))</f>
        <v>0</v>
      </c>
      <c r="I77" s="164">
        <f>IF(E77="High-End",SUMIFS(Inhalation_Exp[ADC_High-End],Inhalation_Exp[OES],$C77,Inhalation_Exp[Worker Type],$D77,Inhalation_Exp[Data Type],$F77),SUMIFS(Inhalation_Exp[ADC_Central Tendency],Inhalation_Exp[OES],$C77,Inhalation_Exp[Worker Type],$D77,Inhalation_Exp[Data Type],$F77))</f>
        <v>0</v>
      </c>
      <c r="J77" s="164" t="e">
        <f>IF(E77="High-End",SUMIFS(#REF!,Inhalation_Exp[OES],$C77,Inhalation_Exp[Worker Type],$D77,Inhalation_Exp[Data Type],$F77),SUMIFS(#REF!,Inhalation_Exp[OES],$C77,Inhalation_Exp[Worker Type],$D77,Inhalation_Exp[Data Type],$F77))</f>
        <v>#REF!</v>
      </c>
      <c r="K77" s="207" t="e">
        <f>IF($E77="High-End",SUMIFS(#REF!,Dermal_Exp[Worker Type],$D77,Dermal_Exp[OES],$C77),SUMIFS(#REF!,Dermal_Exp[Worker Type],$D77,Dermal_Exp[OES],$C77))</f>
        <v>#REF!</v>
      </c>
      <c r="L77" s="207" t="e">
        <f>IF($E77="High-End",SUMIFS(#REF!,Dermal_Exp[Worker Type],$D77,Dermal_Exp[OES],$C77),SUMIFS(#REF!,Dermal_Exp[Worker Type],$D77,Dermal_Exp[OES],$C77))</f>
        <v>#REF!</v>
      </c>
      <c r="M77" s="207" t="e">
        <f>IF($E77="High-End",SUMIFS(#REF!,Dermal_Exp[Worker Type],$D77,Dermal_Exp[OES],$C77),SUMIFS(#REF!,Dermal_Exp[Worker Type],$D77,Dermal_Exp[OES],$C77))</f>
        <v>#REF!</v>
      </c>
      <c r="N77" s="207" t="e">
        <f>IF($E77="High-End",SUMIFS(#REF!,Dermal_Exp[Worker Type],$D77,Dermal_Exp[OES],$C77),SUMIFS(#REF!,Dermal_Exp[Worker Type],$D77,Dermal_Exp[OES],$C77))</f>
        <v>#REF!</v>
      </c>
      <c r="O77" s="226" t="e">
        <f t="shared" si="9"/>
        <v>#REF!</v>
      </c>
      <c r="P77" s="226" t="e">
        <f t="shared" si="6"/>
        <v>#REF!</v>
      </c>
      <c r="Q77" s="226" t="e">
        <f t="shared" si="7"/>
        <v>#REF!</v>
      </c>
      <c r="R77" s="226" t="e">
        <f t="shared" si="8"/>
        <v>#REF!</v>
      </c>
      <c r="AF77" s="14"/>
      <c r="AG77" s="14"/>
      <c r="AH77" s="14"/>
      <c r="AI77" s="14"/>
      <c r="AJ77" s="14"/>
      <c r="AK77" s="14"/>
      <c r="AL77" s="14"/>
    </row>
    <row r="78" spans="3:38" x14ac:dyDescent="0.35">
      <c r="C78" s="224" t="str" cm="1">
        <f t="array" ref="C78">INDEX('List Values'!$B$2:$B$21,(1+ROUNDDOWN((ROW()-ROW($C$5))*1/6,2)))</f>
        <v>Formulation of Products Containing Greater than 3% D4</v>
      </c>
      <c r="D78" s="224" t="s">
        <v>34</v>
      </c>
      <c r="E78" s="224" t="s">
        <v>53</v>
      </c>
      <c r="F78" s="225" t="s">
        <v>108</v>
      </c>
      <c r="G78" s="164">
        <f>IF(E78="High-End",SUMIFS(Inhalation_Exp[24hr_High-End],Inhalation_Exp[OES],$C78,Inhalation_Exp[Worker Type],$D78,Inhalation_Exp[Data Type],$F78),SUMIFS(Inhalation_Exp[24hr_Central Tendency],Inhalation_Exp[OES],$C78,Inhalation_Exp[Worker Type],$D78,Inhalation_Exp[Data Type],$F78))</f>
        <v>0</v>
      </c>
      <c r="H78" s="164">
        <f>IF(E78="High-End",SUMIFS(Inhalation_Exp[Int_High-End],Inhalation_Exp[OES],$C78,Inhalation_Exp[Worker Type],$D78,Inhalation_Exp[Data Type],$F78),SUMIFS(Inhalation_Exp[Int_Central Tendency],Inhalation_Exp[OES],$C78,Inhalation_Exp[Worker Type],$D78,Inhalation_Exp[Data Type],$F78))</f>
        <v>0</v>
      </c>
      <c r="I78" s="164">
        <f>IF(E78="High-End",SUMIFS(Inhalation_Exp[ADC_High-End],Inhalation_Exp[OES],$C78,Inhalation_Exp[Worker Type],$D78,Inhalation_Exp[Data Type],$F78),SUMIFS(Inhalation_Exp[ADC_Central Tendency],Inhalation_Exp[OES],$C78,Inhalation_Exp[Worker Type],$D78,Inhalation_Exp[Data Type],$F78))</f>
        <v>0</v>
      </c>
      <c r="J78" s="164" t="e">
        <f>IF(E78="High-End",SUMIFS(#REF!,Inhalation_Exp[OES],$C78,Inhalation_Exp[Worker Type],$D78,Inhalation_Exp[Data Type],$F78),SUMIFS(#REF!,Inhalation_Exp[OES],$C78,Inhalation_Exp[Worker Type],$D78,Inhalation_Exp[Data Type],$F78))</f>
        <v>#REF!</v>
      </c>
      <c r="K78" s="207" t="e">
        <f>IF($E78="High-End",SUMIFS(#REF!,Dermal_Exp[Worker Type],$D78,Dermal_Exp[OES],$C78),SUMIFS(#REF!,Dermal_Exp[Worker Type],$D78,Dermal_Exp[OES],$C78))</f>
        <v>#REF!</v>
      </c>
      <c r="L78" s="207" t="e">
        <f>IF($E78="High-End",SUMIFS(#REF!,Dermal_Exp[Worker Type],$D78,Dermal_Exp[OES],$C78),SUMIFS(#REF!,Dermal_Exp[Worker Type],$D78,Dermal_Exp[OES],$C78))</f>
        <v>#REF!</v>
      </c>
      <c r="M78" s="207" t="e">
        <f>IF($E78="High-End",SUMIFS(#REF!,Dermal_Exp[Worker Type],$D78,Dermal_Exp[OES],$C78),SUMIFS(#REF!,Dermal_Exp[Worker Type],$D78,Dermal_Exp[OES],$C78))</f>
        <v>#REF!</v>
      </c>
      <c r="N78" s="207" t="e">
        <f>IF($E78="High-End",SUMIFS(#REF!,Dermal_Exp[Worker Type],$D78,Dermal_Exp[OES],$C78),SUMIFS(#REF!,Dermal_Exp[Worker Type],$D78,Dermal_Exp[OES],$C78))</f>
        <v>#REF!</v>
      </c>
      <c r="O78" s="226" t="e">
        <f t="shared" si="9"/>
        <v>#REF!</v>
      </c>
      <c r="P78" s="226" t="e">
        <f t="shared" si="6"/>
        <v>#REF!</v>
      </c>
      <c r="Q78" s="226" t="e">
        <f t="shared" si="7"/>
        <v>#REF!</v>
      </c>
      <c r="R78" s="226" t="e">
        <f t="shared" si="8"/>
        <v>#REF!</v>
      </c>
      <c r="AF78" s="14"/>
      <c r="AG78" s="14"/>
      <c r="AH78" s="14"/>
      <c r="AI78" s="14"/>
      <c r="AJ78" s="14"/>
      <c r="AK78" s="14"/>
      <c r="AL78" s="14"/>
    </row>
    <row r="79" spans="3:38" x14ac:dyDescent="0.35">
      <c r="C79" s="224" t="str" cm="1">
        <f t="array" ref="C79">INDEX('List Values'!$B$2:$B$21,(1+ROUNDDOWN((ROW()-ROW($C$5))*1/6,2)))</f>
        <v>Formulation of Products Containing Greater than 3% D4</v>
      </c>
      <c r="D79" s="224" t="s">
        <v>109</v>
      </c>
      <c r="E79" s="224" t="s">
        <v>52</v>
      </c>
      <c r="F79" s="225" t="s">
        <v>108</v>
      </c>
      <c r="G79" s="164">
        <f>IF(E79="High-End",SUMIFS(Inhalation_Exp[24hr_High-End],Inhalation_Exp[OES],$C79,Inhalation_Exp[Worker Type],$D79,Inhalation_Exp[Data Type],$F79),SUMIFS(Inhalation_Exp[24hr_Central Tendency],Inhalation_Exp[OES],$C79,Inhalation_Exp[Worker Type],$D79,Inhalation_Exp[Data Type],$F79))</f>
        <v>0</v>
      </c>
      <c r="H79" s="164">
        <f>IF(E79="High-End",SUMIFS(Inhalation_Exp[Int_High-End],Inhalation_Exp[OES],$C79,Inhalation_Exp[Worker Type],$D79,Inhalation_Exp[Data Type],$F79),SUMIFS(Inhalation_Exp[Int_Central Tendency],Inhalation_Exp[OES],$C79,Inhalation_Exp[Worker Type],$D79,Inhalation_Exp[Data Type],$F79))</f>
        <v>0</v>
      </c>
      <c r="I79" s="164">
        <f>IF(E79="High-End",SUMIFS(Inhalation_Exp[ADC_High-End],Inhalation_Exp[OES],$C79,Inhalation_Exp[Worker Type],$D79,Inhalation_Exp[Data Type],$F79),SUMIFS(Inhalation_Exp[ADC_Central Tendency],Inhalation_Exp[OES],$C79,Inhalation_Exp[Worker Type],$D79,Inhalation_Exp[Data Type],$F79))</f>
        <v>0</v>
      </c>
      <c r="J79" s="164" t="e">
        <f>IF(E79="High-End",SUMIFS(#REF!,Inhalation_Exp[OES],$C79,Inhalation_Exp[Worker Type],$D79,Inhalation_Exp[Data Type],$F79),SUMIFS(#REF!,Inhalation_Exp[OES],$C79,Inhalation_Exp[Worker Type],$D79,Inhalation_Exp[Data Type],$F79))</f>
        <v>#REF!</v>
      </c>
      <c r="K79" s="207" t="e">
        <f>IF($E79="High-End",SUMIFS(#REF!,Dermal_Exp[Worker Type],$D79,Dermal_Exp[OES],$C79),SUMIFS(#REF!,Dermal_Exp[Worker Type],$D79,Dermal_Exp[OES],$C79))</f>
        <v>#REF!</v>
      </c>
      <c r="L79" s="207" t="e">
        <f>IF($E79="High-End",SUMIFS(#REF!,Dermal_Exp[Worker Type],$D79,Dermal_Exp[OES],$C79),SUMIFS(#REF!,Dermal_Exp[Worker Type],$D79,Dermal_Exp[OES],$C79))</f>
        <v>#REF!</v>
      </c>
      <c r="M79" s="207" t="e">
        <f>IF($E79="High-End",SUMIFS(#REF!,Dermal_Exp[Worker Type],$D79,Dermal_Exp[OES],$C79),SUMIFS(#REF!,Dermal_Exp[Worker Type],$D79,Dermal_Exp[OES],$C79))</f>
        <v>#REF!</v>
      </c>
      <c r="N79" s="207" t="e">
        <f>IF($E79="High-End",SUMIFS(#REF!,Dermal_Exp[Worker Type],$D79,Dermal_Exp[OES],$C79),SUMIFS(#REF!,Dermal_Exp[Worker Type],$D79,Dermal_Exp[OES],$C79))</f>
        <v>#REF!</v>
      </c>
      <c r="O79" s="226" t="e">
        <f t="shared" si="9"/>
        <v>#REF!</v>
      </c>
      <c r="P79" s="226" t="e">
        <f t="shared" si="6"/>
        <v>#REF!</v>
      </c>
      <c r="Q79" s="226" t="e">
        <f t="shared" si="7"/>
        <v>#REF!</v>
      </c>
      <c r="R79" s="226" t="e">
        <f t="shared" si="8"/>
        <v>#REF!</v>
      </c>
      <c r="AF79" s="14"/>
      <c r="AG79" s="14"/>
      <c r="AH79" s="14"/>
      <c r="AI79" s="14"/>
      <c r="AJ79" s="14"/>
      <c r="AK79" s="14"/>
      <c r="AL79" s="14"/>
    </row>
    <row r="80" spans="3:38" x14ac:dyDescent="0.35">
      <c r="C80" s="224" t="str" cm="1">
        <f t="array" ref="C80">INDEX('List Values'!$B$2:$B$21,(1+ROUNDDOWN((ROW()-ROW($C$5))*1/6,2)))</f>
        <v>Formulation of Products Containing Greater than 3% D4</v>
      </c>
      <c r="D80" s="224" t="s">
        <v>109</v>
      </c>
      <c r="E80" s="224" t="s">
        <v>53</v>
      </c>
      <c r="F80" s="225" t="s">
        <v>108</v>
      </c>
      <c r="G80" s="164">
        <f>IF(E80="High-End",SUMIFS(Inhalation_Exp[24hr_High-End],Inhalation_Exp[OES],$C80,Inhalation_Exp[Worker Type],$D80,Inhalation_Exp[Data Type],$F80),SUMIFS(Inhalation_Exp[24hr_Central Tendency],Inhalation_Exp[OES],$C80,Inhalation_Exp[Worker Type],$D80,Inhalation_Exp[Data Type],$F80))</f>
        <v>0</v>
      </c>
      <c r="H80" s="164">
        <f>IF(E80="High-End",SUMIFS(Inhalation_Exp[Int_High-End],Inhalation_Exp[OES],$C80,Inhalation_Exp[Worker Type],$D80,Inhalation_Exp[Data Type],$F80),SUMIFS(Inhalation_Exp[Int_Central Tendency],Inhalation_Exp[OES],$C80,Inhalation_Exp[Worker Type],$D80,Inhalation_Exp[Data Type],$F80))</f>
        <v>0</v>
      </c>
      <c r="I80" s="164">
        <f>IF(E80="High-End",SUMIFS(Inhalation_Exp[ADC_High-End],Inhalation_Exp[OES],$C80,Inhalation_Exp[Worker Type],$D80,Inhalation_Exp[Data Type],$F80),SUMIFS(Inhalation_Exp[ADC_Central Tendency],Inhalation_Exp[OES],$C80,Inhalation_Exp[Worker Type],$D80,Inhalation_Exp[Data Type],$F80))</f>
        <v>0</v>
      </c>
      <c r="J80" s="164" t="e">
        <f>IF(E80="High-End",SUMIFS(#REF!,Inhalation_Exp[OES],$C80,Inhalation_Exp[Worker Type],$D80,Inhalation_Exp[Data Type],$F80),SUMIFS(#REF!,Inhalation_Exp[OES],$C80,Inhalation_Exp[Worker Type],$D80,Inhalation_Exp[Data Type],$F80))</f>
        <v>#REF!</v>
      </c>
      <c r="K80" s="207" t="e">
        <f>IF($E80="High-End",SUMIFS(#REF!,Dermal_Exp[Worker Type],$D80,Dermal_Exp[OES],$C80),SUMIFS(#REF!,Dermal_Exp[Worker Type],$D80,Dermal_Exp[OES],$C80))</f>
        <v>#REF!</v>
      </c>
      <c r="L80" s="207" t="e">
        <f>IF($E80="High-End",SUMIFS(#REF!,Dermal_Exp[Worker Type],$D80,Dermal_Exp[OES],$C80),SUMIFS(#REF!,Dermal_Exp[Worker Type],$D80,Dermal_Exp[OES],$C80))</f>
        <v>#REF!</v>
      </c>
      <c r="M80" s="207" t="e">
        <f>IF($E80="High-End",SUMIFS(#REF!,Dermal_Exp[Worker Type],$D80,Dermal_Exp[OES],$C80),SUMIFS(#REF!,Dermal_Exp[Worker Type],$D80,Dermal_Exp[OES],$C80))</f>
        <v>#REF!</v>
      </c>
      <c r="N80" s="207" t="e">
        <f>IF($E80="High-End",SUMIFS(#REF!,Dermal_Exp[Worker Type],$D80,Dermal_Exp[OES],$C80),SUMIFS(#REF!,Dermal_Exp[Worker Type],$D80,Dermal_Exp[OES],$C80))</f>
        <v>#REF!</v>
      </c>
      <c r="O80" s="226" t="e">
        <f t="shared" si="9"/>
        <v>#REF!</v>
      </c>
      <c r="P80" s="226" t="e">
        <f t="shared" si="6"/>
        <v>#REF!</v>
      </c>
      <c r="Q80" s="226" t="e">
        <f t="shared" si="7"/>
        <v>#REF!</v>
      </c>
      <c r="R80" s="226" t="e">
        <f t="shared" si="8"/>
        <v>#REF!</v>
      </c>
      <c r="AF80" s="14"/>
      <c r="AG80" s="14"/>
      <c r="AH80" s="14"/>
      <c r="AI80" s="14"/>
      <c r="AJ80" s="14"/>
      <c r="AK80" s="14"/>
      <c r="AL80" s="14"/>
    </row>
    <row r="81" spans="3:38" x14ac:dyDescent="0.35">
      <c r="C81" s="224" t="str" cm="1">
        <f t="array" ref="C81">INDEX('List Values'!$B$2:$B$21,(1+ROUNDDOWN((ROW()-ROW($C$5))*1/6,2)))</f>
        <v>Formulation of Products Containing Greater than 3% D4</v>
      </c>
      <c r="D81" s="224" t="s">
        <v>54</v>
      </c>
      <c r="E81" s="224" t="s">
        <v>52</v>
      </c>
      <c r="F81" s="225" t="s">
        <v>108</v>
      </c>
      <c r="G81" s="164">
        <f>IF(E81="High-End",SUMIFS(Inhalation_Exp[24hr_High-End],Inhalation_Exp[OES],$C81,Inhalation_Exp[Worker Type],$D81,Inhalation_Exp[Data Type],$F81),SUMIFS(Inhalation_Exp[24hr_Central Tendency],Inhalation_Exp[OES],$C81,Inhalation_Exp[Worker Type],$D81,Inhalation_Exp[Data Type],$F81))</f>
        <v>0</v>
      </c>
      <c r="H81" s="164">
        <f>IF(E81="High-End",SUMIFS(Inhalation_Exp[Int_High-End],Inhalation_Exp[OES],$C81,Inhalation_Exp[Worker Type],$D81,Inhalation_Exp[Data Type],$F81),SUMIFS(Inhalation_Exp[Int_Central Tendency],Inhalation_Exp[OES],$C81,Inhalation_Exp[Worker Type],$D81,Inhalation_Exp[Data Type],$F81))</f>
        <v>0</v>
      </c>
      <c r="I81" s="164">
        <f>IF(E81="High-End",SUMIFS(Inhalation_Exp[ADC_High-End],Inhalation_Exp[OES],$C81,Inhalation_Exp[Worker Type],$D81,Inhalation_Exp[Data Type],$F81),SUMIFS(Inhalation_Exp[ADC_Central Tendency],Inhalation_Exp[OES],$C81,Inhalation_Exp[Worker Type],$D81,Inhalation_Exp[Data Type],$F81))</f>
        <v>0</v>
      </c>
      <c r="J81" s="164" t="e">
        <f>IF(E81="High-End",SUMIFS(#REF!,Inhalation_Exp[OES],$C81,Inhalation_Exp[Worker Type],$D81,Inhalation_Exp[Data Type],$F81),SUMIFS(#REF!,Inhalation_Exp[OES],$C81,Inhalation_Exp[Worker Type],$D81,Inhalation_Exp[Data Type],$F81))</f>
        <v>#REF!</v>
      </c>
      <c r="K81" s="207" t="e">
        <f>IF($E81="High-End",SUMIFS(#REF!,Dermal_Exp[Worker Type],$D81,Dermal_Exp[OES],$C81),SUMIFS(#REF!,Dermal_Exp[Worker Type],$D81,Dermal_Exp[OES],$C81))</f>
        <v>#REF!</v>
      </c>
      <c r="L81" s="207" t="e">
        <f>IF($E81="High-End",SUMIFS(#REF!,Dermal_Exp[Worker Type],$D81,Dermal_Exp[OES],$C81),SUMIFS(#REF!,Dermal_Exp[Worker Type],$D81,Dermal_Exp[OES],$C81))</f>
        <v>#REF!</v>
      </c>
      <c r="M81" s="207" t="e">
        <f>IF($E81="High-End",SUMIFS(#REF!,Dermal_Exp[Worker Type],$D81,Dermal_Exp[OES],$C81),SUMIFS(#REF!,Dermal_Exp[Worker Type],$D81,Dermal_Exp[OES],$C81))</f>
        <v>#REF!</v>
      </c>
      <c r="N81" s="207" t="e">
        <f>IF($E81="High-End",SUMIFS(#REF!,Dermal_Exp[Worker Type],$D81,Dermal_Exp[OES],$C81),SUMIFS(#REF!,Dermal_Exp[Worker Type],$D81,Dermal_Exp[OES],$C81))</f>
        <v>#REF!</v>
      </c>
      <c r="O81" s="226" t="e">
        <f t="shared" si="9"/>
        <v>#REF!</v>
      </c>
      <c r="P81" s="226" t="e">
        <f t="shared" si="6"/>
        <v>#REF!</v>
      </c>
      <c r="Q81" s="226" t="e">
        <f t="shared" si="7"/>
        <v>#REF!</v>
      </c>
      <c r="R81" s="226" t="e">
        <f t="shared" si="8"/>
        <v>#REF!</v>
      </c>
      <c r="AF81" s="14"/>
      <c r="AG81" s="14"/>
      <c r="AH81" s="14"/>
      <c r="AI81" s="14"/>
      <c r="AJ81" s="14"/>
      <c r="AK81" s="14"/>
      <c r="AL81" s="14"/>
    </row>
    <row r="82" spans="3:38" x14ac:dyDescent="0.35">
      <c r="C82" s="224" t="str" cm="1">
        <f t="array" ref="C82">INDEX('List Values'!$B$2:$B$21,(1+ROUNDDOWN((ROW()-ROW($C$5))*1/6,2)))</f>
        <v>Formulation of Products Containing Greater than 3% D4</v>
      </c>
      <c r="D82" s="224" t="s">
        <v>54</v>
      </c>
      <c r="E82" s="224" t="s">
        <v>53</v>
      </c>
      <c r="F82" s="225" t="s">
        <v>108</v>
      </c>
      <c r="G82" s="164">
        <f>IF(E82="High-End",SUMIFS(Inhalation_Exp[24hr_High-End],Inhalation_Exp[OES],$C82,Inhalation_Exp[Worker Type],$D82,Inhalation_Exp[Data Type],$F82),SUMIFS(Inhalation_Exp[24hr_Central Tendency],Inhalation_Exp[OES],$C82,Inhalation_Exp[Worker Type],$D82,Inhalation_Exp[Data Type],$F82))</f>
        <v>0</v>
      </c>
      <c r="H82" s="164">
        <f>IF(E82="High-End",SUMIFS(Inhalation_Exp[Int_High-End],Inhalation_Exp[OES],$C82,Inhalation_Exp[Worker Type],$D82,Inhalation_Exp[Data Type],$F82),SUMIFS(Inhalation_Exp[Int_Central Tendency],Inhalation_Exp[OES],$C82,Inhalation_Exp[Worker Type],$D82,Inhalation_Exp[Data Type],$F82))</f>
        <v>0</v>
      </c>
      <c r="I82" s="164">
        <f>IF(E82="High-End",SUMIFS(Inhalation_Exp[ADC_High-End],Inhalation_Exp[OES],$C82,Inhalation_Exp[Worker Type],$D82,Inhalation_Exp[Data Type],$F82),SUMIFS(Inhalation_Exp[ADC_Central Tendency],Inhalation_Exp[OES],$C82,Inhalation_Exp[Worker Type],$D82,Inhalation_Exp[Data Type],$F82))</f>
        <v>0</v>
      </c>
      <c r="J82" s="164" t="e">
        <f>IF(E82="High-End",SUMIFS(#REF!,Inhalation_Exp[OES],$C82,Inhalation_Exp[Worker Type],$D82,Inhalation_Exp[Data Type],$F82),SUMIFS(#REF!,Inhalation_Exp[OES],$C82,Inhalation_Exp[Worker Type],$D82,Inhalation_Exp[Data Type],$F82))</f>
        <v>#REF!</v>
      </c>
      <c r="K82" s="207" t="e">
        <f>IF($E82="High-End",SUMIFS(#REF!,Dermal_Exp[Worker Type],$D82,Dermal_Exp[OES],$C82),SUMIFS(#REF!,Dermal_Exp[Worker Type],$D82,Dermal_Exp[OES],$C82))</f>
        <v>#REF!</v>
      </c>
      <c r="L82" s="207" t="e">
        <f>IF($E82="High-End",SUMIFS(#REF!,Dermal_Exp[Worker Type],$D82,Dermal_Exp[OES],$C82),SUMIFS(#REF!,Dermal_Exp[Worker Type],$D82,Dermal_Exp[OES],$C82))</f>
        <v>#REF!</v>
      </c>
      <c r="M82" s="207" t="e">
        <f>IF($E82="High-End",SUMIFS(#REF!,Dermal_Exp[Worker Type],$D82,Dermal_Exp[OES],$C82),SUMIFS(#REF!,Dermal_Exp[Worker Type],$D82,Dermal_Exp[OES],$C82))</f>
        <v>#REF!</v>
      </c>
      <c r="N82" s="207" t="e">
        <f>IF($E82="High-End",SUMIFS(#REF!,Dermal_Exp[Worker Type],$D82,Dermal_Exp[OES],$C82),SUMIFS(#REF!,Dermal_Exp[Worker Type],$D82,Dermal_Exp[OES],$C82))</f>
        <v>#REF!</v>
      </c>
      <c r="O82" s="226" t="e">
        <f t="shared" si="9"/>
        <v>#REF!</v>
      </c>
      <c r="P82" s="226" t="e">
        <f t="shared" si="6"/>
        <v>#REF!</v>
      </c>
      <c r="Q82" s="226" t="e">
        <f t="shared" si="7"/>
        <v>#REF!</v>
      </c>
      <c r="R82" s="226" t="e">
        <f t="shared" si="8"/>
        <v>#REF!</v>
      </c>
      <c r="AF82" s="14"/>
      <c r="AG82" s="14"/>
      <c r="AH82" s="14"/>
      <c r="AI82" s="14"/>
      <c r="AJ82" s="14"/>
      <c r="AK82" s="14"/>
      <c r="AL82" s="14"/>
    </row>
    <row r="83" spans="3:38" x14ac:dyDescent="0.35">
      <c r="C83" s="224" t="str" cm="1">
        <f t="array" ref="C83">INDEX('List Values'!$B$2:$B$21,(1+ROUNDDOWN((ROW()-ROW($C$5))*1/6,2)))</f>
        <v>Use of Fabric Finishing Products</v>
      </c>
      <c r="D83" s="224" t="s">
        <v>34</v>
      </c>
      <c r="E83" s="218" t="s">
        <v>52</v>
      </c>
      <c r="F83" s="225" t="s">
        <v>108</v>
      </c>
      <c r="G83" s="164">
        <f>IF(E83="High-End",SUMIFS(Inhalation_Exp[24hr_High-End],Inhalation_Exp[OES],$C83,Inhalation_Exp[Worker Type],$D83,Inhalation_Exp[Data Type],$F83),SUMIFS(Inhalation_Exp[24hr_Central Tendency],Inhalation_Exp[OES],$C83,Inhalation_Exp[Worker Type],$D83,Inhalation_Exp[Data Type],$F83))</f>
        <v>0</v>
      </c>
      <c r="H83" s="164">
        <f>IF(E83="High-End",SUMIFS(Inhalation_Exp[Int_High-End],Inhalation_Exp[OES],$C83,Inhalation_Exp[Worker Type],$D83,Inhalation_Exp[Data Type],$F83),SUMIFS(Inhalation_Exp[Int_Central Tendency],Inhalation_Exp[OES],$C83,Inhalation_Exp[Worker Type],$D83,Inhalation_Exp[Data Type],$F83))</f>
        <v>0</v>
      </c>
      <c r="I83" s="164">
        <f>IF(E83="High-End",SUMIFS(Inhalation_Exp[ADC_High-End],Inhalation_Exp[OES],$C83,Inhalation_Exp[Worker Type],$D83,Inhalation_Exp[Data Type],$F83),SUMIFS(Inhalation_Exp[ADC_Central Tendency],Inhalation_Exp[OES],$C83,Inhalation_Exp[Worker Type],$D83,Inhalation_Exp[Data Type],$F83))</f>
        <v>0</v>
      </c>
      <c r="J83" s="164" t="e">
        <f>IF(E83="High-End",SUMIFS(#REF!,Inhalation_Exp[OES],$C83,Inhalation_Exp[Worker Type],$D83,Inhalation_Exp[Data Type],$F83),SUMIFS(#REF!,Inhalation_Exp[OES],$C83,Inhalation_Exp[Worker Type],$D83,Inhalation_Exp[Data Type],$F83))</f>
        <v>#REF!</v>
      </c>
      <c r="K83" s="207" t="e">
        <f>IF($E83="High-End",SUMIFS(#REF!,Dermal_Exp[Worker Type],$D83,Dermal_Exp[OES],$C83),SUMIFS(#REF!,Dermal_Exp[Worker Type],$D83,Dermal_Exp[OES],$C83))</f>
        <v>#REF!</v>
      </c>
      <c r="L83" s="207" t="e">
        <f>IF($E83="High-End",SUMIFS(#REF!,Dermal_Exp[Worker Type],$D83,Dermal_Exp[OES],$C83),SUMIFS(#REF!,Dermal_Exp[Worker Type],$D83,Dermal_Exp[OES],$C83))</f>
        <v>#REF!</v>
      </c>
      <c r="M83" s="207" t="e">
        <f>IF($E83="High-End",SUMIFS(#REF!,Dermal_Exp[Worker Type],$D83,Dermal_Exp[OES],$C83),SUMIFS(#REF!,Dermal_Exp[Worker Type],$D83,Dermal_Exp[OES],$C83))</f>
        <v>#REF!</v>
      </c>
      <c r="N83" s="207" t="e">
        <f>IF($E83="High-End",SUMIFS(#REF!,Dermal_Exp[Worker Type],$D83,Dermal_Exp[OES],$C83),SUMIFS(#REF!,Dermal_Exp[Worker Type],$D83,Dermal_Exp[OES],$C83))</f>
        <v>#REF!</v>
      </c>
      <c r="O83" s="226" t="e">
        <f t="shared" si="9"/>
        <v>#REF!</v>
      </c>
      <c r="P83" s="226" t="e">
        <f t="shared" si="6"/>
        <v>#REF!</v>
      </c>
      <c r="Q83" s="226" t="e">
        <f t="shared" si="7"/>
        <v>#REF!</v>
      </c>
      <c r="R83" s="226" t="e">
        <f t="shared" si="8"/>
        <v>#REF!</v>
      </c>
      <c r="AF83" s="14"/>
      <c r="AG83" s="14"/>
      <c r="AH83" s="14"/>
      <c r="AI83" s="14"/>
      <c r="AJ83" s="14"/>
      <c r="AK83" s="14"/>
      <c r="AL83" s="14"/>
    </row>
    <row r="84" spans="3:38" x14ac:dyDescent="0.35">
      <c r="C84" s="224" t="str" cm="1">
        <f t="array" ref="C84">INDEX('List Values'!$B$2:$B$21,(1+ROUNDDOWN((ROW()-ROW($C$5))*1/6,2)))</f>
        <v>Use of Fabric Finishing Products</v>
      </c>
      <c r="D84" s="224" t="s">
        <v>34</v>
      </c>
      <c r="E84" s="224" t="s">
        <v>53</v>
      </c>
      <c r="F84" s="225" t="s">
        <v>108</v>
      </c>
      <c r="G84" s="164">
        <f>IF(E84="High-End",SUMIFS(Inhalation_Exp[24hr_High-End],Inhalation_Exp[OES],$C84,Inhalation_Exp[Worker Type],$D84,Inhalation_Exp[Data Type],$F84),SUMIFS(Inhalation_Exp[24hr_Central Tendency],Inhalation_Exp[OES],$C84,Inhalation_Exp[Worker Type],$D84,Inhalation_Exp[Data Type],$F84))</f>
        <v>0</v>
      </c>
      <c r="H84" s="164">
        <f>IF(E84="High-End",SUMIFS(Inhalation_Exp[Int_High-End],Inhalation_Exp[OES],$C84,Inhalation_Exp[Worker Type],$D84,Inhalation_Exp[Data Type],$F84),SUMIFS(Inhalation_Exp[Int_Central Tendency],Inhalation_Exp[OES],$C84,Inhalation_Exp[Worker Type],$D84,Inhalation_Exp[Data Type],$F84))</f>
        <v>0</v>
      </c>
      <c r="I84" s="164">
        <f>IF(E84="High-End",SUMIFS(Inhalation_Exp[ADC_High-End],Inhalation_Exp[OES],$C84,Inhalation_Exp[Worker Type],$D84,Inhalation_Exp[Data Type],$F84),SUMIFS(Inhalation_Exp[ADC_Central Tendency],Inhalation_Exp[OES],$C84,Inhalation_Exp[Worker Type],$D84,Inhalation_Exp[Data Type],$F84))</f>
        <v>0</v>
      </c>
      <c r="J84" s="164" t="e">
        <f>IF(E84="High-End",SUMIFS(#REF!,Inhalation_Exp[OES],$C84,Inhalation_Exp[Worker Type],$D84,Inhalation_Exp[Data Type],$F84),SUMIFS(#REF!,Inhalation_Exp[OES],$C84,Inhalation_Exp[Worker Type],$D84,Inhalation_Exp[Data Type],$F84))</f>
        <v>#REF!</v>
      </c>
      <c r="K84" s="207" t="e">
        <f>IF($E84="High-End",SUMIFS(#REF!,Dermal_Exp[Worker Type],$D84,Dermal_Exp[OES],$C84),SUMIFS(#REF!,Dermal_Exp[Worker Type],$D84,Dermal_Exp[OES],$C84))</f>
        <v>#REF!</v>
      </c>
      <c r="L84" s="207" t="e">
        <f>IF($E84="High-End",SUMIFS(#REF!,Dermal_Exp[Worker Type],$D84,Dermal_Exp[OES],$C84),SUMIFS(#REF!,Dermal_Exp[Worker Type],$D84,Dermal_Exp[OES],$C84))</f>
        <v>#REF!</v>
      </c>
      <c r="M84" s="207" t="e">
        <f>IF($E84="High-End",SUMIFS(#REF!,Dermal_Exp[Worker Type],$D84,Dermal_Exp[OES],$C84),SUMIFS(#REF!,Dermal_Exp[Worker Type],$D84,Dermal_Exp[OES],$C84))</f>
        <v>#REF!</v>
      </c>
      <c r="N84" s="207" t="e">
        <f>IF($E84="High-End",SUMIFS(#REF!,Dermal_Exp[Worker Type],$D84,Dermal_Exp[OES],$C84),SUMIFS(#REF!,Dermal_Exp[Worker Type],$D84,Dermal_Exp[OES],$C84))</f>
        <v>#REF!</v>
      </c>
      <c r="O84" s="226" t="e">
        <f t="shared" si="9"/>
        <v>#REF!</v>
      </c>
      <c r="P84" s="226" t="e">
        <f t="shared" si="6"/>
        <v>#REF!</v>
      </c>
      <c r="Q84" s="226" t="e">
        <f t="shared" si="7"/>
        <v>#REF!</v>
      </c>
      <c r="R84" s="226" t="e">
        <f t="shared" si="8"/>
        <v>#REF!</v>
      </c>
      <c r="AF84" s="14"/>
      <c r="AG84" s="14"/>
      <c r="AH84" s="14"/>
      <c r="AI84" s="14"/>
      <c r="AJ84" s="14"/>
      <c r="AK84" s="14"/>
      <c r="AL84" s="14"/>
    </row>
    <row r="85" spans="3:38" x14ac:dyDescent="0.35">
      <c r="C85" s="224" t="str" cm="1">
        <f t="array" ref="C85">INDEX('List Values'!$B$2:$B$21,(1+ROUNDDOWN((ROW()-ROW($C$5))*1/6,2)))</f>
        <v>Use of Fabric Finishing Products</v>
      </c>
      <c r="D85" s="224" t="s">
        <v>109</v>
      </c>
      <c r="E85" s="224" t="s">
        <v>52</v>
      </c>
      <c r="F85" s="225" t="s">
        <v>108</v>
      </c>
      <c r="G85" s="164">
        <f>IF(E85="High-End",SUMIFS(Inhalation_Exp[24hr_High-End],Inhalation_Exp[OES],$C85,Inhalation_Exp[Worker Type],$D85,Inhalation_Exp[Data Type],$F85),SUMIFS(Inhalation_Exp[24hr_Central Tendency],Inhalation_Exp[OES],$C85,Inhalation_Exp[Worker Type],$D85,Inhalation_Exp[Data Type],$F85))</f>
        <v>0</v>
      </c>
      <c r="H85" s="164">
        <f>IF(E85="High-End",SUMIFS(Inhalation_Exp[Int_High-End],Inhalation_Exp[OES],$C85,Inhalation_Exp[Worker Type],$D85,Inhalation_Exp[Data Type],$F85),SUMIFS(Inhalation_Exp[Int_Central Tendency],Inhalation_Exp[OES],$C85,Inhalation_Exp[Worker Type],$D85,Inhalation_Exp[Data Type],$F85))</f>
        <v>0</v>
      </c>
      <c r="I85" s="164">
        <f>IF(E85="High-End",SUMIFS(Inhalation_Exp[ADC_High-End],Inhalation_Exp[OES],$C85,Inhalation_Exp[Worker Type],$D85,Inhalation_Exp[Data Type],$F85),SUMIFS(Inhalation_Exp[ADC_Central Tendency],Inhalation_Exp[OES],$C85,Inhalation_Exp[Worker Type],$D85,Inhalation_Exp[Data Type],$F85))</f>
        <v>0</v>
      </c>
      <c r="J85" s="164" t="e">
        <f>IF(E85="High-End",SUMIFS(#REF!,Inhalation_Exp[OES],$C85,Inhalation_Exp[Worker Type],$D85,Inhalation_Exp[Data Type],$F85),SUMIFS(#REF!,Inhalation_Exp[OES],$C85,Inhalation_Exp[Worker Type],$D85,Inhalation_Exp[Data Type],$F85))</f>
        <v>#REF!</v>
      </c>
      <c r="K85" s="207" t="e">
        <f>IF($E85="High-End",SUMIFS(#REF!,Dermal_Exp[Worker Type],$D85,Dermal_Exp[OES],$C85),SUMIFS(#REF!,Dermal_Exp[Worker Type],$D85,Dermal_Exp[OES],$C85))</f>
        <v>#REF!</v>
      </c>
      <c r="L85" s="207" t="e">
        <f>IF($E85="High-End",SUMIFS(#REF!,Dermal_Exp[Worker Type],$D85,Dermal_Exp[OES],$C85),SUMIFS(#REF!,Dermal_Exp[Worker Type],$D85,Dermal_Exp[OES],$C85))</f>
        <v>#REF!</v>
      </c>
      <c r="M85" s="207" t="e">
        <f>IF($E85="High-End",SUMIFS(#REF!,Dermal_Exp[Worker Type],$D85,Dermal_Exp[OES],$C85),SUMIFS(#REF!,Dermal_Exp[Worker Type],$D85,Dermal_Exp[OES],$C85))</f>
        <v>#REF!</v>
      </c>
      <c r="N85" s="207" t="e">
        <f>IF($E85="High-End",SUMIFS(#REF!,Dermal_Exp[Worker Type],$D85,Dermal_Exp[OES],$C85),SUMIFS(#REF!,Dermal_Exp[Worker Type],$D85,Dermal_Exp[OES],$C85))</f>
        <v>#REF!</v>
      </c>
      <c r="O85" s="226" t="e">
        <f t="shared" si="9"/>
        <v>#REF!</v>
      </c>
      <c r="P85" s="226" t="e">
        <f t="shared" si="6"/>
        <v>#REF!</v>
      </c>
      <c r="Q85" s="226" t="e">
        <f t="shared" si="7"/>
        <v>#REF!</v>
      </c>
      <c r="R85" s="226" t="e">
        <f t="shared" si="8"/>
        <v>#REF!</v>
      </c>
      <c r="AF85" s="14"/>
      <c r="AG85" s="14"/>
      <c r="AH85" s="14"/>
      <c r="AI85" s="14"/>
      <c r="AJ85" s="14"/>
      <c r="AK85" s="14"/>
      <c r="AL85" s="14"/>
    </row>
    <row r="86" spans="3:38" x14ac:dyDescent="0.35">
      <c r="C86" s="224" t="str" cm="1">
        <f t="array" ref="C86">INDEX('List Values'!$B$2:$B$21,(1+ROUNDDOWN((ROW()-ROW($C$5))*1/6,2)))</f>
        <v>Use of Fabric Finishing Products</v>
      </c>
      <c r="D86" s="224" t="s">
        <v>109</v>
      </c>
      <c r="E86" s="224" t="s">
        <v>53</v>
      </c>
      <c r="F86" s="225" t="s">
        <v>108</v>
      </c>
      <c r="G86" s="164">
        <f>IF(E86="High-End",SUMIFS(Inhalation_Exp[24hr_High-End],Inhalation_Exp[OES],$C86,Inhalation_Exp[Worker Type],$D86,Inhalation_Exp[Data Type],$F86),SUMIFS(Inhalation_Exp[24hr_Central Tendency],Inhalation_Exp[OES],$C86,Inhalation_Exp[Worker Type],$D86,Inhalation_Exp[Data Type],$F86))</f>
        <v>0</v>
      </c>
      <c r="H86" s="164">
        <f>IF(E86="High-End",SUMIFS(Inhalation_Exp[Int_High-End],Inhalation_Exp[OES],$C86,Inhalation_Exp[Worker Type],$D86,Inhalation_Exp[Data Type],$F86),SUMIFS(Inhalation_Exp[Int_Central Tendency],Inhalation_Exp[OES],$C86,Inhalation_Exp[Worker Type],$D86,Inhalation_Exp[Data Type],$F86))</f>
        <v>0</v>
      </c>
      <c r="I86" s="164">
        <f>IF(E86="High-End",SUMIFS(Inhalation_Exp[ADC_High-End],Inhalation_Exp[OES],$C86,Inhalation_Exp[Worker Type],$D86,Inhalation_Exp[Data Type],$F86),SUMIFS(Inhalation_Exp[ADC_Central Tendency],Inhalation_Exp[OES],$C86,Inhalation_Exp[Worker Type],$D86,Inhalation_Exp[Data Type],$F86))</f>
        <v>0</v>
      </c>
      <c r="J86" s="164" t="e">
        <f>IF(E86="High-End",SUMIFS(#REF!,Inhalation_Exp[OES],$C86,Inhalation_Exp[Worker Type],$D86,Inhalation_Exp[Data Type],$F86),SUMIFS(#REF!,Inhalation_Exp[OES],$C86,Inhalation_Exp[Worker Type],$D86,Inhalation_Exp[Data Type],$F86))</f>
        <v>#REF!</v>
      </c>
      <c r="K86" s="207" t="e">
        <f>IF($E86="High-End",SUMIFS(#REF!,Dermal_Exp[Worker Type],$D86,Dermal_Exp[OES],$C86),SUMIFS(#REF!,Dermal_Exp[Worker Type],$D86,Dermal_Exp[OES],$C86))</f>
        <v>#REF!</v>
      </c>
      <c r="L86" s="207" t="e">
        <f>IF($E86="High-End",SUMIFS(#REF!,Dermal_Exp[Worker Type],$D86,Dermal_Exp[OES],$C86),SUMIFS(#REF!,Dermal_Exp[Worker Type],$D86,Dermal_Exp[OES],$C86))</f>
        <v>#REF!</v>
      </c>
      <c r="M86" s="207" t="e">
        <f>IF($E86="High-End",SUMIFS(#REF!,Dermal_Exp[Worker Type],$D86,Dermal_Exp[OES],$C86),SUMIFS(#REF!,Dermal_Exp[Worker Type],$D86,Dermal_Exp[OES],$C86))</f>
        <v>#REF!</v>
      </c>
      <c r="N86" s="207" t="e">
        <f>IF($E86="High-End",SUMIFS(#REF!,Dermal_Exp[Worker Type],$D86,Dermal_Exp[OES],$C86),SUMIFS(#REF!,Dermal_Exp[Worker Type],$D86,Dermal_Exp[OES],$C86))</f>
        <v>#REF!</v>
      </c>
      <c r="O86" s="226" t="e">
        <f t="shared" si="9"/>
        <v>#REF!</v>
      </c>
      <c r="P86" s="226" t="e">
        <f t="shared" si="6"/>
        <v>#REF!</v>
      </c>
      <c r="Q86" s="226" t="e">
        <f t="shared" si="7"/>
        <v>#REF!</v>
      </c>
      <c r="R86" s="226" t="e">
        <f t="shared" si="8"/>
        <v>#REF!</v>
      </c>
      <c r="AF86" s="14"/>
      <c r="AG86" s="14"/>
      <c r="AH86" s="14"/>
      <c r="AI86" s="14"/>
      <c r="AJ86" s="14"/>
      <c r="AK86" s="14"/>
      <c r="AL86" s="14"/>
    </row>
    <row r="87" spans="3:38" x14ac:dyDescent="0.35">
      <c r="C87" s="224" t="str" cm="1">
        <f t="array" ref="C87">INDEX('List Values'!$B$2:$B$21,(1+ROUNDDOWN((ROW()-ROW($C$5))*1/6,2)))</f>
        <v>Use of Fabric Finishing Products</v>
      </c>
      <c r="D87" s="224" t="s">
        <v>54</v>
      </c>
      <c r="E87" s="224" t="s">
        <v>52</v>
      </c>
      <c r="F87" s="225" t="s">
        <v>108</v>
      </c>
      <c r="G87" s="164">
        <f>IF(E87="High-End",SUMIFS(Inhalation_Exp[24hr_High-End],Inhalation_Exp[OES],$C87,Inhalation_Exp[Worker Type],$D87,Inhalation_Exp[Data Type],$F87),SUMIFS(Inhalation_Exp[24hr_Central Tendency],Inhalation_Exp[OES],$C87,Inhalation_Exp[Worker Type],$D87,Inhalation_Exp[Data Type],$F87))</f>
        <v>0</v>
      </c>
      <c r="H87" s="164">
        <f>IF(E87="High-End",SUMIFS(Inhalation_Exp[Int_High-End],Inhalation_Exp[OES],$C87,Inhalation_Exp[Worker Type],$D87,Inhalation_Exp[Data Type],$F87),SUMIFS(Inhalation_Exp[Int_Central Tendency],Inhalation_Exp[OES],$C87,Inhalation_Exp[Worker Type],$D87,Inhalation_Exp[Data Type],$F87))</f>
        <v>0</v>
      </c>
      <c r="I87" s="164">
        <f>IF(E87="High-End",SUMIFS(Inhalation_Exp[ADC_High-End],Inhalation_Exp[OES],$C87,Inhalation_Exp[Worker Type],$D87,Inhalation_Exp[Data Type],$F87),SUMIFS(Inhalation_Exp[ADC_Central Tendency],Inhalation_Exp[OES],$C87,Inhalation_Exp[Worker Type],$D87,Inhalation_Exp[Data Type],$F87))</f>
        <v>0</v>
      </c>
      <c r="J87" s="164" t="e">
        <f>IF(E87="High-End",SUMIFS(#REF!,Inhalation_Exp[OES],$C87,Inhalation_Exp[Worker Type],$D87,Inhalation_Exp[Data Type],$F87),SUMIFS(#REF!,Inhalation_Exp[OES],$C87,Inhalation_Exp[Worker Type],$D87,Inhalation_Exp[Data Type],$F87))</f>
        <v>#REF!</v>
      </c>
      <c r="K87" s="207" t="e">
        <f>IF($E87="High-End",SUMIFS(#REF!,Dermal_Exp[Worker Type],$D87,Dermal_Exp[OES],$C87),SUMIFS(#REF!,Dermal_Exp[Worker Type],$D87,Dermal_Exp[OES],$C87))</f>
        <v>#REF!</v>
      </c>
      <c r="L87" s="207" t="e">
        <f>IF($E87="High-End",SUMIFS(#REF!,Dermal_Exp[Worker Type],$D87,Dermal_Exp[OES],$C87),SUMIFS(#REF!,Dermal_Exp[Worker Type],$D87,Dermal_Exp[OES],$C87))</f>
        <v>#REF!</v>
      </c>
      <c r="M87" s="207" t="e">
        <f>IF($E87="High-End",SUMIFS(#REF!,Dermal_Exp[Worker Type],$D87,Dermal_Exp[OES],$C87),SUMIFS(#REF!,Dermal_Exp[Worker Type],$D87,Dermal_Exp[OES],$C87))</f>
        <v>#REF!</v>
      </c>
      <c r="N87" s="207" t="e">
        <f>IF($E87="High-End",SUMIFS(#REF!,Dermal_Exp[Worker Type],$D87,Dermal_Exp[OES],$C87),SUMIFS(#REF!,Dermal_Exp[Worker Type],$D87,Dermal_Exp[OES],$C87))</f>
        <v>#REF!</v>
      </c>
      <c r="O87" s="226" t="e">
        <f t="shared" si="9"/>
        <v>#REF!</v>
      </c>
      <c r="P87" s="226" t="e">
        <f t="shared" si="6"/>
        <v>#REF!</v>
      </c>
      <c r="Q87" s="226" t="e">
        <f t="shared" si="7"/>
        <v>#REF!</v>
      </c>
      <c r="R87" s="226" t="e">
        <f t="shared" si="8"/>
        <v>#REF!</v>
      </c>
      <c r="AF87" s="14"/>
      <c r="AG87" s="14"/>
      <c r="AH87" s="14"/>
      <c r="AI87" s="14"/>
      <c r="AJ87" s="14"/>
      <c r="AK87" s="14"/>
      <c r="AL87" s="14"/>
    </row>
    <row r="88" spans="3:38" x14ac:dyDescent="0.35">
      <c r="C88" s="224" t="str" cm="1">
        <f t="array" ref="C88">INDEX('List Values'!$B$2:$B$21,(1+ROUNDDOWN((ROW()-ROW($C$5))*1/6,2)))</f>
        <v>Use of Fabric Finishing Products</v>
      </c>
      <c r="D88" s="224" t="s">
        <v>54</v>
      </c>
      <c r="E88" s="224" t="s">
        <v>53</v>
      </c>
      <c r="F88" s="225" t="s">
        <v>108</v>
      </c>
      <c r="G88" s="164">
        <f>IF(E88="High-End",SUMIFS(Inhalation_Exp[24hr_High-End],Inhalation_Exp[OES],$C88,Inhalation_Exp[Worker Type],$D88,Inhalation_Exp[Data Type],$F88),SUMIFS(Inhalation_Exp[24hr_Central Tendency],Inhalation_Exp[OES],$C88,Inhalation_Exp[Worker Type],$D88,Inhalation_Exp[Data Type],$F88))</f>
        <v>0</v>
      </c>
      <c r="H88" s="164">
        <f>IF(E88="High-End",SUMIFS(Inhalation_Exp[Int_High-End],Inhalation_Exp[OES],$C88,Inhalation_Exp[Worker Type],$D88,Inhalation_Exp[Data Type],$F88),SUMIFS(Inhalation_Exp[Int_Central Tendency],Inhalation_Exp[OES],$C88,Inhalation_Exp[Worker Type],$D88,Inhalation_Exp[Data Type],$F88))</f>
        <v>0</v>
      </c>
      <c r="I88" s="164">
        <f>IF(E88="High-End",SUMIFS(Inhalation_Exp[ADC_High-End],Inhalation_Exp[OES],$C88,Inhalation_Exp[Worker Type],$D88,Inhalation_Exp[Data Type],$F88),SUMIFS(Inhalation_Exp[ADC_Central Tendency],Inhalation_Exp[OES],$C88,Inhalation_Exp[Worker Type],$D88,Inhalation_Exp[Data Type],$F88))</f>
        <v>0</v>
      </c>
      <c r="J88" s="164" t="e">
        <f>IF(E88="High-End",SUMIFS(#REF!,Inhalation_Exp[OES],$C88,Inhalation_Exp[Worker Type],$D88,Inhalation_Exp[Data Type],$F88),SUMIFS(#REF!,Inhalation_Exp[OES],$C88,Inhalation_Exp[Worker Type],$D88,Inhalation_Exp[Data Type],$F88))</f>
        <v>#REF!</v>
      </c>
      <c r="K88" s="207" t="e">
        <f>IF($E88="High-End",SUMIFS(#REF!,Dermal_Exp[Worker Type],$D88,Dermal_Exp[OES],$C88),SUMIFS(#REF!,Dermal_Exp[Worker Type],$D88,Dermal_Exp[OES],$C88))</f>
        <v>#REF!</v>
      </c>
      <c r="L88" s="207" t="e">
        <f>IF($E88="High-End",SUMIFS(#REF!,Dermal_Exp[Worker Type],$D88,Dermal_Exp[OES],$C88),SUMIFS(#REF!,Dermal_Exp[Worker Type],$D88,Dermal_Exp[OES],$C88))</f>
        <v>#REF!</v>
      </c>
      <c r="M88" s="207" t="e">
        <f>IF($E88="High-End",SUMIFS(#REF!,Dermal_Exp[Worker Type],$D88,Dermal_Exp[OES],$C88),SUMIFS(#REF!,Dermal_Exp[Worker Type],$D88,Dermal_Exp[OES],$C88))</f>
        <v>#REF!</v>
      </c>
      <c r="N88" s="207" t="e">
        <f>IF($E88="High-End",SUMIFS(#REF!,Dermal_Exp[Worker Type],$D88,Dermal_Exp[OES],$C88),SUMIFS(#REF!,Dermal_Exp[Worker Type],$D88,Dermal_Exp[OES],$C88))</f>
        <v>#REF!</v>
      </c>
      <c r="O88" s="226" t="e">
        <f t="shared" si="9"/>
        <v>#REF!</v>
      </c>
      <c r="P88" s="226" t="e">
        <f t="shared" si="6"/>
        <v>#REF!</v>
      </c>
      <c r="Q88" s="226" t="e">
        <f t="shared" si="7"/>
        <v>#REF!</v>
      </c>
      <c r="R88" s="226" t="e">
        <f t="shared" si="8"/>
        <v>#REF!</v>
      </c>
      <c r="AF88" s="14"/>
      <c r="AG88" s="14"/>
      <c r="AH88" s="14"/>
      <c r="AI88" s="14"/>
      <c r="AJ88" s="14"/>
      <c r="AK88" s="14"/>
      <c r="AL88" s="14"/>
    </row>
    <row r="89" spans="3:38" x14ac:dyDescent="0.35">
      <c r="C89" s="224" t="str" cm="1">
        <f t="array" ref="C89">INDEX('List Values'!$B$2:$B$21,(1+ROUNDDOWN((ROW()-ROW($C$5))*1/6,2)))</f>
        <v>Use of Automotive Care Products</v>
      </c>
      <c r="D89" s="224" t="s">
        <v>34</v>
      </c>
      <c r="E89" s="218" t="s">
        <v>52</v>
      </c>
      <c r="F89" s="225" t="s">
        <v>108</v>
      </c>
      <c r="G89" s="164">
        <f>IF(E89="High-End",SUMIFS(Inhalation_Exp[24hr_High-End],Inhalation_Exp[OES],$C89,Inhalation_Exp[Worker Type],$D89,Inhalation_Exp[Data Type],$F89),SUMIFS(Inhalation_Exp[24hr_Central Tendency],Inhalation_Exp[OES],$C89,Inhalation_Exp[Worker Type],$D89,Inhalation_Exp[Data Type],$F89))</f>
        <v>0</v>
      </c>
      <c r="H89" s="164">
        <f>IF(E89="High-End",SUMIFS(Inhalation_Exp[Int_High-End],Inhalation_Exp[OES],$C89,Inhalation_Exp[Worker Type],$D89,Inhalation_Exp[Data Type],$F89),SUMIFS(Inhalation_Exp[Int_Central Tendency],Inhalation_Exp[OES],$C89,Inhalation_Exp[Worker Type],$D89,Inhalation_Exp[Data Type],$F89))</f>
        <v>0</v>
      </c>
      <c r="I89" s="164">
        <f>IF(E89="High-End",SUMIFS(Inhalation_Exp[ADC_High-End],Inhalation_Exp[OES],$C89,Inhalation_Exp[Worker Type],$D89,Inhalation_Exp[Data Type],$F89),SUMIFS(Inhalation_Exp[ADC_Central Tendency],Inhalation_Exp[OES],$C89,Inhalation_Exp[Worker Type],$D89,Inhalation_Exp[Data Type],$F89))</f>
        <v>0</v>
      </c>
      <c r="J89" s="164" t="e">
        <f>IF(E89="High-End",SUMIFS(#REF!,Inhalation_Exp[OES],$C89,Inhalation_Exp[Worker Type],$D89,Inhalation_Exp[Data Type],$F89),SUMIFS(#REF!,Inhalation_Exp[OES],$C89,Inhalation_Exp[Worker Type],$D89,Inhalation_Exp[Data Type],$F89))</f>
        <v>#REF!</v>
      </c>
      <c r="K89" s="207" t="e">
        <f>IF($E89="High-End",SUMIFS(#REF!,Dermal_Exp[Worker Type],$D89,Dermal_Exp[OES],$C89),SUMIFS(#REF!,Dermal_Exp[Worker Type],$D89,Dermal_Exp[OES],$C89))</f>
        <v>#REF!</v>
      </c>
      <c r="L89" s="207" t="e">
        <f>IF($E89="High-End",SUMIFS(#REF!,Dermal_Exp[Worker Type],$D89,Dermal_Exp[OES],$C89),SUMIFS(#REF!,Dermal_Exp[Worker Type],$D89,Dermal_Exp[OES],$C89))</f>
        <v>#REF!</v>
      </c>
      <c r="M89" s="207" t="e">
        <f>IF($E89="High-End",SUMIFS(#REF!,Dermal_Exp[Worker Type],$D89,Dermal_Exp[OES],$C89),SUMIFS(#REF!,Dermal_Exp[Worker Type],$D89,Dermal_Exp[OES],$C89))</f>
        <v>#REF!</v>
      </c>
      <c r="N89" s="207" t="e">
        <f>IF($E89="High-End",SUMIFS(#REF!,Dermal_Exp[Worker Type],$D89,Dermal_Exp[OES],$C89),SUMIFS(#REF!,Dermal_Exp[Worker Type],$D89,Dermal_Exp[OES],$C89))</f>
        <v>#REF!</v>
      </c>
      <c r="O89" s="226" t="e">
        <f t="shared" si="9"/>
        <v>#REF!</v>
      </c>
      <c r="P89" s="226" t="e">
        <f t="shared" si="6"/>
        <v>#REF!</v>
      </c>
      <c r="Q89" s="226" t="e">
        <f t="shared" si="7"/>
        <v>#REF!</v>
      </c>
      <c r="R89" s="226" t="e">
        <f t="shared" si="8"/>
        <v>#REF!</v>
      </c>
      <c r="AF89" s="14"/>
      <c r="AG89" s="14"/>
      <c r="AH89" s="14"/>
      <c r="AI89" s="14"/>
      <c r="AJ89" s="14"/>
      <c r="AK89" s="14"/>
      <c r="AL89" s="14"/>
    </row>
    <row r="90" spans="3:38" x14ac:dyDescent="0.35">
      <c r="C90" s="224" t="str" cm="1">
        <f t="array" ref="C90">INDEX('List Values'!$B$2:$B$21,(1+ROUNDDOWN((ROW()-ROW($C$5))*1/6,2)))</f>
        <v>Use of Automotive Care Products</v>
      </c>
      <c r="D90" s="224" t="s">
        <v>34</v>
      </c>
      <c r="E90" s="224" t="s">
        <v>53</v>
      </c>
      <c r="F90" s="225" t="s">
        <v>108</v>
      </c>
      <c r="G90" s="164">
        <f>IF(E90="High-End",SUMIFS(Inhalation_Exp[24hr_High-End],Inhalation_Exp[OES],$C90,Inhalation_Exp[Worker Type],$D90,Inhalation_Exp[Data Type],$F90),SUMIFS(Inhalation_Exp[24hr_Central Tendency],Inhalation_Exp[OES],$C90,Inhalation_Exp[Worker Type],$D90,Inhalation_Exp[Data Type],$F90))</f>
        <v>0</v>
      </c>
      <c r="H90" s="164">
        <f>IF(E90="High-End",SUMIFS(Inhalation_Exp[Int_High-End],Inhalation_Exp[OES],$C90,Inhalation_Exp[Worker Type],$D90,Inhalation_Exp[Data Type],$F90),SUMIFS(Inhalation_Exp[Int_Central Tendency],Inhalation_Exp[OES],$C90,Inhalation_Exp[Worker Type],$D90,Inhalation_Exp[Data Type],$F90))</f>
        <v>0</v>
      </c>
      <c r="I90" s="164">
        <f>IF(E90="High-End",SUMIFS(Inhalation_Exp[ADC_High-End],Inhalation_Exp[OES],$C90,Inhalation_Exp[Worker Type],$D90,Inhalation_Exp[Data Type],$F90),SUMIFS(Inhalation_Exp[ADC_Central Tendency],Inhalation_Exp[OES],$C90,Inhalation_Exp[Worker Type],$D90,Inhalation_Exp[Data Type],$F90))</f>
        <v>0</v>
      </c>
      <c r="J90" s="164" t="e">
        <f>IF(E90="High-End",SUMIFS(#REF!,Inhalation_Exp[OES],$C90,Inhalation_Exp[Worker Type],$D90,Inhalation_Exp[Data Type],$F90),SUMIFS(#REF!,Inhalation_Exp[OES],$C90,Inhalation_Exp[Worker Type],$D90,Inhalation_Exp[Data Type],$F90))</f>
        <v>#REF!</v>
      </c>
      <c r="K90" s="207" t="e">
        <f>IF($E90="High-End",SUMIFS(#REF!,Dermal_Exp[Worker Type],$D90,Dermal_Exp[OES],$C90),SUMIFS(#REF!,Dermal_Exp[Worker Type],$D90,Dermal_Exp[OES],$C90))</f>
        <v>#REF!</v>
      </c>
      <c r="L90" s="207" t="e">
        <f>IF($E90="High-End",SUMIFS(#REF!,Dermal_Exp[Worker Type],$D90,Dermal_Exp[OES],$C90),SUMIFS(#REF!,Dermal_Exp[Worker Type],$D90,Dermal_Exp[OES],$C90))</f>
        <v>#REF!</v>
      </c>
      <c r="M90" s="207" t="e">
        <f>IF($E90="High-End",SUMIFS(#REF!,Dermal_Exp[Worker Type],$D90,Dermal_Exp[OES],$C90),SUMIFS(#REF!,Dermal_Exp[Worker Type],$D90,Dermal_Exp[OES],$C90))</f>
        <v>#REF!</v>
      </c>
      <c r="N90" s="207" t="e">
        <f>IF($E90="High-End",SUMIFS(#REF!,Dermal_Exp[Worker Type],$D90,Dermal_Exp[OES],$C90),SUMIFS(#REF!,Dermal_Exp[Worker Type],$D90,Dermal_Exp[OES],$C90))</f>
        <v>#REF!</v>
      </c>
      <c r="O90" s="226" t="e">
        <f t="shared" si="9"/>
        <v>#REF!</v>
      </c>
      <c r="P90" s="226" t="e">
        <f t="shared" si="6"/>
        <v>#REF!</v>
      </c>
      <c r="Q90" s="226" t="e">
        <f t="shared" si="7"/>
        <v>#REF!</v>
      </c>
      <c r="R90" s="226" t="e">
        <f t="shared" si="8"/>
        <v>#REF!</v>
      </c>
      <c r="AF90" s="14"/>
      <c r="AG90" s="14"/>
      <c r="AH90" s="14"/>
      <c r="AI90" s="14"/>
      <c r="AJ90" s="14"/>
      <c r="AK90" s="14"/>
      <c r="AL90" s="14"/>
    </row>
    <row r="91" spans="3:38" x14ac:dyDescent="0.35">
      <c r="C91" s="224" t="str" cm="1">
        <f t="array" ref="C91">INDEX('List Values'!$B$2:$B$21,(1+ROUNDDOWN((ROW()-ROW($C$5))*1/6,2)))</f>
        <v>Use of Automotive Care Products</v>
      </c>
      <c r="D91" s="224" t="s">
        <v>109</v>
      </c>
      <c r="E91" s="224" t="s">
        <v>52</v>
      </c>
      <c r="F91" s="225" t="s">
        <v>108</v>
      </c>
      <c r="G91" s="164">
        <f>IF(E91="High-End",SUMIFS(Inhalation_Exp[24hr_High-End],Inhalation_Exp[OES],$C91,Inhalation_Exp[Worker Type],$D91,Inhalation_Exp[Data Type],$F91),SUMIFS(Inhalation_Exp[24hr_Central Tendency],Inhalation_Exp[OES],$C91,Inhalation_Exp[Worker Type],$D91,Inhalation_Exp[Data Type],$F91))</f>
        <v>0</v>
      </c>
      <c r="H91" s="164">
        <f>IF(E91="High-End",SUMIFS(Inhalation_Exp[Int_High-End],Inhalation_Exp[OES],$C91,Inhalation_Exp[Worker Type],$D91,Inhalation_Exp[Data Type],$F91),SUMIFS(Inhalation_Exp[Int_Central Tendency],Inhalation_Exp[OES],$C91,Inhalation_Exp[Worker Type],$D91,Inhalation_Exp[Data Type],$F91))</f>
        <v>0</v>
      </c>
      <c r="I91" s="164">
        <f>IF(E91="High-End",SUMIFS(Inhalation_Exp[ADC_High-End],Inhalation_Exp[OES],$C91,Inhalation_Exp[Worker Type],$D91,Inhalation_Exp[Data Type],$F91),SUMIFS(Inhalation_Exp[ADC_Central Tendency],Inhalation_Exp[OES],$C91,Inhalation_Exp[Worker Type],$D91,Inhalation_Exp[Data Type],$F91))</f>
        <v>0</v>
      </c>
      <c r="J91" s="164" t="e">
        <f>IF(E91="High-End",SUMIFS(#REF!,Inhalation_Exp[OES],$C91,Inhalation_Exp[Worker Type],$D91,Inhalation_Exp[Data Type],$F91),SUMIFS(#REF!,Inhalation_Exp[OES],$C91,Inhalation_Exp[Worker Type],$D91,Inhalation_Exp[Data Type],$F91))</f>
        <v>#REF!</v>
      </c>
      <c r="K91" s="207" t="e">
        <f>IF($E91="High-End",SUMIFS(#REF!,Dermal_Exp[Worker Type],$D91,Dermal_Exp[OES],$C91),SUMIFS(#REF!,Dermal_Exp[Worker Type],$D91,Dermal_Exp[OES],$C91))</f>
        <v>#REF!</v>
      </c>
      <c r="L91" s="207" t="e">
        <f>IF($E91="High-End",SUMIFS(#REF!,Dermal_Exp[Worker Type],$D91,Dermal_Exp[OES],$C91),SUMIFS(#REF!,Dermal_Exp[Worker Type],$D91,Dermal_Exp[OES],$C91))</f>
        <v>#REF!</v>
      </c>
      <c r="M91" s="207" t="e">
        <f>IF($E91="High-End",SUMIFS(#REF!,Dermal_Exp[Worker Type],$D91,Dermal_Exp[OES],$C91),SUMIFS(#REF!,Dermal_Exp[Worker Type],$D91,Dermal_Exp[OES],$C91))</f>
        <v>#REF!</v>
      </c>
      <c r="N91" s="207" t="e">
        <f>IF($E91="High-End",SUMIFS(#REF!,Dermal_Exp[Worker Type],$D91,Dermal_Exp[OES],$C91),SUMIFS(#REF!,Dermal_Exp[Worker Type],$D91,Dermal_Exp[OES],$C91))</f>
        <v>#REF!</v>
      </c>
      <c r="O91" s="226" t="e">
        <f t="shared" si="9"/>
        <v>#REF!</v>
      </c>
      <c r="P91" s="226" t="e">
        <f t="shared" si="6"/>
        <v>#REF!</v>
      </c>
      <c r="Q91" s="226" t="e">
        <f t="shared" si="7"/>
        <v>#REF!</v>
      </c>
      <c r="R91" s="226" t="e">
        <f t="shared" si="8"/>
        <v>#REF!</v>
      </c>
      <c r="AF91" s="14"/>
      <c r="AG91" s="14"/>
      <c r="AH91" s="14"/>
      <c r="AI91" s="14"/>
      <c r="AJ91" s="14"/>
      <c r="AK91" s="14"/>
      <c r="AL91" s="14"/>
    </row>
    <row r="92" spans="3:38" x14ac:dyDescent="0.35">
      <c r="C92" s="224" t="str" cm="1">
        <f t="array" ref="C92">INDEX('List Values'!$B$2:$B$21,(1+ROUNDDOWN((ROW()-ROW($C$5))*1/6,2)))</f>
        <v>Use of Automotive Care Products</v>
      </c>
      <c r="D92" s="224" t="s">
        <v>109</v>
      </c>
      <c r="E92" s="224" t="s">
        <v>53</v>
      </c>
      <c r="F92" s="225" t="s">
        <v>108</v>
      </c>
      <c r="G92" s="164">
        <f>IF(E92="High-End",SUMIFS(Inhalation_Exp[24hr_High-End],Inhalation_Exp[OES],$C92,Inhalation_Exp[Worker Type],$D92,Inhalation_Exp[Data Type],$F92),SUMIFS(Inhalation_Exp[24hr_Central Tendency],Inhalation_Exp[OES],$C92,Inhalation_Exp[Worker Type],$D92,Inhalation_Exp[Data Type],$F92))</f>
        <v>0</v>
      </c>
      <c r="H92" s="164">
        <f>IF(E92="High-End",SUMIFS(Inhalation_Exp[Int_High-End],Inhalation_Exp[OES],$C92,Inhalation_Exp[Worker Type],$D92,Inhalation_Exp[Data Type],$F92),SUMIFS(Inhalation_Exp[Int_Central Tendency],Inhalation_Exp[OES],$C92,Inhalation_Exp[Worker Type],$D92,Inhalation_Exp[Data Type],$F92))</f>
        <v>0</v>
      </c>
      <c r="I92" s="164">
        <f>IF(E92="High-End",SUMIFS(Inhalation_Exp[ADC_High-End],Inhalation_Exp[OES],$C92,Inhalation_Exp[Worker Type],$D92,Inhalation_Exp[Data Type],$F92),SUMIFS(Inhalation_Exp[ADC_Central Tendency],Inhalation_Exp[OES],$C92,Inhalation_Exp[Worker Type],$D92,Inhalation_Exp[Data Type],$F92))</f>
        <v>0</v>
      </c>
      <c r="J92" s="164" t="e">
        <f>IF(E92="High-End",SUMIFS(#REF!,Inhalation_Exp[OES],$C92,Inhalation_Exp[Worker Type],$D92,Inhalation_Exp[Data Type],$F92),SUMIFS(#REF!,Inhalation_Exp[OES],$C92,Inhalation_Exp[Worker Type],$D92,Inhalation_Exp[Data Type],$F92))</f>
        <v>#REF!</v>
      </c>
      <c r="K92" s="207" t="e">
        <f>IF($E92="High-End",SUMIFS(#REF!,Dermal_Exp[Worker Type],$D92,Dermal_Exp[OES],$C92),SUMIFS(#REF!,Dermal_Exp[Worker Type],$D92,Dermal_Exp[OES],$C92))</f>
        <v>#REF!</v>
      </c>
      <c r="L92" s="207" t="e">
        <f>IF($E92="High-End",SUMIFS(#REF!,Dermal_Exp[Worker Type],$D92,Dermal_Exp[OES],$C92),SUMIFS(#REF!,Dermal_Exp[Worker Type],$D92,Dermal_Exp[OES],$C92))</f>
        <v>#REF!</v>
      </c>
      <c r="M92" s="207" t="e">
        <f>IF($E92="High-End",SUMIFS(#REF!,Dermal_Exp[Worker Type],$D92,Dermal_Exp[OES],$C92),SUMIFS(#REF!,Dermal_Exp[Worker Type],$D92,Dermal_Exp[OES],$C92))</f>
        <v>#REF!</v>
      </c>
      <c r="N92" s="207" t="e">
        <f>IF($E92="High-End",SUMIFS(#REF!,Dermal_Exp[Worker Type],$D92,Dermal_Exp[OES],$C92),SUMIFS(#REF!,Dermal_Exp[Worker Type],$D92,Dermal_Exp[OES],$C92))</f>
        <v>#REF!</v>
      </c>
      <c r="O92" s="226" t="e">
        <f t="shared" si="9"/>
        <v>#REF!</v>
      </c>
      <c r="P92" s="226" t="e">
        <f t="shared" si="6"/>
        <v>#REF!</v>
      </c>
      <c r="Q92" s="226" t="e">
        <f t="shared" si="7"/>
        <v>#REF!</v>
      </c>
      <c r="R92" s="226" t="e">
        <f t="shared" si="8"/>
        <v>#REF!</v>
      </c>
      <c r="AF92" s="14"/>
      <c r="AG92" s="14"/>
      <c r="AH92" s="14"/>
      <c r="AI92" s="14"/>
      <c r="AJ92" s="14"/>
      <c r="AK92" s="14"/>
      <c r="AL92" s="14"/>
    </row>
    <row r="93" spans="3:38" x14ac:dyDescent="0.35">
      <c r="C93" s="224" t="str" cm="1">
        <f t="array" ref="C93">INDEX('List Values'!$B$2:$B$21,(1+ROUNDDOWN((ROW()-ROW($C$5))*1/6,2)))</f>
        <v>Use of Automotive Care Products</v>
      </c>
      <c r="D93" s="224" t="s">
        <v>54</v>
      </c>
      <c r="E93" s="224" t="s">
        <v>52</v>
      </c>
      <c r="F93" s="225" t="s">
        <v>108</v>
      </c>
      <c r="G93" s="164">
        <f>IF(E93="High-End",SUMIFS(Inhalation_Exp[24hr_High-End],Inhalation_Exp[OES],$C93,Inhalation_Exp[Worker Type],$D93,Inhalation_Exp[Data Type],$F93),SUMIFS(Inhalation_Exp[24hr_Central Tendency],Inhalation_Exp[OES],$C93,Inhalation_Exp[Worker Type],$D93,Inhalation_Exp[Data Type],$F93))</f>
        <v>0</v>
      </c>
      <c r="H93" s="164">
        <f>IF(E93="High-End",SUMIFS(Inhalation_Exp[Int_High-End],Inhalation_Exp[OES],$C93,Inhalation_Exp[Worker Type],$D93,Inhalation_Exp[Data Type],$F93),SUMIFS(Inhalation_Exp[Int_Central Tendency],Inhalation_Exp[OES],$C93,Inhalation_Exp[Worker Type],$D93,Inhalation_Exp[Data Type],$F93))</f>
        <v>0</v>
      </c>
      <c r="I93" s="164">
        <f>IF(E93="High-End",SUMIFS(Inhalation_Exp[ADC_High-End],Inhalation_Exp[OES],$C93,Inhalation_Exp[Worker Type],$D93,Inhalation_Exp[Data Type],$F93),SUMIFS(Inhalation_Exp[ADC_Central Tendency],Inhalation_Exp[OES],$C93,Inhalation_Exp[Worker Type],$D93,Inhalation_Exp[Data Type],$F93))</f>
        <v>0</v>
      </c>
      <c r="J93" s="164" t="e">
        <f>IF(E93="High-End",SUMIFS(#REF!,Inhalation_Exp[OES],$C93,Inhalation_Exp[Worker Type],$D93,Inhalation_Exp[Data Type],$F93),SUMIFS(#REF!,Inhalation_Exp[OES],$C93,Inhalation_Exp[Worker Type],$D93,Inhalation_Exp[Data Type],$F93))</f>
        <v>#REF!</v>
      </c>
      <c r="K93" s="207" t="e">
        <f>IF($E93="High-End",SUMIFS(#REF!,Dermal_Exp[Worker Type],$D93,Dermal_Exp[OES],$C93),SUMIFS(#REF!,Dermal_Exp[Worker Type],$D93,Dermal_Exp[OES],$C93))</f>
        <v>#REF!</v>
      </c>
      <c r="L93" s="207" t="e">
        <f>IF($E93="High-End",SUMIFS(#REF!,Dermal_Exp[Worker Type],$D93,Dermal_Exp[OES],$C93),SUMIFS(#REF!,Dermal_Exp[Worker Type],$D93,Dermal_Exp[OES],$C93))</f>
        <v>#REF!</v>
      </c>
      <c r="M93" s="207" t="e">
        <f>IF($E93="High-End",SUMIFS(#REF!,Dermal_Exp[Worker Type],$D93,Dermal_Exp[OES],$C93),SUMIFS(#REF!,Dermal_Exp[Worker Type],$D93,Dermal_Exp[OES],$C93))</f>
        <v>#REF!</v>
      </c>
      <c r="N93" s="207" t="e">
        <f>IF($E93="High-End",SUMIFS(#REF!,Dermal_Exp[Worker Type],$D93,Dermal_Exp[OES],$C93),SUMIFS(#REF!,Dermal_Exp[Worker Type],$D93,Dermal_Exp[OES],$C93))</f>
        <v>#REF!</v>
      </c>
      <c r="O93" s="226" t="e">
        <f t="shared" si="9"/>
        <v>#REF!</v>
      </c>
      <c r="P93" s="226" t="e">
        <f t="shared" si="6"/>
        <v>#REF!</v>
      </c>
      <c r="Q93" s="226" t="e">
        <f t="shared" si="7"/>
        <v>#REF!</v>
      </c>
      <c r="R93" s="226" t="e">
        <f t="shared" si="8"/>
        <v>#REF!</v>
      </c>
      <c r="AF93" s="14"/>
      <c r="AG93" s="14"/>
      <c r="AH93" s="14"/>
      <c r="AI93" s="14"/>
      <c r="AJ93" s="14"/>
      <c r="AK93" s="14"/>
      <c r="AL93" s="14"/>
    </row>
    <row r="94" spans="3:38" x14ac:dyDescent="0.35">
      <c r="C94" s="224" t="str" cm="1">
        <f t="array" ref="C94">INDEX('List Values'!$B$2:$B$21,(1+ROUNDDOWN((ROW()-ROW($C$5))*1/6,2)))</f>
        <v>Use of Automotive Care Products</v>
      </c>
      <c r="D94" s="224" t="s">
        <v>54</v>
      </c>
      <c r="E94" s="224" t="s">
        <v>53</v>
      </c>
      <c r="F94" s="225" t="s">
        <v>108</v>
      </c>
      <c r="G94" s="164">
        <f>IF(E94="High-End",SUMIFS(Inhalation_Exp[24hr_High-End],Inhalation_Exp[OES],$C94,Inhalation_Exp[Worker Type],$D94,Inhalation_Exp[Data Type],$F94),SUMIFS(Inhalation_Exp[24hr_Central Tendency],Inhalation_Exp[OES],$C94,Inhalation_Exp[Worker Type],$D94,Inhalation_Exp[Data Type],$F94))</f>
        <v>0</v>
      </c>
      <c r="H94" s="164">
        <f>IF(E94="High-End",SUMIFS(Inhalation_Exp[Int_High-End],Inhalation_Exp[OES],$C94,Inhalation_Exp[Worker Type],$D94,Inhalation_Exp[Data Type],$F94),SUMIFS(Inhalation_Exp[Int_Central Tendency],Inhalation_Exp[OES],$C94,Inhalation_Exp[Worker Type],$D94,Inhalation_Exp[Data Type],$F94))</f>
        <v>0</v>
      </c>
      <c r="I94" s="164">
        <f>IF(E94="High-End",SUMIFS(Inhalation_Exp[ADC_High-End],Inhalation_Exp[OES],$C94,Inhalation_Exp[Worker Type],$D94,Inhalation_Exp[Data Type],$F94),SUMIFS(Inhalation_Exp[ADC_Central Tendency],Inhalation_Exp[OES],$C94,Inhalation_Exp[Worker Type],$D94,Inhalation_Exp[Data Type],$F94))</f>
        <v>0</v>
      </c>
      <c r="J94" s="164" t="e">
        <f>IF(E94="High-End",SUMIFS(#REF!,Inhalation_Exp[OES],$C94,Inhalation_Exp[Worker Type],$D94,Inhalation_Exp[Data Type],$F94),SUMIFS(#REF!,Inhalation_Exp[OES],$C94,Inhalation_Exp[Worker Type],$D94,Inhalation_Exp[Data Type],$F94))</f>
        <v>#REF!</v>
      </c>
      <c r="K94" s="207" t="e">
        <f>IF($E94="High-End",SUMIFS(#REF!,Dermal_Exp[Worker Type],$D94,Dermal_Exp[OES],$C94),SUMIFS(#REF!,Dermal_Exp[Worker Type],$D94,Dermal_Exp[OES],$C94))</f>
        <v>#REF!</v>
      </c>
      <c r="L94" s="207" t="e">
        <f>IF($E94="High-End",SUMIFS(#REF!,Dermal_Exp[Worker Type],$D94,Dermal_Exp[OES],$C94),SUMIFS(#REF!,Dermal_Exp[Worker Type],$D94,Dermal_Exp[OES],$C94))</f>
        <v>#REF!</v>
      </c>
      <c r="M94" s="207" t="e">
        <f>IF($E94="High-End",SUMIFS(#REF!,Dermal_Exp[Worker Type],$D94,Dermal_Exp[OES],$C94),SUMIFS(#REF!,Dermal_Exp[Worker Type],$D94,Dermal_Exp[OES],$C94))</f>
        <v>#REF!</v>
      </c>
      <c r="N94" s="207" t="e">
        <f>IF($E94="High-End",SUMIFS(#REF!,Dermal_Exp[Worker Type],$D94,Dermal_Exp[OES],$C94),SUMIFS(#REF!,Dermal_Exp[Worker Type],$D94,Dermal_Exp[OES],$C94))</f>
        <v>#REF!</v>
      </c>
      <c r="O94" s="226" t="e">
        <f t="shared" si="9"/>
        <v>#REF!</v>
      </c>
      <c r="P94" s="226" t="e">
        <f t="shared" si="6"/>
        <v>#REF!</v>
      </c>
      <c r="Q94" s="226" t="e">
        <f t="shared" si="7"/>
        <v>#REF!</v>
      </c>
      <c r="R94" s="226" t="e">
        <f t="shared" si="8"/>
        <v>#REF!</v>
      </c>
      <c r="AF94" s="14"/>
      <c r="AG94" s="14"/>
      <c r="AH94" s="14"/>
      <c r="AI94" s="14"/>
      <c r="AJ94" s="14"/>
      <c r="AK94" s="14"/>
      <c r="AL94" s="14"/>
    </row>
    <row r="95" spans="3:38" x14ac:dyDescent="0.35">
      <c r="C95" s="224" t="str" cm="1">
        <f t="array" ref="C95">INDEX('List Values'!$B$2:$B$21,(1+ROUNDDOWN((ROW()-ROW($C$5))*1/6,2)))</f>
        <v>Use of Aicraft Maintenance Products (Penetrant)</v>
      </c>
      <c r="D95" s="224" t="s">
        <v>34</v>
      </c>
      <c r="E95" s="218" t="s">
        <v>52</v>
      </c>
      <c r="F95" s="225" t="s">
        <v>108</v>
      </c>
      <c r="G95" s="164">
        <f>IF(E95="High-End",SUMIFS(Inhalation_Exp[24hr_High-End],Inhalation_Exp[OES],$C95,Inhalation_Exp[Worker Type],$D95,Inhalation_Exp[Data Type],$F95),SUMIFS(Inhalation_Exp[24hr_Central Tendency],Inhalation_Exp[OES],$C95,Inhalation_Exp[Worker Type],$D95,Inhalation_Exp[Data Type],$F95))</f>
        <v>0</v>
      </c>
      <c r="H95" s="164">
        <f>IF(E95="High-End",SUMIFS(Inhalation_Exp[Int_High-End],Inhalation_Exp[OES],$C95,Inhalation_Exp[Worker Type],$D95,Inhalation_Exp[Data Type],$F95),SUMIFS(Inhalation_Exp[Int_Central Tendency],Inhalation_Exp[OES],$C95,Inhalation_Exp[Worker Type],$D95,Inhalation_Exp[Data Type],$F95))</f>
        <v>0</v>
      </c>
      <c r="I95" s="164">
        <f>IF(E95="High-End",SUMIFS(Inhalation_Exp[ADC_High-End],Inhalation_Exp[OES],$C95,Inhalation_Exp[Worker Type],$D95,Inhalation_Exp[Data Type],$F95),SUMIFS(Inhalation_Exp[ADC_Central Tendency],Inhalation_Exp[OES],$C95,Inhalation_Exp[Worker Type],$D95,Inhalation_Exp[Data Type],$F95))</f>
        <v>0</v>
      </c>
      <c r="J95" s="164" t="e">
        <f>IF(E95="High-End",SUMIFS(#REF!,Inhalation_Exp[OES],$C95,Inhalation_Exp[Worker Type],$D95,Inhalation_Exp[Data Type],$F95),SUMIFS(#REF!,Inhalation_Exp[OES],$C95,Inhalation_Exp[Worker Type],$D95,Inhalation_Exp[Data Type],$F95))</f>
        <v>#REF!</v>
      </c>
      <c r="K95" s="207" t="e">
        <f>IF($E95="High-End",SUMIFS(#REF!,Dermal_Exp[Worker Type],$D95,Dermal_Exp[OES],$C95),SUMIFS(#REF!,Dermal_Exp[Worker Type],$D95,Dermal_Exp[OES],$C95))</f>
        <v>#REF!</v>
      </c>
      <c r="L95" s="207" t="e">
        <f>IF($E95="High-End",SUMIFS(#REF!,Dermal_Exp[Worker Type],$D95,Dermal_Exp[OES],$C95),SUMIFS(#REF!,Dermal_Exp[Worker Type],$D95,Dermal_Exp[OES],$C95))</f>
        <v>#REF!</v>
      </c>
      <c r="M95" s="207" t="e">
        <f>IF($E95="High-End",SUMIFS(#REF!,Dermal_Exp[Worker Type],$D95,Dermal_Exp[OES],$C95),SUMIFS(#REF!,Dermal_Exp[Worker Type],$D95,Dermal_Exp[OES],$C95))</f>
        <v>#REF!</v>
      </c>
      <c r="N95" s="207" t="e">
        <f>IF($E95="High-End",SUMIFS(#REF!,Dermal_Exp[Worker Type],$D95,Dermal_Exp[OES],$C95),SUMIFS(#REF!,Dermal_Exp[Worker Type],$D95,Dermal_Exp[OES],$C95))</f>
        <v>#REF!</v>
      </c>
      <c r="O95" s="226" t="e">
        <f t="shared" si="9"/>
        <v>#REF!</v>
      </c>
      <c r="P95" s="226" t="e">
        <f t="shared" si="6"/>
        <v>#REF!</v>
      </c>
      <c r="Q95" s="226" t="e">
        <f t="shared" si="7"/>
        <v>#REF!</v>
      </c>
      <c r="R95" s="226" t="e">
        <f t="shared" si="8"/>
        <v>#REF!</v>
      </c>
      <c r="AF95" s="14"/>
      <c r="AG95" s="14"/>
      <c r="AH95" s="14"/>
      <c r="AI95" s="14"/>
      <c r="AJ95" s="14"/>
      <c r="AK95" s="14"/>
      <c r="AL95" s="14"/>
    </row>
    <row r="96" spans="3:38" x14ac:dyDescent="0.35">
      <c r="C96" s="224" t="str" cm="1">
        <f t="array" ref="C96">INDEX('List Values'!$B$2:$B$21,(1+ROUNDDOWN((ROW()-ROW($C$5))*1/6,2)))</f>
        <v>Use of Aicraft Maintenance Products (Penetrant)</v>
      </c>
      <c r="D96" s="224" t="s">
        <v>34</v>
      </c>
      <c r="E96" s="224" t="s">
        <v>53</v>
      </c>
      <c r="F96" s="225" t="s">
        <v>108</v>
      </c>
      <c r="G96" s="164">
        <f>IF(E96="High-End",SUMIFS(Inhalation_Exp[24hr_High-End],Inhalation_Exp[OES],$C96,Inhalation_Exp[Worker Type],$D96,Inhalation_Exp[Data Type],$F96),SUMIFS(Inhalation_Exp[24hr_Central Tendency],Inhalation_Exp[OES],$C96,Inhalation_Exp[Worker Type],$D96,Inhalation_Exp[Data Type],$F96))</f>
        <v>0</v>
      </c>
      <c r="H96" s="164">
        <f>IF(E96="High-End",SUMIFS(Inhalation_Exp[Int_High-End],Inhalation_Exp[OES],$C96,Inhalation_Exp[Worker Type],$D96,Inhalation_Exp[Data Type],$F96),SUMIFS(Inhalation_Exp[Int_Central Tendency],Inhalation_Exp[OES],$C96,Inhalation_Exp[Worker Type],$D96,Inhalation_Exp[Data Type],$F96))</f>
        <v>0</v>
      </c>
      <c r="I96" s="164">
        <f>IF(E96="High-End",SUMIFS(Inhalation_Exp[ADC_High-End],Inhalation_Exp[OES],$C96,Inhalation_Exp[Worker Type],$D96,Inhalation_Exp[Data Type],$F96),SUMIFS(Inhalation_Exp[ADC_Central Tendency],Inhalation_Exp[OES],$C96,Inhalation_Exp[Worker Type],$D96,Inhalation_Exp[Data Type],$F96))</f>
        <v>0</v>
      </c>
      <c r="J96" s="164" t="e">
        <f>IF(E96="High-End",SUMIFS(#REF!,Inhalation_Exp[OES],$C96,Inhalation_Exp[Worker Type],$D96,Inhalation_Exp[Data Type],$F96),SUMIFS(#REF!,Inhalation_Exp[OES],$C96,Inhalation_Exp[Worker Type],$D96,Inhalation_Exp[Data Type],$F96))</f>
        <v>#REF!</v>
      </c>
      <c r="K96" s="207" t="e">
        <f>IF($E96="High-End",SUMIFS(#REF!,Dermal_Exp[Worker Type],$D96,Dermal_Exp[OES],$C96),SUMIFS(#REF!,Dermal_Exp[Worker Type],$D96,Dermal_Exp[OES],$C96))</f>
        <v>#REF!</v>
      </c>
      <c r="L96" s="207" t="e">
        <f>IF($E96="High-End",SUMIFS(#REF!,Dermal_Exp[Worker Type],$D96,Dermal_Exp[OES],$C96),SUMIFS(#REF!,Dermal_Exp[Worker Type],$D96,Dermal_Exp[OES],$C96))</f>
        <v>#REF!</v>
      </c>
      <c r="M96" s="207" t="e">
        <f>IF($E96="High-End",SUMIFS(#REF!,Dermal_Exp[Worker Type],$D96,Dermal_Exp[OES],$C96),SUMIFS(#REF!,Dermal_Exp[Worker Type],$D96,Dermal_Exp[OES],$C96))</f>
        <v>#REF!</v>
      </c>
      <c r="N96" s="207" t="e">
        <f>IF($E96="High-End",SUMIFS(#REF!,Dermal_Exp[Worker Type],$D96,Dermal_Exp[OES],$C96),SUMIFS(#REF!,Dermal_Exp[Worker Type],$D96,Dermal_Exp[OES],$C96))</f>
        <v>#REF!</v>
      </c>
      <c r="O96" s="226" t="e">
        <f t="shared" si="9"/>
        <v>#REF!</v>
      </c>
      <c r="P96" s="226" t="e">
        <f t="shared" si="6"/>
        <v>#REF!</v>
      </c>
      <c r="Q96" s="226" t="e">
        <f t="shared" si="7"/>
        <v>#REF!</v>
      </c>
      <c r="R96" s="226" t="e">
        <f t="shared" si="8"/>
        <v>#REF!</v>
      </c>
      <c r="AF96" s="14"/>
      <c r="AG96" s="14"/>
      <c r="AH96" s="14"/>
      <c r="AI96" s="14"/>
      <c r="AJ96" s="14"/>
      <c r="AK96" s="14"/>
      <c r="AL96" s="14"/>
    </row>
    <row r="97" spans="3:38" x14ac:dyDescent="0.35">
      <c r="C97" s="224" t="str" cm="1">
        <f t="array" ref="C97">INDEX('List Values'!$B$2:$B$21,(1+ROUNDDOWN((ROW()-ROW($C$5))*1/6,2)))</f>
        <v>Use of Aicraft Maintenance Products (Penetrant)</v>
      </c>
      <c r="D97" s="224" t="s">
        <v>109</v>
      </c>
      <c r="E97" s="224" t="s">
        <v>52</v>
      </c>
      <c r="F97" s="225" t="s">
        <v>108</v>
      </c>
      <c r="G97" s="164">
        <f>IF(E97="High-End",SUMIFS(Inhalation_Exp[24hr_High-End],Inhalation_Exp[OES],$C97,Inhalation_Exp[Worker Type],$D97,Inhalation_Exp[Data Type],$F97),SUMIFS(Inhalation_Exp[24hr_Central Tendency],Inhalation_Exp[OES],$C97,Inhalation_Exp[Worker Type],$D97,Inhalation_Exp[Data Type],$F97))</f>
        <v>0</v>
      </c>
      <c r="H97" s="164">
        <f>IF(E97="High-End",SUMIFS(Inhalation_Exp[Int_High-End],Inhalation_Exp[OES],$C97,Inhalation_Exp[Worker Type],$D97,Inhalation_Exp[Data Type],$F97),SUMIFS(Inhalation_Exp[Int_Central Tendency],Inhalation_Exp[OES],$C97,Inhalation_Exp[Worker Type],$D97,Inhalation_Exp[Data Type],$F97))</f>
        <v>0</v>
      </c>
      <c r="I97" s="164">
        <f>IF(E97="High-End",SUMIFS(Inhalation_Exp[ADC_High-End],Inhalation_Exp[OES],$C97,Inhalation_Exp[Worker Type],$D97,Inhalation_Exp[Data Type],$F97),SUMIFS(Inhalation_Exp[ADC_Central Tendency],Inhalation_Exp[OES],$C97,Inhalation_Exp[Worker Type],$D97,Inhalation_Exp[Data Type],$F97))</f>
        <v>0</v>
      </c>
      <c r="J97" s="164" t="e">
        <f>IF(E97="High-End",SUMIFS(#REF!,Inhalation_Exp[OES],$C97,Inhalation_Exp[Worker Type],$D97,Inhalation_Exp[Data Type],$F97),SUMIFS(#REF!,Inhalation_Exp[OES],$C97,Inhalation_Exp[Worker Type],$D97,Inhalation_Exp[Data Type],$F97))</f>
        <v>#REF!</v>
      </c>
      <c r="K97" s="207" t="e">
        <f>IF($E97="High-End",SUMIFS(#REF!,Dermal_Exp[Worker Type],$D97,Dermal_Exp[OES],$C97),SUMIFS(#REF!,Dermal_Exp[Worker Type],$D97,Dermal_Exp[OES],$C97))</f>
        <v>#REF!</v>
      </c>
      <c r="L97" s="207" t="e">
        <f>IF($E97="High-End",SUMIFS(#REF!,Dermal_Exp[Worker Type],$D97,Dermal_Exp[OES],$C97),SUMIFS(#REF!,Dermal_Exp[Worker Type],$D97,Dermal_Exp[OES],$C97))</f>
        <v>#REF!</v>
      </c>
      <c r="M97" s="207" t="e">
        <f>IF($E97="High-End",SUMIFS(#REF!,Dermal_Exp[Worker Type],$D97,Dermal_Exp[OES],$C97),SUMIFS(#REF!,Dermal_Exp[Worker Type],$D97,Dermal_Exp[OES],$C97))</f>
        <v>#REF!</v>
      </c>
      <c r="N97" s="207" t="e">
        <f>IF($E97="High-End",SUMIFS(#REF!,Dermal_Exp[Worker Type],$D97,Dermal_Exp[OES],$C97),SUMIFS(#REF!,Dermal_Exp[Worker Type],$D97,Dermal_Exp[OES],$C97))</f>
        <v>#REF!</v>
      </c>
      <c r="O97" s="226" t="e">
        <f t="shared" si="9"/>
        <v>#REF!</v>
      </c>
      <c r="P97" s="226" t="e">
        <f t="shared" si="6"/>
        <v>#REF!</v>
      </c>
      <c r="Q97" s="226" t="e">
        <f t="shared" si="7"/>
        <v>#REF!</v>
      </c>
      <c r="R97" s="226" t="e">
        <f t="shared" si="8"/>
        <v>#REF!</v>
      </c>
      <c r="AF97" s="14"/>
      <c r="AG97" s="14"/>
      <c r="AH97" s="14"/>
      <c r="AI97" s="14"/>
      <c r="AJ97" s="14"/>
      <c r="AK97" s="14"/>
      <c r="AL97" s="14"/>
    </row>
    <row r="98" spans="3:38" x14ac:dyDescent="0.35">
      <c r="C98" s="224" t="str" cm="1">
        <f t="array" ref="C98">INDEX('List Values'!$B$2:$B$21,(1+ROUNDDOWN((ROW()-ROW($C$5))*1/6,2)))</f>
        <v>Use of Aicraft Maintenance Products (Penetrant)</v>
      </c>
      <c r="D98" s="224" t="s">
        <v>109</v>
      </c>
      <c r="E98" s="224" t="s">
        <v>53</v>
      </c>
      <c r="F98" s="225" t="s">
        <v>108</v>
      </c>
      <c r="G98" s="164">
        <f>IF(E98="High-End",SUMIFS(Inhalation_Exp[24hr_High-End],Inhalation_Exp[OES],$C98,Inhalation_Exp[Worker Type],$D98,Inhalation_Exp[Data Type],$F98),SUMIFS(Inhalation_Exp[24hr_Central Tendency],Inhalation_Exp[OES],$C98,Inhalation_Exp[Worker Type],$D98,Inhalation_Exp[Data Type],$F98))</f>
        <v>0</v>
      </c>
      <c r="H98" s="164">
        <f>IF(E98="High-End",SUMIFS(Inhalation_Exp[Int_High-End],Inhalation_Exp[OES],$C98,Inhalation_Exp[Worker Type],$D98,Inhalation_Exp[Data Type],$F98),SUMIFS(Inhalation_Exp[Int_Central Tendency],Inhalation_Exp[OES],$C98,Inhalation_Exp[Worker Type],$D98,Inhalation_Exp[Data Type],$F98))</f>
        <v>0</v>
      </c>
      <c r="I98" s="164">
        <f>IF(E98="High-End",SUMIFS(Inhalation_Exp[ADC_High-End],Inhalation_Exp[OES],$C98,Inhalation_Exp[Worker Type],$D98,Inhalation_Exp[Data Type],$F98),SUMIFS(Inhalation_Exp[ADC_Central Tendency],Inhalation_Exp[OES],$C98,Inhalation_Exp[Worker Type],$D98,Inhalation_Exp[Data Type],$F98))</f>
        <v>0</v>
      </c>
      <c r="J98" s="164" t="e">
        <f>IF(E98="High-End",SUMIFS(#REF!,Inhalation_Exp[OES],$C98,Inhalation_Exp[Worker Type],$D98,Inhalation_Exp[Data Type],$F98),SUMIFS(#REF!,Inhalation_Exp[OES],$C98,Inhalation_Exp[Worker Type],$D98,Inhalation_Exp[Data Type],$F98))</f>
        <v>#REF!</v>
      </c>
      <c r="K98" s="207" t="e">
        <f>IF($E98="High-End",SUMIFS(#REF!,Dermal_Exp[Worker Type],$D98,Dermal_Exp[OES],$C98),SUMIFS(#REF!,Dermal_Exp[Worker Type],$D98,Dermal_Exp[OES],$C98))</f>
        <v>#REF!</v>
      </c>
      <c r="L98" s="207" t="e">
        <f>IF($E98="High-End",SUMIFS(#REF!,Dermal_Exp[Worker Type],$D98,Dermal_Exp[OES],$C98),SUMIFS(#REF!,Dermal_Exp[Worker Type],$D98,Dermal_Exp[OES],$C98))</f>
        <v>#REF!</v>
      </c>
      <c r="M98" s="207" t="e">
        <f>IF($E98="High-End",SUMIFS(#REF!,Dermal_Exp[Worker Type],$D98,Dermal_Exp[OES],$C98),SUMIFS(#REF!,Dermal_Exp[Worker Type],$D98,Dermal_Exp[OES],$C98))</f>
        <v>#REF!</v>
      </c>
      <c r="N98" s="207" t="e">
        <f>IF($E98="High-End",SUMIFS(#REF!,Dermal_Exp[Worker Type],$D98,Dermal_Exp[OES],$C98),SUMIFS(#REF!,Dermal_Exp[Worker Type],$D98,Dermal_Exp[OES],$C98))</f>
        <v>#REF!</v>
      </c>
      <c r="O98" s="226" t="e">
        <f t="shared" si="9"/>
        <v>#REF!</v>
      </c>
      <c r="P98" s="226" t="e">
        <f t="shared" si="6"/>
        <v>#REF!</v>
      </c>
      <c r="Q98" s="226" t="e">
        <f t="shared" si="7"/>
        <v>#REF!</v>
      </c>
      <c r="R98" s="226" t="e">
        <f t="shared" si="8"/>
        <v>#REF!</v>
      </c>
      <c r="AF98" s="14"/>
      <c r="AG98" s="14"/>
      <c r="AH98" s="14"/>
      <c r="AI98" s="14"/>
      <c r="AJ98" s="14"/>
      <c r="AK98" s="14"/>
      <c r="AL98" s="14"/>
    </row>
    <row r="99" spans="3:38" x14ac:dyDescent="0.35">
      <c r="C99" s="224" t="str" cm="1">
        <f t="array" ref="C99">INDEX('List Values'!$B$2:$B$21,(1+ROUNDDOWN((ROW()-ROW($C$5))*1/6,2)))</f>
        <v>Use of Aicraft Maintenance Products (Penetrant)</v>
      </c>
      <c r="D99" s="224" t="s">
        <v>54</v>
      </c>
      <c r="E99" s="224" t="s">
        <v>52</v>
      </c>
      <c r="F99" s="225" t="s">
        <v>108</v>
      </c>
      <c r="G99" s="164">
        <f>IF(E99="High-End",SUMIFS(Inhalation_Exp[24hr_High-End],Inhalation_Exp[OES],$C99,Inhalation_Exp[Worker Type],$D99,Inhalation_Exp[Data Type],$F99),SUMIFS(Inhalation_Exp[24hr_Central Tendency],Inhalation_Exp[OES],$C99,Inhalation_Exp[Worker Type],$D99,Inhalation_Exp[Data Type],$F99))</f>
        <v>0</v>
      </c>
      <c r="H99" s="164">
        <f>IF(E99="High-End",SUMIFS(Inhalation_Exp[Int_High-End],Inhalation_Exp[OES],$C99,Inhalation_Exp[Worker Type],$D99,Inhalation_Exp[Data Type],$F99),SUMIFS(Inhalation_Exp[Int_Central Tendency],Inhalation_Exp[OES],$C99,Inhalation_Exp[Worker Type],$D99,Inhalation_Exp[Data Type],$F99))</f>
        <v>0</v>
      </c>
      <c r="I99" s="164">
        <f>IF(E99="High-End",SUMIFS(Inhalation_Exp[ADC_High-End],Inhalation_Exp[OES],$C99,Inhalation_Exp[Worker Type],$D99,Inhalation_Exp[Data Type],$F99),SUMIFS(Inhalation_Exp[ADC_Central Tendency],Inhalation_Exp[OES],$C99,Inhalation_Exp[Worker Type],$D99,Inhalation_Exp[Data Type],$F99))</f>
        <v>0</v>
      </c>
      <c r="J99" s="164" t="e">
        <f>IF(E99="High-End",SUMIFS(#REF!,Inhalation_Exp[OES],$C99,Inhalation_Exp[Worker Type],$D99,Inhalation_Exp[Data Type],$F99),SUMIFS(#REF!,Inhalation_Exp[OES],$C99,Inhalation_Exp[Worker Type],$D99,Inhalation_Exp[Data Type],$F99))</f>
        <v>#REF!</v>
      </c>
      <c r="K99" s="207" t="e">
        <f>IF($E99="High-End",SUMIFS(#REF!,Dermal_Exp[Worker Type],$D99,Dermal_Exp[OES],$C99),SUMIFS(#REF!,Dermal_Exp[Worker Type],$D99,Dermal_Exp[OES],$C99))</f>
        <v>#REF!</v>
      </c>
      <c r="L99" s="207" t="e">
        <f>IF($E99="High-End",SUMIFS(#REF!,Dermal_Exp[Worker Type],$D99,Dermal_Exp[OES],$C99),SUMIFS(#REF!,Dermal_Exp[Worker Type],$D99,Dermal_Exp[OES],$C99))</f>
        <v>#REF!</v>
      </c>
      <c r="M99" s="207" t="e">
        <f>IF($E99="High-End",SUMIFS(#REF!,Dermal_Exp[Worker Type],$D99,Dermal_Exp[OES],$C99),SUMIFS(#REF!,Dermal_Exp[Worker Type],$D99,Dermal_Exp[OES],$C99))</f>
        <v>#REF!</v>
      </c>
      <c r="N99" s="207" t="e">
        <f>IF($E99="High-End",SUMIFS(#REF!,Dermal_Exp[Worker Type],$D99,Dermal_Exp[OES],$C99),SUMIFS(#REF!,Dermal_Exp[Worker Type],$D99,Dermal_Exp[OES],$C99))</f>
        <v>#REF!</v>
      </c>
      <c r="O99" s="226" t="e">
        <f t="shared" si="9"/>
        <v>#REF!</v>
      </c>
      <c r="P99" s="226" t="e">
        <f t="shared" si="6"/>
        <v>#REF!</v>
      </c>
      <c r="Q99" s="226" t="e">
        <f t="shared" si="7"/>
        <v>#REF!</v>
      </c>
      <c r="R99" s="226" t="e">
        <f t="shared" si="8"/>
        <v>#REF!</v>
      </c>
      <c r="AF99" s="14"/>
      <c r="AG99" s="14"/>
      <c r="AH99" s="14"/>
      <c r="AI99" s="14"/>
      <c r="AJ99" s="14"/>
      <c r="AK99" s="14"/>
      <c r="AL99" s="14"/>
    </row>
    <row r="100" spans="3:38" x14ac:dyDescent="0.35">
      <c r="C100" s="224" t="str" cm="1">
        <f t="array" ref="C100">INDEX('List Values'!$B$2:$B$21,(1+ROUNDDOWN((ROW()-ROW($C$5))*1/6,2)))</f>
        <v>Use of Aicraft Maintenance Products (Penetrant)</v>
      </c>
      <c r="D100" s="224" t="s">
        <v>54</v>
      </c>
      <c r="E100" s="224" t="s">
        <v>53</v>
      </c>
      <c r="F100" s="225" t="s">
        <v>108</v>
      </c>
      <c r="G100" s="164">
        <f>IF(E100="High-End",SUMIFS(Inhalation_Exp[24hr_High-End],Inhalation_Exp[OES],$C100,Inhalation_Exp[Worker Type],$D100,Inhalation_Exp[Data Type],$F100),SUMIFS(Inhalation_Exp[24hr_Central Tendency],Inhalation_Exp[OES],$C100,Inhalation_Exp[Worker Type],$D100,Inhalation_Exp[Data Type],$F100))</f>
        <v>0</v>
      </c>
      <c r="H100" s="164">
        <f>IF(E100="High-End",SUMIFS(Inhalation_Exp[Int_High-End],Inhalation_Exp[OES],$C100,Inhalation_Exp[Worker Type],$D100,Inhalation_Exp[Data Type],$F100),SUMIFS(Inhalation_Exp[Int_Central Tendency],Inhalation_Exp[OES],$C100,Inhalation_Exp[Worker Type],$D100,Inhalation_Exp[Data Type],$F100))</f>
        <v>0</v>
      </c>
      <c r="I100" s="164">
        <f>IF(E100="High-End",SUMIFS(Inhalation_Exp[ADC_High-End],Inhalation_Exp[OES],$C100,Inhalation_Exp[Worker Type],$D100,Inhalation_Exp[Data Type],$F100),SUMIFS(Inhalation_Exp[ADC_Central Tendency],Inhalation_Exp[OES],$C100,Inhalation_Exp[Worker Type],$D100,Inhalation_Exp[Data Type],$F100))</f>
        <v>0</v>
      </c>
      <c r="J100" s="164" t="e">
        <f>IF(E100="High-End",SUMIFS(#REF!,Inhalation_Exp[OES],$C100,Inhalation_Exp[Worker Type],$D100,Inhalation_Exp[Data Type],$F100),SUMIFS(#REF!,Inhalation_Exp[OES],$C100,Inhalation_Exp[Worker Type],$D100,Inhalation_Exp[Data Type],$F100))</f>
        <v>#REF!</v>
      </c>
      <c r="K100" s="207" t="e">
        <f>IF($E100="High-End",SUMIFS(#REF!,Dermal_Exp[Worker Type],$D100,Dermal_Exp[OES],$C100),SUMIFS(#REF!,Dermal_Exp[Worker Type],$D100,Dermal_Exp[OES],$C100))</f>
        <v>#REF!</v>
      </c>
      <c r="L100" s="207" t="e">
        <f>IF($E100="High-End",SUMIFS(#REF!,Dermal_Exp[Worker Type],$D100,Dermal_Exp[OES],$C100),SUMIFS(#REF!,Dermal_Exp[Worker Type],$D100,Dermal_Exp[OES],$C100))</f>
        <v>#REF!</v>
      </c>
      <c r="M100" s="207" t="e">
        <f>IF($E100="High-End",SUMIFS(#REF!,Dermal_Exp[Worker Type],$D100,Dermal_Exp[OES],$C100),SUMIFS(#REF!,Dermal_Exp[Worker Type],$D100,Dermal_Exp[OES],$C100))</f>
        <v>#REF!</v>
      </c>
      <c r="N100" s="207" t="e">
        <f>IF($E100="High-End",SUMIFS(#REF!,Dermal_Exp[Worker Type],$D100,Dermal_Exp[OES],$C100),SUMIFS(#REF!,Dermal_Exp[Worker Type],$D100,Dermal_Exp[OES],$C100))</f>
        <v>#REF!</v>
      </c>
      <c r="O100" s="226" t="e">
        <f t="shared" si="9"/>
        <v>#REF!</v>
      </c>
      <c r="P100" s="226" t="e">
        <f t="shared" si="6"/>
        <v>#REF!</v>
      </c>
      <c r="Q100" s="226" t="e">
        <f t="shared" si="7"/>
        <v>#REF!</v>
      </c>
      <c r="R100" s="226" t="e">
        <f t="shared" si="8"/>
        <v>#REF!</v>
      </c>
      <c r="AF100" s="14"/>
      <c r="AG100" s="14"/>
      <c r="AH100" s="14"/>
      <c r="AI100" s="14"/>
      <c r="AJ100" s="14"/>
      <c r="AK100" s="14"/>
      <c r="AL100" s="14"/>
    </row>
    <row r="101" spans="3:38" x14ac:dyDescent="0.35">
      <c r="C101" s="224" t="str" cm="1">
        <f t="array" ref="C101">INDEX('List Values'!$B$2:$B$21,(1+ROUNDDOWN((ROW()-ROW($C$5))*1/6,2)))</f>
        <v>Use of Aircraft Maintenance Products (Cold Cleaning)</v>
      </c>
      <c r="D101" s="224" t="s">
        <v>34</v>
      </c>
      <c r="E101" s="218" t="s">
        <v>52</v>
      </c>
      <c r="F101" s="225" t="s">
        <v>108</v>
      </c>
      <c r="G101" s="164">
        <f>IF(E101="High-End",SUMIFS(Inhalation_Exp[24hr_High-End],Inhalation_Exp[OES],$C101,Inhalation_Exp[Worker Type],$D101,Inhalation_Exp[Data Type],$F101),SUMIFS(Inhalation_Exp[24hr_Central Tendency],Inhalation_Exp[OES],$C101,Inhalation_Exp[Worker Type],$D101,Inhalation_Exp[Data Type],$F101))</f>
        <v>0</v>
      </c>
      <c r="H101" s="164">
        <f>IF(E101="High-End",SUMIFS(Inhalation_Exp[Int_High-End],Inhalation_Exp[OES],$C101,Inhalation_Exp[Worker Type],$D101,Inhalation_Exp[Data Type],$F101),SUMIFS(Inhalation_Exp[Int_Central Tendency],Inhalation_Exp[OES],$C101,Inhalation_Exp[Worker Type],$D101,Inhalation_Exp[Data Type],$F101))</f>
        <v>0</v>
      </c>
      <c r="I101" s="164">
        <f>IF(E101="High-End",SUMIFS(Inhalation_Exp[ADC_High-End],Inhalation_Exp[OES],$C101,Inhalation_Exp[Worker Type],$D101,Inhalation_Exp[Data Type],$F101),SUMIFS(Inhalation_Exp[ADC_Central Tendency],Inhalation_Exp[OES],$C101,Inhalation_Exp[Worker Type],$D101,Inhalation_Exp[Data Type],$F101))</f>
        <v>0</v>
      </c>
      <c r="J101" s="164" t="e">
        <f>IF(E101="High-End",SUMIFS(#REF!,Inhalation_Exp[OES],$C101,Inhalation_Exp[Worker Type],$D101,Inhalation_Exp[Data Type],$F101),SUMIFS(#REF!,Inhalation_Exp[OES],$C101,Inhalation_Exp[Worker Type],$D101,Inhalation_Exp[Data Type],$F101))</f>
        <v>#REF!</v>
      </c>
      <c r="K101" s="207" t="e">
        <f>IF($E101="High-End",SUMIFS(#REF!,Dermal_Exp[Worker Type],$D101,Dermal_Exp[OES],$C101),SUMIFS(#REF!,Dermal_Exp[Worker Type],$D101,Dermal_Exp[OES],$C101))</f>
        <v>#REF!</v>
      </c>
      <c r="L101" s="207" t="e">
        <f>IF($E101="High-End",SUMIFS(#REF!,Dermal_Exp[Worker Type],$D101,Dermal_Exp[OES],$C101),SUMIFS(#REF!,Dermal_Exp[Worker Type],$D101,Dermal_Exp[OES],$C101))</f>
        <v>#REF!</v>
      </c>
      <c r="M101" s="207" t="e">
        <f>IF($E101="High-End",SUMIFS(#REF!,Dermal_Exp[Worker Type],$D101,Dermal_Exp[OES],$C101),SUMIFS(#REF!,Dermal_Exp[Worker Type],$D101,Dermal_Exp[OES],$C101))</f>
        <v>#REF!</v>
      </c>
      <c r="N101" s="207" t="e">
        <f>IF($E101="High-End",SUMIFS(#REF!,Dermal_Exp[Worker Type],$D101,Dermal_Exp[OES],$C101),SUMIFS(#REF!,Dermal_Exp[Worker Type],$D101,Dermal_Exp[OES],$C101))</f>
        <v>#REF!</v>
      </c>
      <c r="O101" s="226" t="e">
        <f t="shared" ref="O101:O107" si="10">G101+K101</f>
        <v>#REF!</v>
      </c>
      <c r="P101" s="226" t="e">
        <f t="shared" ref="P101:P107" si="11">H101+L101</f>
        <v>#REF!</v>
      </c>
      <c r="Q101" s="226" t="e">
        <f t="shared" ref="Q101:Q107" si="12">I101+M101</f>
        <v>#REF!</v>
      </c>
      <c r="R101" s="226" t="e">
        <f t="shared" ref="R101:R107" si="13">J101+N101</f>
        <v>#REF!</v>
      </c>
      <c r="AF101" s="14"/>
      <c r="AG101" s="14"/>
      <c r="AH101" s="14"/>
      <c r="AI101" s="14"/>
      <c r="AJ101" s="14"/>
      <c r="AK101" s="14"/>
      <c r="AL101" s="14"/>
    </row>
    <row r="102" spans="3:38" x14ac:dyDescent="0.35">
      <c r="C102" s="224" t="str" cm="1">
        <f t="array" ref="C102">INDEX('List Values'!$B$2:$B$21,(1+ROUNDDOWN((ROW()-ROW($C$5))*1/6,2)))</f>
        <v>Use of Aircraft Maintenance Products (Cold Cleaning)</v>
      </c>
      <c r="D102" s="224" t="s">
        <v>34</v>
      </c>
      <c r="E102" s="224" t="s">
        <v>53</v>
      </c>
      <c r="F102" s="225" t="s">
        <v>108</v>
      </c>
      <c r="G102" s="164">
        <f>IF(E102="High-End",SUMIFS(Inhalation_Exp[24hr_High-End],Inhalation_Exp[OES],$C102,Inhalation_Exp[Worker Type],$D102,Inhalation_Exp[Data Type],$F102),SUMIFS(Inhalation_Exp[24hr_Central Tendency],Inhalation_Exp[OES],$C102,Inhalation_Exp[Worker Type],$D102,Inhalation_Exp[Data Type],$F102))</f>
        <v>0</v>
      </c>
      <c r="H102" s="164">
        <f>IF(E102="High-End",SUMIFS(Inhalation_Exp[Int_High-End],Inhalation_Exp[OES],$C102,Inhalation_Exp[Worker Type],$D102,Inhalation_Exp[Data Type],$F102),SUMIFS(Inhalation_Exp[Int_Central Tendency],Inhalation_Exp[OES],$C102,Inhalation_Exp[Worker Type],$D102,Inhalation_Exp[Data Type],$F102))</f>
        <v>0</v>
      </c>
      <c r="I102" s="164">
        <f>IF(E102="High-End",SUMIFS(Inhalation_Exp[ADC_High-End],Inhalation_Exp[OES],$C102,Inhalation_Exp[Worker Type],$D102,Inhalation_Exp[Data Type],$F102),SUMIFS(Inhalation_Exp[ADC_Central Tendency],Inhalation_Exp[OES],$C102,Inhalation_Exp[Worker Type],$D102,Inhalation_Exp[Data Type],$F102))</f>
        <v>0</v>
      </c>
      <c r="J102" s="164" t="e">
        <f>IF(E102="High-End",SUMIFS(#REF!,Inhalation_Exp[OES],$C102,Inhalation_Exp[Worker Type],$D102,Inhalation_Exp[Data Type],$F102),SUMIFS(#REF!,Inhalation_Exp[OES],$C102,Inhalation_Exp[Worker Type],$D102,Inhalation_Exp[Data Type],$F102))</f>
        <v>#REF!</v>
      </c>
      <c r="K102" s="207" t="e">
        <f>IF($E102="High-End",SUMIFS(#REF!,Dermal_Exp[Worker Type],$D102,Dermal_Exp[OES],$C102),SUMIFS(#REF!,Dermal_Exp[Worker Type],$D102,Dermal_Exp[OES],$C102))</f>
        <v>#REF!</v>
      </c>
      <c r="L102" s="207" t="e">
        <f>IF($E102="High-End",SUMIFS(#REF!,Dermal_Exp[Worker Type],$D102,Dermal_Exp[OES],$C102),SUMIFS(#REF!,Dermal_Exp[Worker Type],$D102,Dermal_Exp[OES],$C102))</f>
        <v>#REF!</v>
      </c>
      <c r="M102" s="207" t="e">
        <f>IF($E102="High-End",SUMIFS(#REF!,Dermal_Exp[Worker Type],$D102,Dermal_Exp[OES],$C102),SUMIFS(#REF!,Dermal_Exp[Worker Type],$D102,Dermal_Exp[OES],$C102))</f>
        <v>#REF!</v>
      </c>
      <c r="N102" s="207" t="e">
        <f>IF($E102="High-End",SUMIFS(#REF!,Dermal_Exp[Worker Type],$D102,Dermal_Exp[OES],$C102),SUMIFS(#REF!,Dermal_Exp[Worker Type],$D102,Dermal_Exp[OES],$C102))</f>
        <v>#REF!</v>
      </c>
      <c r="O102" s="226" t="e">
        <f t="shared" si="10"/>
        <v>#REF!</v>
      </c>
      <c r="P102" s="226" t="e">
        <f t="shared" si="11"/>
        <v>#REF!</v>
      </c>
      <c r="Q102" s="226" t="e">
        <f t="shared" si="12"/>
        <v>#REF!</v>
      </c>
      <c r="R102" s="226" t="e">
        <f t="shared" si="13"/>
        <v>#REF!</v>
      </c>
      <c r="AF102" s="14"/>
      <c r="AG102" s="14"/>
      <c r="AH102" s="14"/>
      <c r="AI102" s="14"/>
      <c r="AJ102" s="14"/>
      <c r="AK102" s="14"/>
      <c r="AL102" s="14"/>
    </row>
    <row r="103" spans="3:38" x14ac:dyDescent="0.35">
      <c r="C103" s="224" t="str" cm="1">
        <f t="array" ref="C103">INDEX('List Values'!$B$2:$B$21,(1+ROUNDDOWN((ROW()-ROW($C$5))*1/6,2)))</f>
        <v>Use of Aircraft Maintenance Products (Cold Cleaning)</v>
      </c>
      <c r="D103" s="224" t="s">
        <v>109</v>
      </c>
      <c r="E103" s="224" t="s">
        <v>52</v>
      </c>
      <c r="F103" s="225" t="s">
        <v>108</v>
      </c>
      <c r="G103" s="164">
        <f>IF(E103="High-End",SUMIFS(Inhalation_Exp[24hr_High-End],Inhalation_Exp[OES],$C103,Inhalation_Exp[Worker Type],$D103,Inhalation_Exp[Data Type],$F103),SUMIFS(Inhalation_Exp[24hr_Central Tendency],Inhalation_Exp[OES],$C103,Inhalation_Exp[Worker Type],$D103,Inhalation_Exp[Data Type],$F103))</f>
        <v>0</v>
      </c>
      <c r="H103" s="164">
        <f>IF(E103="High-End",SUMIFS(Inhalation_Exp[Int_High-End],Inhalation_Exp[OES],$C103,Inhalation_Exp[Worker Type],$D103,Inhalation_Exp[Data Type],$F103),SUMIFS(Inhalation_Exp[Int_Central Tendency],Inhalation_Exp[OES],$C103,Inhalation_Exp[Worker Type],$D103,Inhalation_Exp[Data Type],$F103))</f>
        <v>0</v>
      </c>
      <c r="I103" s="164">
        <f>IF(E103="High-End",SUMIFS(Inhalation_Exp[ADC_High-End],Inhalation_Exp[OES],$C103,Inhalation_Exp[Worker Type],$D103,Inhalation_Exp[Data Type],$F103),SUMIFS(Inhalation_Exp[ADC_Central Tendency],Inhalation_Exp[OES],$C103,Inhalation_Exp[Worker Type],$D103,Inhalation_Exp[Data Type],$F103))</f>
        <v>0</v>
      </c>
      <c r="J103" s="164" t="e">
        <f>IF(E103="High-End",SUMIFS(#REF!,Inhalation_Exp[OES],$C103,Inhalation_Exp[Worker Type],$D103,Inhalation_Exp[Data Type],$F103),SUMIFS(#REF!,Inhalation_Exp[OES],$C103,Inhalation_Exp[Worker Type],$D103,Inhalation_Exp[Data Type],$F103))</f>
        <v>#REF!</v>
      </c>
      <c r="K103" s="207" t="e">
        <f>IF($E103="High-End",SUMIFS(#REF!,Dermal_Exp[Worker Type],$D103,Dermal_Exp[OES],$C103),SUMIFS(#REF!,Dermal_Exp[Worker Type],$D103,Dermal_Exp[OES],$C103))</f>
        <v>#REF!</v>
      </c>
      <c r="L103" s="207" t="e">
        <f>IF($E103="High-End",SUMIFS(#REF!,Dermal_Exp[Worker Type],$D103,Dermal_Exp[OES],$C103),SUMIFS(#REF!,Dermal_Exp[Worker Type],$D103,Dermal_Exp[OES],$C103))</f>
        <v>#REF!</v>
      </c>
      <c r="M103" s="207" t="e">
        <f>IF($E103="High-End",SUMIFS(#REF!,Dermal_Exp[Worker Type],$D103,Dermal_Exp[OES],$C103),SUMIFS(#REF!,Dermal_Exp[Worker Type],$D103,Dermal_Exp[OES],$C103))</f>
        <v>#REF!</v>
      </c>
      <c r="N103" s="207" t="e">
        <f>IF($E103="High-End",SUMIFS(#REF!,Dermal_Exp[Worker Type],$D103,Dermal_Exp[OES],$C103),SUMIFS(#REF!,Dermal_Exp[Worker Type],$D103,Dermal_Exp[OES],$C103))</f>
        <v>#REF!</v>
      </c>
      <c r="O103" s="226" t="e">
        <f t="shared" si="10"/>
        <v>#REF!</v>
      </c>
      <c r="P103" s="226" t="e">
        <f t="shared" si="11"/>
        <v>#REF!</v>
      </c>
      <c r="Q103" s="226" t="e">
        <f t="shared" si="12"/>
        <v>#REF!</v>
      </c>
      <c r="R103" s="226" t="e">
        <f t="shared" si="13"/>
        <v>#REF!</v>
      </c>
      <c r="AF103" s="14"/>
      <c r="AG103" s="14"/>
      <c r="AH103" s="14"/>
      <c r="AI103" s="14"/>
      <c r="AJ103" s="14"/>
      <c r="AK103" s="14"/>
      <c r="AL103" s="14"/>
    </row>
    <row r="104" spans="3:38" x14ac:dyDescent="0.35">
      <c r="C104" s="224" t="str" cm="1">
        <f t="array" ref="C104">INDEX('List Values'!$B$2:$B$21,(1+ROUNDDOWN((ROW()-ROW($C$5))*1/6,2)))</f>
        <v>Use of Aircraft Maintenance Products (Cold Cleaning)</v>
      </c>
      <c r="D104" s="224" t="s">
        <v>109</v>
      </c>
      <c r="E104" s="224" t="s">
        <v>53</v>
      </c>
      <c r="F104" s="225" t="s">
        <v>108</v>
      </c>
      <c r="G104" s="164">
        <f>IF(E104="High-End",SUMIFS(Inhalation_Exp[24hr_High-End],Inhalation_Exp[OES],$C104,Inhalation_Exp[Worker Type],$D104,Inhalation_Exp[Data Type],$F104),SUMIFS(Inhalation_Exp[24hr_Central Tendency],Inhalation_Exp[OES],$C104,Inhalation_Exp[Worker Type],$D104,Inhalation_Exp[Data Type],$F104))</f>
        <v>0</v>
      </c>
      <c r="H104" s="164">
        <f>IF(E104="High-End",SUMIFS(Inhalation_Exp[Int_High-End],Inhalation_Exp[OES],$C104,Inhalation_Exp[Worker Type],$D104,Inhalation_Exp[Data Type],$F104),SUMIFS(Inhalation_Exp[Int_Central Tendency],Inhalation_Exp[OES],$C104,Inhalation_Exp[Worker Type],$D104,Inhalation_Exp[Data Type],$F104))</f>
        <v>0</v>
      </c>
      <c r="I104" s="164">
        <f>IF(E104="High-End",SUMIFS(Inhalation_Exp[ADC_High-End],Inhalation_Exp[OES],$C104,Inhalation_Exp[Worker Type],$D104,Inhalation_Exp[Data Type],$F104),SUMIFS(Inhalation_Exp[ADC_Central Tendency],Inhalation_Exp[OES],$C104,Inhalation_Exp[Worker Type],$D104,Inhalation_Exp[Data Type],$F104))</f>
        <v>0</v>
      </c>
      <c r="J104" s="164" t="e">
        <f>IF(E104="High-End",SUMIFS(#REF!,Inhalation_Exp[OES],$C104,Inhalation_Exp[Worker Type],$D104,Inhalation_Exp[Data Type],$F104),SUMIFS(#REF!,Inhalation_Exp[OES],$C104,Inhalation_Exp[Worker Type],$D104,Inhalation_Exp[Data Type],$F104))</f>
        <v>#REF!</v>
      </c>
      <c r="K104" s="207" t="e">
        <f>IF($E104="High-End",SUMIFS(#REF!,Dermal_Exp[Worker Type],$D104,Dermal_Exp[OES],$C104),SUMIFS(#REF!,Dermal_Exp[Worker Type],$D104,Dermal_Exp[OES],$C104))</f>
        <v>#REF!</v>
      </c>
      <c r="L104" s="207" t="e">
        <f>IF($E104="High-End",SUMIFS(#REF!,Dermal_Exp[Worker Type],$D104,Dermal_Exp[OES],$C104),SUMIFS(#REF!,Dermal_Exp[Worker Type],$D104,Dermal_Exp[OES],$C104))</f>
        <v>#REF!</v>
      </c>
      <c r="M104" s="207" t="e">
        <f>IF($E104="High-End",SUMIFS(#REF!,Dermal_Exp[Worker Type],$D104,Dermal_Exp[OES],$C104),SUMIFS(#REF!,Dermal_Exp[Worker Type],$D104,Dermal_Exp[OES],$C104))</f>
        <v>#REF!</v>
      </c>
      <c r="N104" s="207" t="e">
        <f>IF($E104="High-End",SUMIFS(#REF!,Dermal_Exp[Worker Type],$D104,Dermal_Exp[OES],$C104),SUMIFS(#REF!,Dermal_Exp[Worker Type],$D104,Dermal_Exp[OES],$C104))</f>
        <v>#REF!</v>
      </c>
      <c r="O104" s="226" t="e">
        <f t="shared" si="10"/>
        <v>#REF!</v>
      </c>
      <c r="P104" s="226" t="e">
        <f t="shared" si="11"/>
        <v>#REF!</v>
      </c>
      <c r="Q104" s="226" t="e">
        <f t="shared" si="12"/>
        <v>#REF!</v>
      </c>
      <c r="R104" s="226" t="e">
        <f t="shared" si="13"/>
        <v>#REF!</v>
      </c>
      <c r="AF104" s="14"/>
      <c r="AG104" s="14"/>
      <c r="AH104" s="14"/>
      <c r="AI104" s="14"/>
      <c r="AJ104" s="14"/>
      <c r="AK104" s="14"/>
      <c r="AL104" s="14"/>
    </row>
    <row r="105" spans="3:38" x14ac:dyDescent="0.35">
      <c r="C105" s="224" t="str" cm="1">
        <f t="array" ref="C105">INDEX('List Values'!$B$2:$B$21,(1+ROUNDDOWN((ROW()-ROW($C$5))*1/6,2)))</f>
        <v>Use of Aircraft Maintenance Products (Cold Cleaning)</v>
      </c>
      <c r="D105" s="224" t="s">
        <v>54</v>
      </c>
      <c r="E105" s="224" t="s">
        <v>52</v>
      </c>
      <c r="F105" s="225" t="s">
        <v>108</v>
      </c>
      <c r="G105" s="164">
        <f>IF(E105="High-End",SUMIFS(Inhalation_Exp[24hr_High-End],Inhalation_Exp[OES],$C105,Inhalation_Exp[Worker Type],$D105,Inhalation_Exp[Data Type],$F105),SUMIFS(Inhalation_Exp[24hr_Central Tendency],Inhalation_Exp[OES],$C105,Inhalation_Exp[Worker Type],$D105,Inhalation_Exp[Data Type],$F105))</f>
        <v>0</v>
      </c>
      <c r="H105" s="164">
        <f>IF(E105="High-End",SUMIFS(Inhalation_Exp[Int_High-End],Inhalation_Exp[OES],$C105,Inhalation_Exp[Worker Type],$D105,Inhalation_Exp[Data Type],$F105),SUMIFS(Inhalation_Exp[Int_Central Tendency],Inhalation_Exp[OES],$C105,Inhalation_Exp[Worker Type],$D105,Inhalation_Exp[Data Type],$F105))</f>
        <v>0</v>
      </c>
      <c r="I105" s="164">
        <f>IF(E105="High-End",SUMIFS(Inhalation_Exp[ADC_High-End],Inhalation_Exp[OES],$C105,Inhalation_Exp[Worker Type],$D105,Inhalation_Exp[Data Type],$F105),SUMIFS(Inhalation_Exp[ADC_Central Tendency],Inhalation_Exp[OES],$C105,Inhalation_Exp[Worker Type],$D105,Inhalation_Exp[Data Type],$F105))</f>
        <v>0</v>
      </c>
      <c r="J105" s="164" t="e">
        <f>IF(E105="High-End",SUMIFS(#REF!,Inhalation_Exp[OES],$C105,Inhalation_Exp[Worker Type],$D105,Inhalation_Exp[Data Type],$F105),SUMIFS(#REF!,Inhalation_Exp[OES],$C105,Inhalation_Exp[Worker Type],$D105,Inhalation_Exp[Data Type],$F105))</f>
        <v>#REF!</v>
      </c>
      <c r="K105" s="207" t="e">
        <f>IF($E105="High-End",SUMIFS(#REF!,Dermal_Exp[Worker Type],$D105,Dermal_Exp[OES],$C105),SUMIFS(#REF!,Dermal_Exp[Worker Type],$D105,Dermal_Exp[OES],$C105))</f>
        <v>#REF!</v>
      </c>
      <c r="L105" s="207" t="e">
        <f>IF($E105="High-End",SUMIFS(#REF!,Dermal_Exp[Worker Type],$D105,Dermal_Exp[OES],$C105),SUMIFS(#REF!,Dermal_Exp[Worker Type],$D105,Dermal_Exp[OES],$C105))</f>
        <v>#REF!</v>
      </c>
      <c r="M105" s="207" t="e">
        <f>IF($E105="High-End",SUMIFS(#REF!,Dermal_Exp[Worker Type],$D105,Dermal_Exp[OES],$C105),SUMIFS(#REF!,Dermal_Exp[Worker Type],$D105,Dermal_Exp[OES],$C105))</f>
        <v>#REF!</v>
      </c>
      <c r="N105" s="207" t="e">
        <f>IF($E105="High-End",SUMIFS(#REF!,Dermal_Exp[Worker Type],$D105,Dermal_Exp[OES],$C105),SUMIFS(#REF!,Dermal_Exp[Worker Type],$D105,Dermal_Exp[OES],$C105))</f>
        <v>#REF!</v>
      </c>
      <c r="O105" s="226" t="e">
        <f t="shared" si="10"/>
        <v>#REF!</v>
      </c>
      <c r="P105" s="226" t="e">
        <f t="shared" si="11"/>
        <v>#REF!</v>
      </c>
      <c r="Q105" s="226" t="e">
        <f t="shared" si="12"/>
        <v>#REF!</v>
      </c>
      <c r="R105" s="226" t="e">
        <f t="shared" si="13"/>
        <v>#REF!</v>
      </c>
      <c r="AF105" s="14"/>
      <c r="AG105" s="14"/>
      <c r="AH105" s="14"/>
      <c r="AI105" s="14"/>
      <c r="AJ105" s="14"/>
      <c r="AK105" s="14"/>
      <c r="AL105" s="14"/>
    </row>
    <row r="106" spans="3:38" x14ac:dyDescent="0.35">
      <c r="C106" s="224" t="str" cm="1">
        <f t="array" ref="C106">INDEX('List Values'!$B$2:$B$21,(1+ROUNDDOWN((ROW()-ROW($C$5))*1/6,2)))</f>
        <v>Use of Aircraft Maintenance Products (Cold Cleaning)</v>
      </c>
      <c r="D106" s="224" t="s">
        <v>54</v>
      </c>
      <c r="E106" s="224" t="s">
        <v>53</v>
      </c>
      <c r="F106" s="225" t="s">
        <v>108</v>
      </c>
      <c r="G106" s="164">
        <f>IF(E106="High-End",SUMIFS(Inhalation_Exp[24hr_High-End],Inhalation_Exp[OES],$C106,Inhalation_Exp[Worker Type],$D106,Inhalation_Exp[Data Type],$F106),SUMIFS(Inhalation_Exp[24hr_Central Tendency],Inhalation_Exp[OES],$C106,Inhalation_Exp[Worker Type],$D106,Inhalation_Exp[Data Type],$F106))</f>
        <v>0</v>
      </c>
      <c r="H106" s="164">
        <f>IF(E106="High-End",SUMIFS(Inhalation_Exp[Int_High-End],Inhalation_Exp[OES],$C106,Inhalation_Exp[Worker Type],$D106,Inhalation_Exp[Data Type],$F106),SUMIFS(Inhalation_Exp[Int_Central Tendency],Inhalation_Exp[OES],$C106,Inhalation_Exp[Worker Type],$D106,Inhalation_Exp[Data Type],$F106))</f>
        <v>0</v>
      </c>
      <c r="I106" s="164">
        <f>IF(E106="High-End",SUMIFS(Inhalation_Exp[ADC_High-End],Inhalation_Exp[OES],$C106,Inhalation_Exp[Worker Type],$D106,Inhalation_Exp[Data Type],$F106),SUMIFS(Inhalation_Exp[ADC_Central Tendency],Inhalation_Exp[OES],$C106,Inhalation_Exp[Worker Type],$D106,Inhalation_Exp[Data Type],$F106))</f>
        <v>0</v>
      </c>
      <c r="J106" s="164" t="e">
        <f>IF(E106="High-End",SUMIFS(#REF!,Inhalation_Exp[OES],$C106,Inhalation_Exp[Worker Type],$D106,Inhalation_Exp[Data Type],$F106),SUMIFS(#REF!,Inhalation_Exp[OES],$C106,Inhalation_Exp[Worker Type],$D106,Inhalation_Exp[Data Type],$F106))</f>
        <v>#REF!</v>
      </c>
      <c r="K106" s="207" t="e">
        <f>IF($E106="High-End",SUMIFS(#REF!,Dermal_Exp[Worker Type],$D106,Dermal_Exp[OES],$C106),SUMIFS(#REF!,Dermal_Exp[Worker Type],$D106,Dermal_Exp[OES],$C106))</f>
        <v>#REF!</v>
      </c>
      <c r="L106" s="207" t="e">
        <f>IF($E106="High-End",SUMIFS(#REF!,Dermal_Exp[Worker Type],$D106,Dermal_Exp[OES],$C106),SUMIFS(#REF!,Dermal_Exp[Worker Type],$D106,Dermal_Exp[OES],$C106))</f>
        <v>#REF!</v>
      </c>
      <c r="M106" s="207" t="e">
        <f>IF($E106="High-End",SUMIFS(#REF!,Dermal_Exp[Worker Type],$D106,Dermal_Exp[OES],$C106),SUMIFS(#REF!,Dermal_Exp[Worker Type],$D106,Dermal_Exp[OES],$C106))</f>
        <v>#REF!</v>
      </c>
      <c r="N106" s="207" t="e">
        <f>IF($E106="High-End",SUMIFS(#REF!,Dermal_Exp[Worker Type],$D106,Dermal_Exp[OES],$C106),SUMIFS(#REF!,Dermal_Exp[Worker Type],$D106,Dermal_Exp[OES],$C106))</f>
        <v>#REF!</v>
      </c>
      <c r="O106" s="226" t="e">
        <f t="shared" si="10"/>
        <v>#REF!</v>
      </c>
      <c r="P106" s="226" t="e">
        <f t="shared" si="11"/>
        <v>#REF!</v>
      </c>
      <c r="Q106" s="226" t="e">
        <f t="shared" si="12"/>
        <v>#REF!</v>
      </c>
      <c r="R106" s="226" t="e">
        <f t="shared" si="13"/>
        <v>#REF!</v>
      </c>
      <c r="AF106" s="14"/>
      <c r="AG106" s="14"/>
      <c r="AH106" s="14"/>
      <c r="AI106" s="14"/>
      <c r="AJ106" s="14"/>
      <c r="AK106" s="14"/>
      <c r="AL106" s="14"/>
    </row>
    <row r="107" spans="3:38" x14ac:dyDescent="0.35">
      <c r="C107" s="224" t="str" cm="1">
        <f t="array" ref="C107">INDEX('List Values'!$B$2:$B$21,(1+ROUNDDOWN((ROW()-ROW($C$5))*1/6,2)))</f>
        <v>Use of Animal Grooming Products</v>
      </c>
      <c r="D107" s="224" t="s">
        <v>34</v>
      </c>
      <c r="E107" s="218" t="s">
        <v>52</v>
      </c>
      <c r="F107" s="225" t="s">
        <v>108</v>
      </c>
      <c r="G107" s="164">
        <f>IF(E107="High-End",SUMIFS(Inhalation_Exp[24hr_High-End],Inhalation_Exp[OES],$C107,Inhalation_Exp[Worker Type],$D107,Inhalation_Exp[Data Type],$F107),SUMIFS(Inhalation_Exp[24hr_Central Tendency],Inhalation_Exp[OES],$C107,Inhalation_Exp[Worker Type],$D107,Inhalation_Exp[Data Type],$F107))</f>
        <v>0</v>
      </c>
      <c r="H107" s="164">
        <f>IF(E107="High-End",SUMIFS(Inhalation_Exp[Int_High-End],Inhalation_Exp[OES],$C107,Inhalation_Exp[Worker Type],$D107,Inhalation_Exp[Data Type],$F107),SUMIFS(Inhalation_Exp[Int_Central Tendency],Inhalation_Exp[OES],$C107,Inhalation_Exp[Worker Type],$D107,Inhalation_Exp[Data Type],$F107))</f>
        <v>0</v>
      </c>
      <c r="I107" s="164">
        <f>IF(E107="High-End",SUMIFS(Inhalation_Exp[ADC_High-End],Inhalation_Exp[OES],$C107,Inhalation_Exp[Worker Type],$D107,Inhalation_Exp[Data Type],$F107),SUMIFS(Inhalation_Exp[ADC_Central Tendency],Inhalation_Exp[OES],$C107,Inhalation_Exp[Worker Type],$D107,Inhalation_Exp[Data Type],$F107))</f>
        <v>0</v>
      </c>
      <c r="J107" s="164" t="e">
        <f>IF(E107="High-End",SUMIFS(#REF!,Inhalation_Exp[OES],$C107,Inhalation_Exp[Worker Type],$D107,Inhalation_Exp[Data Type],$F107),SUMIFS(#REF!,Inhalation_Exp[OES],$C107,Inhalation_Exp[Worker Type],$D107,Inhalation_Exp[Data Type],$F107))</f>
        <v>#REF!</v>
      </c>
      <c r="K107" s="207" t="e">
        <f>IF($E107="High-End",SUMIFS(#REF!,Dermal_Exp[Worker Type],$D107,Dermal_Exp[OES],$C107),SUMIFS(#REF!,Dermal_Exp[Worker Type],$D107,Dermal_Exp[OES],$C107))</f>
        <v>#REF!</v>
      </c>
      <c r="L107" s="207" t="e">
        <f>IF($E107="High-End",SUMIFS(#REF!,Dermal_Exp[Worker Type],$D107,Dermal_Exp[OES],$C107),SUMIFS(#REF!,Dermal_Exp[Worker Type],$D107,Dermal_Exp[OES],$C107))</f>
        <v>#REF!</v>
      </c>
      <c r="M107" s="207" t="e">
        <f>IF($E107="High-End",SUMIFS(#REF!,Dermal_Exp[Worker Type],$D107,Dermal_Exp[OES],$C107),SUMIFS(#REF!,Dermal_Exp[Worker Type],$D107,Dermal_Exp[OES],$C107))</f>
        <v>#REF!</v>
      </c>
      <c r="N107" s="207" t="e">
        <f>IF($E107="High-End",SUMIFS(#REF!,Dermal_Exp[Worker Type],$D107,Dermal_Exp[OES],$C107),SUMIFS(#REF!,Dermal_Exp[Worker Type],$D107,Dermal_Exp[OES],$C107))</f>
        <v>#REF!</v>
      </c>
      <c r="O107" s="226" t="e">
        <f t="shared" si="10"/>
        <v>#REF!</v>
      </c>
      <c r="P107" s="226" t="e">
        <f t="shared" si="11"/>
        <v>#REF!</v>
      </c>
      <c r="Q107" s="226" t="e">
        <f t="shared" si="12"/>
        <v>#REF!</v>
      </c>
      <c r="R107" s="226" t="e">
        <f t="shared" si="13"/>
        <v>#REF!</v>
      </c>
      <c r="AF107" s="14"/>
      <c r="AG107" s="14"/>
      <c r="AH107" s="14"/>
      <c r="AI107" s="14"/>
      <c r="AJ107" s="14"/>
      <c r="AK107" s="14"/>
      <c r="AL107" s="14"/>
    </row>
    <row r="108" spans="3:38" x14ac:dyDescent="0.35">
      <c r="C108" s="224" t="str" cm="1">
        <f t="array" ref="C108">INDEX('List Values'!$B$2:$B$21,(1+ROUNDDOWN((ROW()-ROW($C$5))*1/6,2)))</f>
        <v>Use of Animal Grooming Products</v>
      </c>
      <c r="D108" s="224" t="s">
        <v>34</v>
      </c>
      <c r="E108" s="224" t="s">
        <v>53</v>
      </c>
      <c r="F108" s="225" t="s">
        <v>108</v>
      </c>
      <c r="G108" s="164">
        <f>IF(E108="High-End",SUMIFS(Inhalation_Exp[24hr_High-End],Inhalation_Exp[OES],$C108,Inhalation_Exp[Worker Type],$D108,Inhalation_Exp[Data Type],$F108),SUMIFS(Inhalation_Exp[24hr_Central Tendency],Inhalation_Exp[OES],$C108,Inhalation_Exp[Worker Type],$D108,Inhalation_Exp[Data Type],$F108))</f>
        <v>0</v>
      </c>
      <c r="H108" s="164">
        <f>IF(E108="High-End",SUMIFS(Inhalation_Exp[Int_High-End],Inhalation_Exp[OES],$C108,Inhalation_Exp[Worker Type],$D108,Inhalation_Exp[Data Type],$F108),SUMIFS(Inhalation_Exp[Int_Central Tendency],Inhalation_Exp[OES],$C108,Inhalation_Exp[Worker Type],$D108,Inhalation_Exp[Data Type],$F108))</f>
        <v>0</v>
      </c>
      <c r="I108" s="164">
        <f>IF(E108="High-End",SUMIFS(Inhalation_Exp[ADC_High-End],Inhalation_Exp[OES],$C108,Inhalation_Exp[Worker Type],$D108,Inhalation_Exp[Data Type],$F108),SUMIFS(Inhalation_Exp[ADC_Central Tendency],Inhalation_Exp[OES],$C108,Inhalation_Exp[Worker Type],$D108,Inhalation_Exp[Data Type],$F108))</f>
        <v>0</v>
      </c>
      <c r="J108" s="164" t="e">
        <f>IF(E108="High-End",SUMIFS(#REF!,Inhalation_Exp[OES],$C108,Inhalation_Exp[Worker Type],$D108,Inhalation_Exp[Data Type],$F108),SUMIFS(#REF!,Inhalation_Exp[OES],$C108,Inhalation_Exp[Worker Type],$D108,Inhalation_Exp[Data Type],$F108))</f>
        <v>#REF!</v>
      </c>
      <c r="K108" s="207" t="e">
        <f>IF($E108="High-End",SUMIFS(#REF!,Dermal_Exp[Worker Type],$D108,Dermal_Exp[OES],$C108),SUMIFS(#REF!,Dermal_Exp[Worker Type],$D108,Dermal_Exp[OES],$C108))</f>
        <v>#REF!</v>
      </c>
      <c r="L108" s="207" t="e">
        <f>IF($E108="High-End",SUMIFS(#REF!,Dermal_Exp[Worker Type],$D108,Dermal_Exp[OES],$C108),SUMIFS(#REF!,Dermal_Exp[Worker Type],$D108,Dermal_Exp[OES],$C108))</f>
        <v>#REF!</v>
      </c>
      <c r="M108" s="207" t="e">
        <f>IF($E108="High-End",SUMIFS(#REF!,Dermal_Exp[Worker Type],$D108,Dermal_Exp[OES],$C108),SUMIFS(#REF!,Dermal_Exp[Worker Type],$D108,Dermal_Exp[OES],$C108))</f>
        <v>#REF!</v>
      </c>
      <c r="N108" s="207" t="e">
        <f>IF($E108="High-End",SUMIFS(#REF!,Dermal_Exp[Worker Type],$D108,Dermal_Exp[OES],$C108),SUMIFS(#REF!,Dermal_Exp[Worker Type],$D108,Dermal_Exp[OES],$C108))</f>
        <v>#REF!</v>
      </c>
      <c r="O108" s="226" t="e">
        <f t="shared" ref="O108:R112" si="14">G108+K108</f>
        <v>#REF!</v>
      </c>
      <c r="P108" s="226" t="e">
        <f t="shared" si="14"/>
        <v>#REF!</v>
      </c>
      <c r="Q108" s="226" t="e">
        <f t="shared" si="14"/>
        <v>#REF!</v>
      </c>
      <c r="R108" s="226" t="e">
        <f t="shared" si="14"/>
        <v>#REF!</v>
      </c>
      <c r="AF108" s="14"/>
      <c r="AG108" s="14"/>
      <c r="AH108" s="14"/>
      <c r="AI108" s="14"/>
      <c r="AJ108" s="14"/>
      <c r="AK108" s="14"/>
      <c r="AL108" s="14"/>
    </row>
    <row r="109" spans="3:38" x14ac:dyDescent="0.35">
      <c r="C109" s="224" t="str" cm="1">
        <f t="array" ref="C109">INDEX('List Values'!$B$2:$B$21,(1+ROUNDDOWN((ROW()-ROW($C$5))*1/6,2)))</f>
        <v>Use of Animal Grooming Products</v>
      </c>
      <c r="D109" s="224" t="s">
        <v>109</v>
      </c>
      <c r="E109" s="224" t="s">
        <v>52</v>
      </c>
      <c r="F109" s="225" t="s">
        <v>108</v>
      </c>
      <c r="G109" s="164">
        <f>IF(E109="High-End",SUMIFS(Inhalation_Exp[24hr_High-End],Inhalation_Exp[OES],$C109,Inhalation_Exp[Worker Type],$D109,Inhalation_Exp[Data Type],$F109),SUMIFS(Inhalation_Exp[24hr_Central Tendency],Inhalation_Exp[OES],$C109,Inhalation_Exp[Worker Type],$D109,Inhalation_Exp[Data Type],$F109))</f>
        <v>0</v>
      </c>
      <c r="H109" s="164">
        <f>IF(E109="High-End",SUMIFS(Inhalation_Exp[Int_High-End],Inhalation_Exp[OES],$C109,Inhalation_Exp[Worker Type],$D109,Inhalation_Exp[Data Type],$F109),SUMIFS(Inhalation_Exp[Int_Central Tendency],Inhalation_Exp[OES],$C109,Inhalation_Exp[Worker Type],$D109,Inhalation_Exp[Data Type],$F109))</f>
        <v>0</v>
      </c>
      <c r="I109" s="164">
        <f>IF(E109="High-End",SUMIFS(Inhalation_Exp[ADC_High-End],Inhalation_Exp[OES],$C109,Inhalation_Exp[Worker Type],$D109,Inhalation_Exp[Data Type],$F109),SUMIFS(Inhalation_Exp[ADC_Central Tendency],Inhalation_Exp[OES],$C109,Inhalation_Exp[Worker Type],$D109,Inhalation_Exp[Data Type],$F109))</f>
        <v>0</v>
      </c>
      <c r="J109" s="164" t="e">
        <f>IF(E109="High-End",SUMIFS(#REF!,Inhalation_Exp[OES],$C109,Inhalation_Exp[Worker Type],$D109,Inhalation_Exp[Data Type],$F109),SUMIFS(#REF!,Inhalation_Exp[OES],$C109,Inhalation_Exp[Worker Type],$D109,Inhalation_Exp[Data Type],$F109))</f>
        <v>#REF!</v>
      </c>
      <c r="K109" s="207" t="e">
        <f>IF($E109="High-End",SUMIFS(#REF!,Dermal_Exp[Worker Type],$D109,Dermal_Exp[OES],$C109),SUMIFS(#REF!,Dermal_Exp[Worker Type],$D109,Dermal_Exp[OES],$C109))</f>
        <v>#REF!</v>
      </c>
      <c r="L109" s="207" t="e">
        <f>IF($E109="High-End",SUMIFS(#REF!,Dermal_Exp[Worker Type],$D109,Dermal_Exp[OES],$C109),SUMIFS(#REF!,Dermal_Exp[Worker Type],$D109,Dermal_Exp[OES],$C109))</f>
        <v>#REF!</v>
      </c>
      <c r="M109" s="207" t="e">
        <f>IF($E109="High-End",SUMIFS(#REF!,Dermal_Exp[Worker Type],$D109,Dermal_Exp[OES],$C109),SUMIFS(#REF!,Dermal_Exp[Worker Type],$D109,Dermal_Exp[OES],$C109))</f>
        <v>#REF!</v>
      </c>
      <c r="N109" s="207" t="e">
        <f>IF($E109="High-End",SUMIFS(#REF!,Dermal_Exp[Worker Type],$D109,Dermal_Exp[OES],$C109),SUMIFS(#REF!,Dermal_Exp[Worker Type],$D109,Dermal_Exp[OES],$C109))</f>
        <v>#REF!</v>
      </c>
      <c r="O109" s="226" t="e">
        <f t="shared" si="14"/>
        <v>#REF!</v>
      </c>
      <c r="P109" s="226" t="e">
        <f t="shared" si="14"/>
        <v>#REF!</v>
      </c>
      <c r="Q109" s="226" t="e">
        <f t="shared" si="14"/>
        <v>#REF!</v>
      </c>
      <c r="R109" s="226" t="e">
        <f t="shared" si="14"/>
        <v>#REF!</v>
      </c>
      <c r="AF109" s="14"/>
      <c r="AG109" s="14"/>
      <c r="AH109" s="14"/>
      <c r="AI109" s="14"/>
      <c r="AJ109" s="14"/>
      <c r="AK109" s="14"/>
      <c r="AL109" s="14"/>
    </row>
    <row r="110" spans="3:38" x14ac:dyDescent="0.35">
      <c r="C110" s="224" t="str" cm="1">
        <f t="array" ref="C110">INDEX('List Values'!$B$2:$B$21,(1+ROUNDDOWN((ROW()-ROW($C$5))*1/6,2)))</f>
        <v>Use of Animal Grooming Products</v>
      </c>
      <c r="D110" s="224" t="s">
        <v>109</v>
      </c>
      <c r="E110" s="224" t="s">
        <v>53</v>
      </c>
      <c r="F110" s="225" t="s">
        <v>108</v>
      </c>
      <c r="G110" s="164">
        <f>IF(E110="High-End",SUMIFS(Inhalation_Exp[24hr_High-End],Inhalation_Exp[OES],$C110,Inhalation_Exp[Worker Type],$D110,Inhalation_Exp[Data Type],$F110),SUMIFS(Inhalation_Exp[24hr_Central Tendency],Inhalation_Exp[OES],$C110,Inhalation_Exp[Worker Type],$D110,Inhalation_Exp[Data Type],$F110))</f>
        <v>0</v>
      </c>
      <c r="H110" s="164">
        <f>IF(E110="High-End",SUMIFS(Inhalation_Exp[Int_High-End],Inhalation_Exp[OES],$C110,Inhalation_Exp[Worker Type],$D110,Inhalation_Exp[Data Type],$F110),SUMIFS(Inhalation_Exp[Int_Central Tendency],Inhalation_Exp[OES],$C110,Inhalation_Exp[Worker Type],$D110,Inhalation_Exp[Data Type],$F110))</f>
        <v>0</v>
      </c>
      <c r="I110" s="164">
        <f>IF(E110="High-End",SUMIFS(Inhalation_Exp[ADC_High-End],Inhalation_Exp[OES],$C110,Inhalation_Exp[Worker Type],$D110,Inhalation_Exp[Data Type],$F110),SUMIFS(Inhalation_Exp[ADC_Central Tendency],Inhalation_Exp[OES],$C110,Inhalation_Exp[Worker Type],$D110,Inhalation_Exp[Data Type],$F110))</f>
        <v>0</v>
      </c>
      <c r="J110" s="164" t="e">
        <f>IF(E110="High-End",SUMIFS(#REF!,Inhalation_Exp[OES],$C110,Inhalation_Exp[Worker Type],$D110,Inhalation_Exp[Data Type],$F110),SUMIFS(#REF!,Inhalation_Exp[OES],$C110,Inhalation_Exp[Worker Type],$D110,Inhalation_Exp[Data Type],$F110))</f>
        <v>#REF!</v>
      </c>
      <c r="K110" s="207" t="e">
        <f>IF($E110="High-End",SUMIFS(#REF!,Dermal_Exp[Worker Type],$D110,Dermal_Exp[OES],$C110),SUMIFS(#REF!,Dermal_Exp[Worker Type],$D110,Dermal_Exp[OES],$C110))</f>
        <v>#REF!</v>
      </c>
      <c r="L110" s="207" t="e">
        <f>IF($E110="High-End",SUMIFS(#REF!,Dermal_Exp[Worker Type],$D110,Dermal_Exp[OES],$C110),SUMIFS(#REF!,Dermal_Exp[Worker Type],$D110,Dermal_Exp[OES],$C110))</f>
        <v>#REF!</v>
      </c>
      <c r="M110" s="207" t="e">
        <f>IF($E110="High-End",SUMIFS(#REF!,Dermal_Exp[Worker Type],$D110,Dermal_Exp[OES],$C110),SUMIFS(#REF!,Dermal_Exp[Worker Type],$D110,Dermal_Exp[OES],$C110))</f>
        <v>#REF!</v>
      </c>
      <c r="N110" s="207" t="e">
        <f>IF($E110="High-End",SUMIFS(#REF!,Dermal_Exp[Worker Type],$D110,Dermal_Exp[OES],$C110),SUMIFS(#REF!,Dermal_Exp[Worker Type],$D110,Dermal_Exp[OES],$C110))</f>
        <v>#REF!</v>
      </c>
      <c r="O110" s="226" t="e">
        <f t="shared" si="14"/>
        <v>#REF!</v>
      </c>
      <c r="P110" s="226" t="e">
        <f t="shared" si="14"/>
        <v>#REF!</v>
      </c>
      <c r="Q110" s="226" t="e">
        <f t="shared" si="14"/>
        <v>#REF!</v>
      </c>
      <c r="R110" s="226" t="e">
        <f t="shared" si="14"/>
        <v>#REF!</v>
      </c>
      <c r="AF110" s="14"/>
      <c r="AG110" s="14"/>
      <c r="AH110" s="14"/>
      <c r="AI110" s="14"/>
      <c r="AJ110" s="14"/>
      <c r="AK110" s="14"/>
      <c r="AL110" s="14"/>
    </row>
    <row r="111" spans="3:38" x14ac:dyDescent="0.35">
      <c r="C111" s="224" t="str" cm="1">
        <f t="array" ref="C111">INDEX('List Values'!$B$2:$B$21,(1+ROUNDDOWN((ROW()-ROW($C$5))*1/6,2)))</f>
        <v>Use of Animal Grooming Products</v>
      </c>
      <c r="D111" s="224" t="s">
        <v>54</v>
      </c>
      <c r="E111" s="224" t="s">
        <v>52</v>
      </c>
      <c r="F111" s="225" t="s">
        <v>108</v>
      </c>
      <c r="G111" s="164">
        <f>IF(E111="High-End",SUMIFS(Inhalation_Exp[24hr_High-End],Inhalation_Exp[OES],$C111,Inhalation_Exp[Worker Type],$D111,Inhalation_Exp[Data Type],$F111),SUMIFS(Inhalation_Exp[24hr_Central Tendency],Inhalation_Exp[OES],$C111,Inhalation_Exp[Worker Type],$D111,Inhalation_Exp[Data Type],$F111))</f>
        <v>0</v>
      </c>
      <c r="H111" s="164">
        <f>IF(E111="High-End",SUMIFS(Inhalation_Exp[Int_High-End],Inhalation_Exp[OES],$C111,Inhalation_Exp[Worker Type],$D111,Inhalation_Exp[Data Type],$F111),SUMIFS(Inhalation_Exp[Int_Central Tendency],Inhalation_Exp[OES],$C111,Inhalation_Exp[Worker Type],$D111,Inhalation_Exp[Data Type],$F111))</f>
        <v>0</v>
      </c>
      <c r="I111" s="164">
        <f>IF(E111="High-End",SUMIFS(Inhalation_Exp[ADC_High-End],Inhalation_Exp[OES],$C111,Inhalation_Exp[Worker Type],$D111,Inhalation_Exp[Data Type],$F111),SUMIFS(Inhalation_Exp[ADC_Central Tendency],Inhalation_Exp[OES],$C111,Inhalation_Exp[Worker Type],$D111,Inhalation_Exp[Data Type],$F111))</f>
        <v>0</v>
      </c>
      <c r="J111" s="164" t="e">
        <f>IF(E111="High-End",SUMIFS(#REF!,Inhalation_Exp[OES],$C111,Inhalation_Exp[Worker Type],$D111,Inhalation_Exp[Data Type],$F111),SUMIFS(#REF!,Inhalation_Exp[OES],$C111,Inhalation_Exp[Worker Type],$D111,Inhalation_Exp[Data Type],$F111))</f>
        <v>#REF!</v>
      </c>
      <c r="K111" s="207" t="e">
        <f>IF($E111="High-End",SUMIFS(#REF!,Dermal_Exp[Worker Type],$D111,Dermal_Exp[OES],$C111),SUMIFS(#REF!,Dermal_Exp[Worker Type],$D111,Dermal_Exp[OES],$C111))</f>
        <v>#REF!</v>
      </c>
      <c r="L111" s="207" t="e">
        <f>IF($E111="High-End",SUMIFS(#REF!,Dermal_Exp[Worker Type],$D111,Dermal_Exp[OES],$C111),SUMIFS(#REF!,Dermal_Exp[Worker Type],$D111,Dermal_Exp[OES],$C111))</f>
        <v>#REF!</v>
      </c>
      <c r="M111" s="207" t="e">
        <f>IF($E111="High-End",SUMIFS(#REF!,Dermal_Exp[Worker Type],$D111,Dermal_Exp[OES],$C111),SUMIFS(#REF!,Dermal_Exp[Worker Type],$D111,Dermal_Exp[OES],$C111))</f>
        <v>#REF!</v>
      </c>
      <c r="N111" s="207" t="e">
        <f>IF($E111="High-End",SUMIFS(#REF!,Dermal_Exp[Worker Type],$D111,Dermal_Exp[OES],$C111),SUMIFS(#REF!,Dermal_Exp[Worker Type],$D111,Dermal_Exp[OES],$C111))</f>
        <v>#REF!</v>
      </c>
      <c r="O111" s="226" t="e">
        <f t="shared" si="14"/>
        <v>#REF!</v>
      </c>
      <c r="P111" s="226" t="e">
        <f t="shared" si="14"/>
        <v>#REF!</v>
      </c>
      <c r="Q111" s="226" t="e">
        <f t="shared" si="14"/>
        <v>#REF!</v>
      </c>
      <c r="R111" s="226" t="e">
        <f t="shared" si="14"/>
        <v>#REF!</v>
      </c>
      <c r="AF111" s="14"/>
      <c r="AG111" s="14"/>
      <c r="AH111" s="14"/>
      <c r="AI111" s="14"/>
      <c r="AJ111" s="14"/>
      <c r="AK111" s="14"/>
      <c r="AL111" s="14"/>
    </row>
    <row r="112" spans="3:38" x14ac:dyDescent="0.35">
      <c r="C112" s="224" t="str" cm="1">
        <f t="array" ref="C112">INDEX('List Values'!$B$2:$B$21,(1+ROUNDDOWN((ROW()-ROW($C$5))*1/6,2)))</f>
        <v>Use of Animal Grooming Products</v>
      </c>
      <c r="D112" s="224" t="s">
        <v>54</v>
      </c>
      <c r="E112" s="224" t="s">
        <v>53</v>
      </c>
      <c r="F112" s="225" t="s">
        <v>108</v>
      </c>
      <c r="G112" s="164">
        <f>IF(E112="High-End",SUMIFS(Inhalation_Exp[24hr_High-End],Inhalation_Exp[OES],$C112,Inhalation_Exp[Worker Type],$D112,Inhalation_Exp[Data Type],$F112),SUMIFS(Inhalation_Exp[24hr_Central Tendency],Inhalation_Exp[OES],$C112,Inhalation_Exp[Worker Type],$D112,Inhalation_Exp[Data Type],$F112))</f>
        <v>0</v>
      </c>
      <c r="H112" s="164">
        <f>IF(E112="High-End",SUMIFS(Inhalation_Exp[Int_High-End],Inhalation_Exp[OES],$C112,Inhalation_Exp[Worker Type],$D112,Inhalation_Exp[Data Type],$F112),SUMIFS(Inhalation_Exp[Int_Central Tendency],Inhalation_Exp[OES],$C112,Inhalation_Exp[Worker Type],$D112,Inhalation_Exp[Data Type],$F112))</f>
        <v>0</v>
      </c>
      <c r="I112" s="164">
        <f>IF(E112="High-End",SUMIFS(Inhalation_Exp[ADC_High-End],Inhalation_Exp[OES],$C112,Inhalation_Exp[Worker Type],$D112,Inhalation_Exp[Data Type],$F112),SUMIFS(Inhalation_Exp[ADC_Central Tendency],Inhalation_Exp[OES],$C112,Inhalation_Exp[Worker Type],$D112,Inhalation_Exp[Data Type],$F112))</f>
        <v>0</v>
      </c>
      <c r="J112" s="164" t="e">
        <f>IF(E112="High-End",SUMIFS(#REF!,Inhalation_Exp[OES],$C112,Inhalation_Exp[Worker Type],$D112,Inhalation_Exp[Data Type],$F112),SUMIFS(#REF!,Inhalation_Exp[OES],$C112,Inhalation_Exp[Worker Type],$D112,Inhalation_Exp[Data Type],$F112))</f>
        <v>#REF!</v>
      </c>
      <c r="K112" s="207" t="e">
        <f>IF($E112="High-End",SUMIFS(#REF!,Dermal_Exp[Worker Type],$D112,Dermal_Exp[OES],$C112),SUMIFS(#REF!,Dermal_Exp[Worker Type],$D112,Dermal_Exp[OES],$C112))</f>
        <v>#REF!</v>
      </c>
      <c r="L112" s="207" t="e">
        <f>IF($E112="High-End",SUMIFS(#REF!,Dermal_Exp[Worker Type],$D112,Dermal_Exp[OES],$C112),SUMIFS(#REF!,Dermal_Exp[Worker Type],$D112,Dermal_Exp[OES],$C112))</f>
        <v>#REF!</v>
      </c>
      <c r="M112" s="207" t="e">
        <f>IF($E112="High-End",SUMIFS(#REF!,Dermal_Exp[Worker Type],$D112,Dermal_Exp[OES],$C112),SUMIFS(#REF!,Dermal_Exp[Worker Type],$D112,Dermal_Exp[OES],$C112))</f>
        <v>#REF!</v>
      </c>
      <c r="N112" s="207" t="e">
        <f>IF($E112="High-End",SUMIFS(#REF!,Dermal_Exp[Worker Type],$D112,Dermal_Exp[OES],$C112),SUMIFS(#REF!,Dermal_Exp[Worker Type],$D112,Dermal_Exp[OES],$C112))</f>
        <v>#REF!</v>
      </c>
      <c r="O112" s="226" t="e">
        <f t="shared" si="14"/>
        <v>#REF!</v>
      </c>
      <c r="P112" s="226" t="e">
        <f t="shared" si="14"/>
        <v>#REF!</v>
      </c>
      <c r="Q112" s="226" t="e">
        <f t="shared" si="14"/>
        <v>#REF!</v>
      </c>
      <c r="R112" s="226" t="e">
        <f t="shared" si="14"/>
        <v>#REF!</v>
      </c>
      <c r="AF112" s="14"/>
      <c r="AG112" s="14"/>
      <c r="AH112" s="14"/>
      <c r="AI112" s="14"/>
      <c r="AJ112" s="14"/>
      <c r="AK112" s="14"/>
      <c r="AL112" s="14"/>
    </row>
    <row r="113" spans="3:38" x14ac:dyDescent="0.35">
      <c r="C113" s="232"/>
      <c r="D113" s="232"/>
      <c r="E113" s="232"/>
      <c r="F113" s="233"/>
      <c r="G113" s="234"/>
      <c r="H113" s="234"/>
      <c r="I113" s="234"/>
      <c r="J113" s="234"/>
      <c r="K113" s="234"/>
      <c r="L113" s="234"/>
      <c r="M113" s="234"/>
      <c r="N113" s="234"/>
      <c r="O113" s="235"/>
      <c r="P113" s="235"/>
      <c r="Q113" s="235"/>
      <c r="R113" s="235"/>
      <c r="AF113" s="14"/>
      <c r="AG113" s="14"/>
      <c r="AH113" s="14"/>
      <c r="AI113" s="14"/>
      <c r="AJ113" s="14"/>
      <c r="AK113" s="14"/>
      <c r="AL113" s="14"/>
    </row>
    <row r="114" spans="3:38" x14ac:dyDescent="0.35">
      <c r="C114" s="232"/>
      <c r="D114" s="232"/>
      <c r="E114" s="232"/>
      <c r="F114" s="233"/>
      <c r="G114" s="234"/>
      <c r="H114" s="234"/>
      <c r="I114" s="234"/>
      <c r="J114" s="234"/>
      <c r="K114" s="234"/>
      <c r="L114" s="234"/>
      <c r="M114" s="234"/>
      <c r="N114" s="234"/>
      <c r="O114" s="235"/>
      <c r="P114" s="235"/>
      <c r="Q114" s="235"/>
      <c r="R114" s="235"/>
      <c r="AF114" s="14"/>
      <c r="AG114" s="14"/>
      <c r="AH114" s="14"/>
      <c r="AI114" s="14"/>
      <c r="AJ114" s="14"/>
      <c r="AK114" s="14"/>
      <c r="AL114" s="14"/>
    </row>
    <row r="115" spans="3:38" x14ac:dyDescent="0.35">
      <c r="K115" s="15"/>
      <c r="L115" s="15"/>
      <c r="M115" s="15"/>
      <c r="N115" s="15"/>
      <c r="AF115" s="14"/>
      <c r="AG115" s="14"/>
      <c r="AH115" s="14"/>
      <c r="AI115" s="14"/>
      <c r="AJ115" s="14"/>
      <c r="AK115" s="14"/>
      <c r="AL115" s="14"/>
    </row>
    <row r="116" spans="3:38" ht="13.5" customHeight="1" thickBot="1" x14ac:dyDescent="0.4">
      <c r="F116" s="692" t="s">
        <v>118</v>
      </c>
      <c r="G116" s="693"/>
      <c r="H116" s="693"/>
      <c r="I116" s="694"/>
      <c r="J116" s="692" t="s">
        <v>119</v>
      </c>
      <c r="K116" s="693"/>
      <c r="L116" s="693"/>
      <c r="M116" s="694"/>
      <c r="N116" s="692" t="s">
        <v>120</v>
      </c>
      <c r="O116" s="693"/>
      <c r="P116" s="693"/>
      <c r="Q116" s="693"/>
      <c r="AF116" s="14"/>
      <c r="AG116" s="14"/>
      <c r="AH116" s="14"/>
      <c r="AI116" s="14"/>
      <c r="AJ116" s="14"/>
      <c r="AK116" s="14"/>
      <c r="AL116" s="14"/>
    </row>
    <row r="117" spans="3:38" ht="13.5" customHeight="1" thickBot="1" x14ac:dyDescent="0.4">
      <c r="D117" s="14"/>
      <c r="E117" s="228" t="s">
        <v>121</v>
      </c>
      <c r="F117" s="227">
        <f>'Hazard Values'!$J$12</f>
        <v>30</v>
      </c>
      <c r="G117" s="227">
        <f>'Hazard Values'!$J$13</f>
        <v>30</v>
      </c>
      <c r="H117" s="227">
        <f>'Hazard Values'!$J$14</f>
        <v>30</v>
      </c>
      <c r="I117" s="221" t="s">
        <v>122</v>
      </c>
      <c r="J117" s="227">
        <f>'Hazard Values'!$J$12</f>
        <v>30</v>
      </c>
      <c r="K117" s="227">
        <f>'Hazard Values'!$J$13</f>
        <v>30</v>
      </c>
      <c r="L117" s="227">
        <f>'Hazard Values'!$J$14</f>
        <v>30</v>
      </c>
      <c r="M117" s="221" t="s">
        <v>122</v>
      </c>
      <c r="N117" s="227">
        <f>'Hazard Values'!$J$12</f>
        <v>30</v>
      </c>
      <c r="O117" s="227">
        <f>'Hazard Values'!$J$13</f>
        <v>30</v>
      </c>
      <c r="P117" s="227">
        <f>'Hazard Values'!$J$14</f>
        <v>30</v>
      </c>
      <c r="Q117" s="221" t="s">
        <v>122</v>
      </c>
      <c r="AF117" s="14"/>
      <c r="AG117" s="14"/>
      <c r="AH117" s="14"/>
      <c r="AI117" s="14"/>
      <c r="AJ117" s="14"/>
      <c r="AK117" s="14"/>
      <c r="AL117" s="14"/>
    </row>
    <row r="118" spans="3:38" ht="13.5" thickBot="1" x14ac:dyDescent="0.4">
      <c r="C118" s="220"/>
      <c r="D118" s="220"/>
      <c r="E118" s="229" t="s">
        <v>123</v>
      </c>
      <c r="F118" s="222">
        <f>'Hazard Values'!$I$12</f>
        <v>394</v>
      </c>
      <c r="G118" s="222">
        <f>'Hazard Values'!$I$13</f>
        <v>326</v>
      </c>
      <c r="H118" s="222">
        <f>'Hazard Values'!$I$14</f>
        <v>326</v>
      </c>
      <c r="I118" s="222">
        <f>'Hazard Values'!$L$15</f>
        <v>0</v>
      </c>
      <c r="J118" s="222">
        <f>'Hazard Values'!$I$12</f>
        <v>394</v>
      </c>
      <c r="K118" s="222">
        <f>'Hazard Values'!$I$13</f>
        <v>326</v>
      </c>
      <c r="L118" s="222">
        <f>'Hazard Values'!$I$14</f>
        <v>326</v>
      </c>
      <c r="M118" s="222">
        <f>'Hazard Values'!$L$15</f>
        <v>0</v>
      </c>
      <c r="N118" s="222">
        <f>'Hazard Values'!$I$12</f>
        <v>394</v>
      </c>
      <c r="O118" s="222">
        <f>'Hazard Values'!$I$13</f>
        <v>326</v>
      </c>
      <c r="P118" s="222">
        <f>'Hazard Values'!$I$14</f>
        <v>326</v>
      </c>
      <c r="Q118" s="222">
        <f>'Hazard Values'!$L$15</f>
        <v>0</v>
      </c>
      <c r="AF118" s="14"/>
      <c r="AG118" s="14"/>
      <c r="AH118" s="14"/>
      <c r="AI118" s="14"/>
      <c r="AJ118" s="14"/>
      <c r="AK118" s="14"/>
      <c r="AL118" s="14"/>
    </row>
    <row r="119" spans="3:38" ht="13.5" thickBot="1" x14ac:dyDescent="0.4">
      <c r="C119" s="219" t="s">
        <v>95</v>
      </c>
      <c r="D119" s="219" t="s">
        <v>110</v>
      </c>
      <c r="E119" s="219" t="s">
        <v>39</v>
      </c>
      <c r="F119" s="219" t="s">
        <v>114</v>
      </c>
      <c r="G119" s="219" t="s">
        <v>115</v>
      </c>
      <c r="H119" s="219" t="s">
        <v>116</v>
      </c>
      <c r="I119" s="219" t="s">
        <v>117</v>
      </c>
      <c r="J119" s="219" t="s">
        <v>114</v>
      </c>
      <c r="K119" s="219" t="s">
        <v>115</v>
      </c>
      <c r="L119" s="219" t="s">
        <v>116</v>
      </c>
      <c r="M119" s="219" t="s">
        <v>117</v>
      </c>
      <c r="N119" s="219" t="s">
        <v>114</v>
      </c>
      <c r="O119" s="219" t="s">
        <v>115</v>
      </c>
      <c r="P119" s="219" t="s">
        <v>116</v>
      </c>
      <c r="Q119" s="219" t="s">
        <v>117</v>
      </c>
      <c r="AF119" s="14"/>
      <c r="AG119" s="14"/>
      <c r="AH119" s="14"/>
      <c r="AI119" s="14"/>
      <c r="AJ119" s="14"/>
      <c r="AK119" s="14"/>
      <c r="AL119" s="14"/>
    </row>
    <row r="120" spans="3:38" ht="13.5" thickBot="1" x14ac:dyDescent="0.4">
      <c r="C120" s="14" t="str" cm="1">
        <f t="array" ref="C120">INDEX('List Values'!$B$2:$B$21,(1+ROUNDDOWN((ROW()-ROW($C$120))*1/6,2)))</f>
        <v>Manufacturing</v>
      </c>
      <c r="D120" s="224" t="s">
        <v>34</v>
      </c>
      <c r="E120" s="218" t="s">
        <v>52</v>
      </c>
      <c r="F120" s="230" t="e">
        <f t="shared" ref="F120:H139" si="15">F$118/G5</f>
        <v>#DIV/0!</v>
      </c>
      <c r="G120" s="230" t="e">
        <f t="shared" si="15"/>
        <v>#DIV/0!</v>
      </c>
      <c r="H120" s="230" t="e">
        <f t="shared" si="15"/>
        <v>#DIV/0!</v>
      </c>
      <c r="I120" s="201" t="e">
        <f t="shared" ref="I120:I151" si="16">I$118*J5</f>
        <v>#REF!</v>
      </c>
      <c r="J120" s="230" t="str">
        <f t="shared" ref="J120:L139" si="17">IFERROR(J$118/K5,"")</f>
        <v/>
      </c>
      <c r="K120" s="230" t="str">
        <f t="shared" si="17"/>
        <v/>
      </c>
      <c r="L120" s="230" t="str">
        <f t="shared" si="17"/>
        <v/>
      </c>
      <c r="M120" s="201" t="str">
        <f t="shared" ref="M120:M151" si="18">IFERROR(M$118*N5,"")</f>
        <v/>
      </c>
      <c r="N120" s="279" t="e">
        <f t="shared" ref="N120:P139" si="19">N$118/O5</f>
        <v>#REF!</v>
      </c>
      <c r="O120" s="279" t="e">
        <f t="shared" si="19"/>
        <v>#REF!</v>
      </c>
      <c r="P120" s="279" t="e">
        <f t="shared" si="19"/>
        <v>#REF!</v>
      </c>
      <c r="Q120" s="201" t="e">
        <f t="shared" ref="Q120:Q151" si="20">Q$118*R5</f>
        <v>#REF!</v>
      </c>
      <c r="AF120" s="14"/>
      <c r="AG120" s="14"/>
      <c r="AH120" s="14"/>
      <c r="AI120" s="14"/>
      <c r="AJ120" s="14"/>
      <c r="AK120" s="14"/>
      <c r="AL120" s="14"/>
    </row>
    <row r="121" spans="3:38" ht="13.5" thickBot="1" x14ac:dyDescent="0.4">
      <c r="C121" s="14" t="str" cm="1">
        <f t="array" ref="C121">INDEX('List Values'!$B$2:$B$21,(1+ROUNDDOWN((ROW()-ROW($C$120))*1/6,2)))</f>
        <v>Manufacturing</v>
      </c>
      <c r="D121" s="224" t="s">
        <v>34</v>
      </c>
      <c r="E121" s="224" t="s">
        <v>53</v>
      </c>
      <c r="F121" s="230" t="e">
        <f t="shared" si="15"/>
        <v>#DIV/0!</v>
      </c>
      <c r="G121" s="230" t="e">
        <f t="shared" si="15"/>
        <v>#DIV/0!</v>
      </c>
      <c r="H121" s="230" t="e">
        <f t="shared" si="15"/>
        <v>#DIV/0!</v>
      </c>
      <c r="I121" s="201" t="e">
        <f t="shared" si="16"/>
        <v>#REF!</v>
      </c>
      <c r="J121" s="230" t="str">
        <f t="shared" si="17"/>
        <v/>
      </c>
      <c r="K121" s="230" t="str">
        <f t="shared" si="17"/>
        <v/>
      </c>
      <c r="L121" s="230" t="str">
        <f t="shared" si="17"/>
        <v/>
      </c>
      <c r="M121" s="201" t="str">
        <f t="shared" si="18"/>
        <v/>
      </c>
      <c r="N121" s="279" t="e">
        <f t="shared" si="19"/>
        <v>#REF!</v>
      </c>
      <c r="O121" s="279" t="e">
        <f t="shared" si="19"/>
        <v>#REF!</v>
      </c>
      <c r="P121" s="279" t="e">
        <f t="shared" si="19"/>
        <v>#REF!</v>
      </c>
      <c r="Q121" s="201" t="e">
        <f t="shared" si="20"/>
        <v>#REF!</v>
      </c>
      <c r="AF121" s="14"/>
      <c r="AG121" s="14"/>
      <c r="AH121" s="14"/>
      <c r="AI121" s="14"/>
      <c r="AJ121" s="14"/>
      <c r="AK121" s="14"/>
      <c r="AL121" s="14"/>
    </row>
    <row r="122" spans="3:38" ht="13.5" thickBot="1" x14ac:dyDescent="0.4">
      <c r="C122" s="14" t="str" cm="1">
        <f t="array" ref="C122">INDEX('List Values'!$B$2:$B$21,(1+ROUNDDOWN((ROW()-ROW($C$120))*1/6,2)))</f>
        <v>Manufacturing</v>
      </c>
      <c r="D122" s="224" t="s">
        <v>109</v>
      </c>
      <c r="E122" s="224" t="s">
        <v>52</v>
      </c>
      <c r="F122" s="230" t="e">
        <f t="shared" si="15"/>
        <v>#DIV/0!</v>
      </c>
      <c r="G122" s="230" t="e">
        <f t="shared" si="15"/>
        <v>#DIV/0!</v>
      </c>
      <c r="H122" s="230" t="e">
        <f t="shared" si="15"/>
        <v>#DIV/0!</v>
      </c>
      <c r="I122" s="201" t="e">
        <f t="shared" si="16"/>
        <v>#REF!</v>
      </c>
      <c r="J122" s="230" t="str">
        <f t="shared" si="17"/>
        <v/>
      </c>
      <c r="K122" s="230" t="str">
        <f t="shared" si="17"/>
        <v/>
      </c>
      <c r="L122" s="230" t="str">
        <f t="shared" si="17"/>
        <v/>
      </c>
      <c r="M122" s="201" t="str">
        <f t="shared" si="18"/>
        <v/>
      </c>
      <c r="N122" s="279" t="e">
        <f t="shared" si="19"/>
        <v>#REF!</v>
      </c>
      <c r="O122" s="279" t="e">
        <f t="shared" si="19"/>
        <v>#REF!</v>
      </c>
      <c r="P122" s="279" t="e">
        <f t="shared" si="19"/>
        <v>#REF!</v>
      </c>
      <c r="Q122" s="201" t="e">
        <f t="shared" si="20"/>
        <v>#REF!</v>
      </c>
      <c r="AF122" s="14"/>
      <c r="AG122" s="14"/>
      <c r="AH122" s="14"/>
      <c r="AI122" s="14"/>
      <c r="AJ122" s="14"/>
      <c r="AK122" s="14"/>
      <c r="AL122" s="14"/>
    </row>
    <row r="123" spans="3:38" ht="13.5" thickBot="1" x14ac:dyDescent="0.4">
      <c r="C123" s="14" t="str" cm="1">
        <f t="array" ref="C123">INDEX('List Values'!$B$2:$B$21,(1+ROUNDDOWN((ROW()-ROW($C$120))*1/6,2)))</f>
        <v>Manufacturing</v>
      </c>
      <c r="D123" s="224" t="s">
        <v>109</v>
      </c>
      <c r="E123" s="224" t="s">
        <v>53</v>
      </c>
      <c r="F123" s="230" t="e">
        <f t="shared" si="15"/>
        <v>#DIV/0!</v>
      </c>
      <c r="G123" s="230" t="e">
        <f t="shared" si="15"/>
        <v>#DIV/0!</v>
      </c>
      <c r="H123" s="230" t="e">
        <f t="shared" si="15"/>
        <v>#DIV/0!</v>
      </c>
      <c r="I123" s="201" t="e">
        <f t="shared" si="16"/>
        <v>#REF!</v>
      </c>
      <c r="J123" s="230" t="str">
        <f t="shared" si="17"/>
        <v/>
      </c>
      <c r="K123" s="230" t="str">
        <f t="shared" si="17"/>
        <v/>
      </c>
      <c r="L123" s="230" t="str">
        <f t="shared" si="17"/>
        <v/>
      </c>
      <c r="M123" s="201" t="str">
        <f t="shared" si="18"/>
        <v/>
      </c>
      <c r="N123" s="279" t="e">
        <f t="shared" si="19"/>
        <v>#REF!</v>
      </c>
      <c r="O123" s="279" t="e">
        <f t="shared" si="19"/>
        <v>#REF!</v>
      </c>
      <c r="P123" s="279" t="e">
        <f t="shared" si="19"/>
        <v>#REF!</v>
      </c>
      <c r="Q123" s="201" t="e">
        <f t="shared" si="20"/>
        <v>#REF!</v>
      </c>
      <c r="AF123" s="14"/>
      <c r="AG123" s="14"/>
      <c r="AH123" s="14"/>
      <c r="AI123" s="14"/>
      <c r="AJ123" s="14"/>
      <c r="AK123" s="14"/>
      <c r="AL123" s="14"/>
    </row>
    <row r="124" spans="3:38" ht="13.5" thickBot="1" x14ac:dyDescent="0.4">
      <c r="C124" s="14" t="str" cm="1">
        <f t="array" ref="C124">INDEX('List Values'!$B$2:$B$21,(1+ROUNDDOWN((ROW()-ROW($C$120))*1/6,2)))</f>
        <v>Manufacturing</v>
      </c>
      <c r="D124" s="224" t="s">
        <v>54</v>
      </c>
      <c r="E124" s="224" t="s">
        <v>52</v>
      </c>
      <c r="F124" s="230" t="e">
        <f t="shared" si="15"/>
        <v>#DIV/0!</v>
      </c>
      <c r="G124" s="230" t="e">
        <f t="shared" si="15"/>
        <v>#DIV/0!</v>
      </c>
      <c r="H124" s="230" t="e">
        <f t="shared" si="15"/>
        <v>#DIV/0!</v>
      </c>
      <c r="I124" s="201" t="e">
        <f t="shared" si="16"/>
        <v>#REF!</v>
      </c>
      <c r="J124" s="230" t="str">
        <f t="shared" si="17"/>
        <v/>
      </c>
      <c r="K124" s="230" t="str">
        <f t="shared" si="17"/>
        <v/>
      </c>
      <c r="L124" s="230" t="str">
        <f t="shared" si="17"/>
        <v/>
      </c>
      <c r="M124" s="201" t="str">
        <f t="shared" si="18"/>
        <v/>
      </c>
      <c r="N124" s="279" t="e">
        <f t="shared" si="19"/>
        <v>#REF!</v>
      </c>
      <c r="O124" s="279" t="e">
        <f t="shared" si="19"/>
        <v>#REF!</v>
      </c>
      <c r="P124" s="279" t="e">
        <f t="shared" si="19"/>
        <v>#REF!</v>
      </c>
      <c r="Q124" s="201" t="e">
        <f t="shared" si="20"/>
        <v>#REF!</v>
      </c>
      <c r="AF124" s="14"/>
      <c r="AG124" s="14"/>
      <c r="AH124" s="14"/>
      <c r="AI124" s="14"/>
      <c r="AJ124" s="14"/>
      <c r="AK124" s="14"/>
      <c r="AL124" s="14"/>
    </row>
    <row r="125" spans="3:38" ht="13.5" thickBot="1" x14ac:dyDescent="0.4">
      <c r="C125" s="14" t="str" cm="1">
        <f t="array" ref="C125">INDEX('List Values'!$B$2:$B$21,(1+ROUNDDOWN((ROW()-ROW($C$120))*1/6,2)))</f>
        <v>Manufacturing</v>
      </c>
      <c r="D125" s="224" t="s">
        <v>54</v>
      </c>
      <c r="E125" s="224" t="s">
        <v>53</v>
      </c>
      <c r="F125" s="230" t="e">
        <f t="shared" si="15"/>
        <v>#DIV/0!</v>
      </c>
      <c r="G125" s="230" t="e">
        <f t="shared" si="15"/>
        <v>#DIV/0!</v>
      </c>
      <c r="H125" s="230" t="e">
        <f t="shared" si="15"/>
        <v>#DIV/0!</v>
      </c>
      <c r="I125" s="201" t="e">
        <f t="shared" si="16"/>
        <v>#REF!</v>
      </c>
      <c r="J125" s="230" t="str">
        <f t="shared" si="17"/>
        <v/>
      </c>
      <c r="K125" s="230" t="str">
        <f t="shared" si="17"/>
        <v/>
      </c>
      <c r="L125" s="230" t="str">
        <f t="shared" si="17"/>
        <v/>
      </c>
      <c r="M125" s="201" t="str">
        <f t="shared" si="18"/>
        <v/>
      </c>
      <c r="N125" s="279" t="e">
        <f t="shared" si="19"/>
        <v>#REF!</v>
      </c>
      <c r="O125" s="279" t="e">
        <f t="shared" si="19"/>
        <v>#REF!</v>
      </c>
      <c r="P125" s="279" t="e">
        <f t="shared" si="19"/>
        <v>#REF!</v>
      </c>
      <c r="Q125" s="201" t="e">
        <f t="shared" si="20"/>
        <v>#REF!</v>
      </c>
      <c r="AF125" s="14"/>
      <c r="AG125" s="14"/>
      <c r="AH125" s="14"/>
      <c r="AI125" s="14"/>
      <c r="AJ125" s="14"/>
      <c r="AK125" s="14"/>
      <c r="AL125" s="14"/>
    </row>
    <row r="126" spans="3:38" ht="13.5" thickBot="1" x14ac:dyDescent="0.4">
      <c r="C126" s="14" t="str" cm="1">
        <f t="array" ref="C126">INDEX('List Values'!$B$2:$B$21,(1+ROUNDDOWN((ROW()-ROW($C$120))*1/6,2)))</f>
        <v>Import - Repackaging</v>
      </c>
      <c r="D126" s="224" t="s">
        <v>34</v>
      </c>
      <c r="E126" s="218" t="s">
        <v>52</v>
      </c>
      <c r="F126" s="280" t="e">
        <f t="shared" si="15"/>
        <v>#DIV/0!</v>
      </c>
      <c r="G126" s="280" t="e">
        <f t="shared" si="15"/>
        <v>#DIV/0!</v>
      </c>
      <c r="H126" s="280" t="e">
        <f t="shared" si="15"/>
        <v>#DIV/0!</v>
      </c>
      <c r="I126" s="201" t="e">
        <f t="shared" si="16"/>
        <v>#REF!</v>
      </c>
      <c r="J126" s="230" t="str">
        <f t="shared" si="17"/>
        <v/>
      </c>
      <c r="K126" s="230" t="str">
        <f t="shared" si="17"/>
        <v/>
      </c>
      <c r="L126" s="230" t="str">
        <f t="shared" si="17"/>
        <v/>
      </c>
      <c r="M126" s="201" t="str">
        <f t="shared" si="18"/>
        <v/>
      </c>
      <c r="N126" s="279" t="e">
        <f t="shared" si="19"/>
        <v>#REF!</v>
      </c>
      <c r="O126" s="279" t="e">
        <f t="shared" si="19"/>
        <v>#REF!</v>
      </c>
      <c r="P126" s="279" t="e">
        <f t="shared" si="19"/>
        <v>#REF!</v>
      </c>
      <c r="Q126" s="201" t="e">
        <f t="shared" si="20"/>
        <v>#REF!</v>
      </c>
      <c r="AF126" s="14"/>
      <c r="AG126" s="14"/>
      <c r="AH126" s="14"/>
      <c r="AI126" s="14"/>
      <c r="AJ126" s="14"/>
      <c r="AK126" s="14"/>
      <c r="AL126" s="14"/>
    </row>
    <row r="127" spans="3:38" ht="13.5" thickBot="1" x14ac:dyDescent="0.4">
      <c r="C127" s="14" t="str" cm="1">
        <f t="array" ref="C127">INDEX('List Values'!$B$2:$B$21,(1+ROUNDDOWN((ROW()-ROW($C$120))*1/6,2)))</f>
        <v>Import - Repackaging</v>
      </c>
      <c r="D127" s="224" t="s">
        <v>34</v>
      </c>
      <c r="E127" s="224" t="s">
        <v>53</v>
      </c>
      <c r="F127" s="280" t="e">
        <f t="shared" si="15"/>
        <v>#DIV/0!</v>
      </c>
      <c r="G127" s="280" t="e">
        <f t="shared" si="15"/>
        <v>#DIV/0!</v>
      </c>
      <c r="H127" s="280" t="e">
        <f t="shared" si="15"/>
        <v>#DIV/0!</v>
      </c>
      <c r="I127" s="201" t="e">
        <f t="shared" si="16"/>
        <v>#REF!</v>
      </c>
      <c r="J127" s="230" t="str">
        <f t="shared" si="17"/>
        <v/>
      </c>
      <c r="K127" s="230" t="str">
        <f t="shared" si="17"/>
        <v/>
      </c>
      <c r="L127" s="230" t="str">
        <f t="shared" si="17"/>
        <v/>
      </c>
      <c r="M127" s="201" t="str">
        <f t="shared" si="18"/>
        <v/>
      </c>
      <c r="N127" s="279" t="e">
        <f t="shared" si="19"/>
        <v>#REF!</v>
      </c>
      <c r="O127" s="279" t="e">
        <f t="shared" si="19"/>
        <v>#REF!</v>
      </c>
      <c r="P127" s="279" t="e">
        <f t="shared" si="19"/>
        <v>#REF!</v>
      </c>
      <c r="Q127" s="201" t="e">
        <f t="shared" si="20"/>
        <v>#REF!</v>
      </c>
      <c r="AE127" s="3"/>
      <c r="AL127" s="14"/>
    </row>
    <row r="128" spans="3:38" ht="13.5" thickBot="1" x14ac:dyDescent="0.4">
      <c r="C128" s="14" t="str" cm="1">
        <f t="array" ref="C128">INDEX('List Values'!$B$2:$B$21,(1+ROUNDDOWN((ROW()-ROW($C$120))*1/6,2)))</f>
        <v>Import - Repackaging</v>
      </c>
      <c r="D128" s="224" t="s">
        <v>109</v>
      </c>
      <c r="E128" s="224" t="s">
        <v>52</v>
      </c>
      <c r="F128" s="280" t="e">
        <f t="shared" si="15"/>
        <v>#DIV/0!</v>
      </c>
      <c r="G128" s="280" t="e">
        <f t="shared" si="15"/>
        <v>#DIV/0!</v>
      </c>
      <c r="H128" s="280" t="e">
        <f t="shared" si="15"/>
        <v>#DIV/0!</v>
      </c>
      <c r="I128" s="201" t="e">
        <f t="shared" si="16"/>
        <v>#REF!</v>
      </c>
      <c r="J128" s="230" t="str">
        <f t="shared" si="17"/>
        <v/>
      </c>
      <c r="K128" s="230" t="str">
        <f t="shared" si="17"/>
        <v/>
      </c>
      <c r="L128" s="230" t="str">
        <f t="shared" si="17"/>
        <v/>
      </c>
      <c r="M128" s="201" t="str">
        <f t="shared" si="18"/>
        <v/>
      </c>
      <c r="N128" s="279" t="e">
        <f t="shared" si="19"/>
        <v>#REF!</v>
      </c>
      <c r="O128" s="279" t="e">
        <f t="shared" si="19"/>
        <v>#REF!</v>
      </c>
      <c r="P128" s="279" t="e">
        <f t="shared" si="19"/>
        <v>#REF!</v>
      </c>
      <c r="Q128" s="201" t="e">
        <f t="shared" si="20"/>
        <v>#REF!</v>
      </c>
      <c r="AE128" s="3"/>
      <c r="AL128" s="14"/>
    </row>
    <row r="129" spans="3:38" ht="13.5" thickBot="1" x14ac:dyDescent="0.4">
      <c r="C129" s="14" t="str" cm="1">
        <f t="array" ref="C129">INDEX('List Values'!$B$2:$B$21,(1+ROUNDDOWN((ROW()-ROW($C$120))*1/6,2)))</f>
        <v>Import - Repackaging</v>
      </c>
      <c r="D129" s="224" t="s">
        <v>109</v>
      </c>
      <c r="E129" s="224" t="s">
        <v>53</v>
      </c>
      <c r="F129" s="280" t="e">
        <f t="shared" si="15"/>
        <v>#DIV/0!</v>
      </c>
      <c r="G129" s="280" t="e">
        <f t="shared" si="15"/>
        <v>#DIV/0!</v>
      </c>
      <c r="H129" s="280" t="e">
        <f t="shared" si="15"/>
        <v>#DIV/0!</v>
      </c>
      <c r="I129" s="201" t="e">
        <f t="shared" si="16"/>
        <v>#REF!</v>
      </c>
      <c r="J129" s="230" t="str">
        <f t="shared" si="17"/>
        <v/>
      </c>
      <c r="K129" s="230" t="str">
        <f t="shared" si="17"/>
        <v/>
      </c>
      <c r="L129" s="230" t="str">
        <f t="shared" si="17"/>
        <v/>
      </c>
      <c r="M129" s="201" t="str">
        <f t="shared" si="18"/>
        <v/>
      </c>
      <c r="N129" s="279" t="e">
        <f t="shared" si="19"/>
        <v>#REF!</v>
      </c>
      <c r="O129" s="279" t="e">
        <f t="shared" si="19"/>
        <v>#REF!</v>
      </c>
      <c r="P129" s="279" t="e">
        <f t="shared" si="19"/>
        <v>#REF!</v>
      </c>
      <c r="Q129" s="201" t="e">
        <f t="shared" si="20"/>
        <v>#REF!</v>
      </c>
      <c r="AE129" s="3"/>
      <c r="AL129" s="14"/>
    </row>
    <row r="130" spans="3:38" ht="13.5" thickBot="1" x14ac:dyDescent="0.4">
      <c r="C130" s="14" t="str" cm="1">
        <f t="array" ref="C130">INDEX('List Values'!$B$2:$B$21,(1+ROUNDDOWN((ROW()-ROW($C$120))*1/6,2)))</f>
        <v>Import - Repackaging</v>
      </c>
      <c r="D130" s="224" t="s">
        <v>54</v>
      </c>
      <c r="E130" s="224" t="s">
        <v>52</v>
      </c>
      <c r="F130" s="280" t="e">
        <f t="shared" si="15"/>
        <v>#DIV/0!</v>
      </c>
      <c r="G130" s="280" t="e">
        <f t="shared" si="15"/>
        <v>#DIV/0!</v>
      </c>
      <c r="H130" s="280" t="e">
        <f t="shared" si="15"/>
        <v>#DIV/0!</v>
      </c>
      <c r="I130" s="201" t="e">
        <f t="shared" si="16"/>
        <v>#REF!</v>
      </c>
      <c r="J130" s="230" t="str">
        <f t="shared" si="17"/>
        <v/>
      </c>
      <c r="K130" s="230" t="str">
        <f t="shared" si="17"/>
        <v/>
      </c>
      <c r="L130" s="230" t="str">
        <f t="shared" si="17"/>
        <v/>
      </c>
      <c r="M130" s="201" t="str">
        <f t="shared" si="18"/>
        <v/>
      </c>
      <c r="N130" s="279" t="e">
        <f t="shared" si="19"/>
        <v>#REF!</v>
      </c>
      <c r="O130" s="279" t="e">
        <f t="shared" si="19"/>
        <v>#REF!</v>
      </c>
      <c r="P130" s="279" t="e">
        <f t="shared" si="19"/>
        <v>#REF!</v>
      </c>
      <c r="Q130" s="201" t="e">
        <f t="shared" si="20"/>
        <v>#REF!</v>
      </c>
      <c r="AE130" s="3"/>
      <c r="AL130" s="14"/>
    </row>
    <row r="131" spans="3:38" ht="13.5" thickBot="1" x14ac:dyDescent="0.4">
      <c r="C131" s="14" t="str" cm="1">
        <f t="array" ref="C131">INDEX('List Values'!$B$2:$B$21,(1+ROUNDDOWN((ROW()-ROW($C$120))*1/6,2)))</f>
        <v>Import - Repackaging</v>
      </c>
      <c r="D131" s="224" t="s">
        <v>54</v>
      </c>
      <c r="E131" s="224" t="s">
        <v>53</v>
      </c>
      <c r="F131" s="280" t="e">
        <f t="shared" si="15"/>
        <v>#DIV/0!</v>
      </c>
      <c r="G131" s="280" t="e">
        <f t="shared" si="15"/>
        <v>#DIV/0!</v>
      </c>
      <c r="H131" s="280" t="e">
        <f t="shared" si="15"/>
        <v>#DIV/0!</v>
      </c>
      <c r="I131" s="201" t="e">
        <f t="shared" si="16"/>
        <v>#REF!</v>
      </c>
      <c r="J131" s="230" t="str">
        <f t="shared" si="17"/>
        <v/>
      </c>
      <c r="K131" s="230" t="str">
        <f t="shared" si="17"/>
        <v/>
      </c>
      <c r="L131" s="230" t="str">
        <f t="shared" si="17"/>
        <v/>
      </c>
      <c r="M131" s="201" t="str">
        <f t="shared" si="18"/>
        <v/>
      </c>
      <c r="N131" s="279" t="e">
        <f t="shared" si="19"/>
        <v>#REF!</v>
      </c>
      <c r="O131" s="279" t="e">
        <f t="shared" si="19"/>
        <v>#REF!</v>
      </c>
      <c r="P131" s="279" t="e">
        <f t="shared" si="19"/>
        <v>#REF!</v>
      </c>
      <c r="Q131" s="201" t="e">
        <f t="shared" si="20"/>
        <v>#REF!</v>
      </c>
      <c r="AE131" s="3"/>
      <c r="AL131" s="14"/>
    </row>
    <row r="132" spans="3:38" ht="13.5" thickBot="1" x14ac:dyDescent="0.4">
      <c r="C132" s="14" t="str" cm="1">
        <f t="array" ref="C132">INDEX('List Values'!$B$2:$B$21,(1+ROUNDDOWN((ROW()-ROW($C$120))*1/6,2)))</f>
        <v>Processing as a Reactant</v>
      </c>
      <c r="D132" s="224" t="s">
        <v>34</v>
      </c>
      <c r="E132" s="218" t="s">
        <v>52</v>
      </c>
      <c r="F132" s="280" t="e">
        <f t="shared" si="15"/>
        <v>#DIV/0!</v>
      </c>
      <c r="G132" s="280" t="e">
        <f t="shared" si="15"/>
        <v>#DIV/0!</v>
      </c>
      <c r="H132" s="280" t="e">
        <f t="shared" si="15"/>
        <v>#DIV/0!</v>
      </c>
      <c r="I132" s="201" t="e">
        <f t="shared" si="16"/>
        <v>#REF!</v>
      </c>
      <c r="J132" s="230" t="str">
        <f t="shared" si="17"/>
        <v/>
      </c>
      <c r="K132" s="230" t="str">
        <f t="shared" si="17"/>
        <v/>
      </c>
      <c r="L132" s="230" t="str">
        <f t="shared" si="17"/>
        <v/>
      </c>
      <c r="M132" s="201" t="str">
        <f t="shared" si="18"/>
        <v/>
      </c>
      <c r="N132" s="279" t="e">
        <f t="shared" si="19"/>
        <v>#REF!</v>
      </c>
      <c r="O132" s="279" t="e">
        <f t="shared" si="19"/>
        <v>#REF!</v>
      </c>
      <c r="P132" s="279" t="e">
        <f t="shared" si="19"/>
        <v>#REF!</v>
      </c>
      <c r="Q132" s="201" t="e">
        <f t="shared" si="20"/>
        <v>#REF!</v>
      </c>
      <c r="AE132" s="3"/>
      <c r="AL132" s="14"/>
    </row>
    <row r="133" spans="3:38" ht="13.5" thickBot="1" x14ac:dyDescent="0.4">
      <c r="C133" s="14" t="str" cm="1">
        <f t="array" ref="C133">INDEX('List Values'!$B$2:$B$21,(1+ROUNDDOWN((ROW()-ROW($C$120))*1/6,2)))</f>
        <v>Processing as a Reactant</v>
      </c>
      <c r="D133" s="224" t="s">
        <v>34</v>
      </c>
      <c r="E133" s="224" t="s">
        <v>53</v>
      </c>
      <c r="F133" s="280" t="e">
        <f t="shared" si="15"/>
        <v>#DIV/0!</v>
      </c>
      <c r="G133" s="280" t="e">
        <f t="shared" si="15"/>
        <v>#DIV/0!</v>
      </c>
      <c r="H133" s="280" t="e">
        <f t="shared" si="15"/>
        <v>#DIV/0!</v>
      </c>
      <c r="I133" s="201" t="e">
        <f t="shared" si="16"/>
        <v>#REF!</v>
      </c>
      <c r="J133" s="230" t="str">
        <f t="shared" si="17"/>
        <v/>
      </c>
      <c r="K133" s="230" t="str">
        <f t="shared" si="17"/>
        <v/>
      </c>
      <c r="L133" s="230" t="str">
        <f t="shared" si="17"/>
        <v/>
      </c>
      <c r="M133" s="201" t="str">
        <f t="shared" si="18"/>
        <v/>
      </c>
      <c r="N133" s="279" t="e">
        <f t="shared" si="19"/>
        <v>#REF!</v>
      </c>
      <c r="O133" s="279" t="e">
        <f t="shared" si="19"/>
        <v>#REF!</v>
      </c>
      <c r="P133" s="279" t="e">
        <f t="shared" si="19"/>
        <v>#REF!</v>
      </c>
      <c r="Q133" s="201" t="e">
        <f t="shared" si="20"/>
        <v>#REF!</v>
      </c>
      <c r="AE133" s="3"/>
      <c r="AL133" s="14"/>
    </row>
    <row r="134" spans="3:38" ht="13.5" thickBot="1" x14ac:dyDescent="0.4">
      <c r="C134" s="14" t="str" cm="1">
        <f t="array" ref="C134">INDEX('List Values'!$B$2:$B$21,(1+ROUNDDOWN((ROW()-ROW($C$120))*1/6,2)))</f>
        <v>Processing as a Reactant</v>
      </c>
      <c r="D134" s="224" t="s">
        <v>109</v>
      </c>
      <c r="E134" s="224" t="s">
        <v>52</v>
      </c>
      <c r="F134" s="280" t="e">
        <f t="shared" si="15"/>
        <v>#DIV/0!</v>
      </c>
      <c r="G134" s="280" t="e">
        <f t="shared" si="15"/>
        <v>#DIV/0!</v>
      </c>
      <c r="H134" s="280" t="e">
        <f t="shared" si="15"/>
        <v>#DIV/0!</v>
      </c>
      <c r="I134" s="201" t="e">
        <f t="shared" si="16"/>
        <v>#REF!</v>
      </c>
      <c r="J134" s="230" t="str">
        <f t="shared" si="17"/>
        <v/>
      </c>
      <c r="K134" s="230" t="str">
        <f t="shared" si="17"/>
        <v/>
      </c>
      <c r="L134" s="230" t="str">
        <f t="shared" si="17"/>
        <v/>
      </c>
      <c r="M134" s="201" t="str">
        <f t="shared" si="18"/>
        <v/>
      </c>
      <c r="N134" s="279" t="e">
        <f t="shared" si="19"/>
        <v>#REF!</v>
      </c>
      <c r="O134" s="279" t="e">
        <f t="shared" si="19"/>
        <v>#REF!</v>
      </c>
      <c r="P134" s="279" t="e">
        <f t="shared" si="19"/>
        <v>#REF!</v>
      </c>
      <c r="Q134" s="201" t="e">
        <f t="shared" si="20"/>
        <v>#REF!</v>
      </c>
      <c r="AE134" s="3"/>
      <c r="AL134" s="14"/>
    </row>
    <row r="135" spans="3:38" ht="13.5" thickBot="1" x14ac:dyDescent="0.4">
      <c r="C135" s="14" t="str" cm="1">
        <f t="array" ref="C135">INDEX('List Values'!$B$2:$B$21,(1+ROUNDDOWN((ROW()-ROW($C$120))*1/6,2)))</f>
        <v>Processing as a Reactant</v>
      </c>
      <c r="D135" s="224" t="s">
        <v>109</v>
      </c>
      <c r="E135" s="224" t="s">
        <v>53</v>
      </c>
      <c r="F135" s="280" t="e">
        <f t="shared" si="15"/>
        <v>#DIV/0!</v>
      </c>
      <c r="G135" s="280" t="e">
        <f t="shared" si="15"/>
        <v>#DIV/0!</v>
      </c>
      <c r="H135" s="280" t="e">
        <f t="shared" si="15"/>
        <v>#DIV/0!</v>
      </c>
      <c r="I135" s="201" t="e">
        <f t="shared" si="16"/>
        <v>#REF!</v>
      </c>
      <c r="J135" s="230" t="str">
        <f t="shared" si="17"/>
        <v/>
      </c>
      <c r="K135" s="230" t="str">
        <f t="shared" si="17"/>
        <v/>
      </c>
      <c r="L135" s="230" t="str">
        <f t="shared" si="17"/>
        <v/>
      </c>
      <c r="M135" s="201" t="str">
        <f t="shared" si="18"/>
        <v/>
      </c>
      <c r="N135" s="279" t="e">
        <f t="shared" si="19"/>
        <v>#REF!</v>
      </c>
      <c r="O135" s="279" t="e">
        <f t="shared" si="19"/>
        <v>#REF!</v>
      </c>
      <c r="P135" s="279" t="e">
        <f t="shared" si="19"/>
        <v>#REF!</v>
      </c>
      <c r="Q135" s="201" t="e">
        <f t="shared" si="20"/>
        <v>#REF!</v>
      </c>
      <c r="AE135" s="3"/>
      <c r="AL135" s="14"/>
    </row>
    <row r="136" spans="3:38" ht="13.5" thickBot="1" x14ac:dyDescent="0.4">
      <c r="C136" s="14" t="str" cm="1">
        <f t="array" ref="C136">INDEX('List Values'!$B$2:$B$21,(1+ROUNDDOWN((ROW()-ROW($C$120))*1/6,2)))</f>
        <v>Processing as a Reactant</v>
      </c>
      <c r="D136" s="224" t="s">
        <v>54</v>
      </c>
      <c r="E136" s="224" t="s">
        <v>52</v>
      </c>
      <c r="F136" s="280" t="e">
        <f t="shared" si="15"/>
        <v>#DIV/0!</v>
      </c>
      <c r="G136" s="280" t="e">
        <f t="shared" si="15"/>
        <v>#DIV/0!</v>
      </c>
      <c r="H136" s="280" t="e">
        <f t="shared" si="15"/>
        <v>#DIV/0!</v>
      </c>
      <c r="I136" s="201" t="e">
        <f t="shared" si="16"/>
        <v>#REF!</v>
      </c>
      <c r="J136" s="230" t="str">
        <f t="shared" si="17"/>
        <v/>
      </c>
      <c r="K136" s="230" t="str">
        <f t="shared" si="17"/>
        <v/>
      </c>
      <c r="L136" s="230" t="str">
        <f t="shared" si="17"/>
        <v/>
      </c>
      <c r="M136" s="201" t="str">
        <f t="shared" si="18"/>
        <v/>
      </c>
      <c r="N136" s="279" t="e">
        <f t="shared" si="19"/>
        <v>#REF!</v>
      </c>
      <c r="O136" s="279" t="e">
        <f t="shared" si="19"/>
        <v>#REF!</v>
      </c>
      <c r="P136" s="279" t="e">
        <f t="shared" si="19"/>
        <v>#REF!</v>
      </c>
      <c r="Q136" s="201" t="e">
        <f t="shared" si="20"/>
        <v>#REF!</v>
      </c>
      <c r="AE136" s="3"/>
      <c r="AL136" s="14"/>
    </row>
    <row r="137" spans="3:38" ht="13.5" thickBot="1" x14ac:dyDescent="0.4">
      <c r="C137" s="14" t="str" cm="1">
        <f t="array" ref="C137">INDEX('List Values'!$B$2:$B$21,(1+ROUNDDOWN((ROW()-ROW($C$120))*1/6,2)))</f>
        <v>Processing as a Reactant</v>
      </c>
      <c r="D137" s="224" t="s">
        <v>54</v>
      </c>
      <c r="E137" s="224" t="s">
        <v>53</v>
      </c>
      <c r="F137" s="280" t="e">
        <f t="shared" si="15"/>
        <v>#DIV/0!</v>
      </c>
      <c r="G137" s="280" t="e">
        <f t="shared" si="15"/>
        <v>#DIV/0!</v>
      </c>
      <c r="H137" s="280" t="e">
        <f t="shared" si="15"/>
        <v>#DIV/0!</v>
      </c>
      <c r="I137" s="201" t="e">
        <f t="shared" si="16"/>
        <v>#REF!</v>
      </c>
      <c r="J137" s="230" t="str">
        <f t="shared" si="17"/>
        <v/>
      </c>
      <c r="K137" s="230" t="str">
        <f t="shared" si="17"/>
        <v/>
      </c>
      <c r="L137" s="230" t="str">
        <f t="shared" si="17"/>
        <v/>
      </c>
      <c r="M137" s="201" t="str">
        <f t="shared" si="18"/>
        <v/>
      </c>
      <c r="N137" s="279" t="e">
        <f t="shared" si="19"/>
        <v>#REF!</v>
      </c>
      <c r="O137" s="279" t="e">
        <f t="shared" si="19"/>
        <v>#REF!</v>
      </c>
      <c r="P137" s="279" t="e">
        <f t="shared" si="19"/>
        <v>#REF!</v>
      </c>
      <c r="Q137" s="201" t="e">
        <f t="shared" si="20"/>
        <v>#REF!</v>
      </c>
      <c r="AE137" s="3"/>
      <c r="AL137" s="14"/>
    </row>
    <row r="138" spans="3:38" ht="13.5" thickBot="1" x14ac:dyDescent="0.4">
      <c r="C138" s="14" t="str" cm="1">
        <f t="array" ref="C138">INDEX('List Values'!$B$2:$B$21,(1+ROUNDDOWN((ROW()-ROW($C$120))*1/6,2)))</f>
        <v>Formulation of Paints and Coatings</v>
      </c>
      <c r="D138" s="224" t="s">
        <v>34</v>
      </c>
      <c r="E138" s="218" t="s">
        <v>52</v>
      </c>
      <c r="F138" s="280" t="e">
        <f t="shared" si="15"/>
        <v>#DIV/0!</v>
      </c>
      <c r="G138" s="280" t="e">
        <f t="shared" si="15"/>
        <v>#DIV/0!</v>
      </c>
      <c r="H138" s="280" t="e">
        <f t="shared" si="15"/>
        <v>#DIV/0!</v>
      </c>
      <c r="I138" s="201" t="e">
        <f t="shared" si="16"/>
        <v>#REF!</v>
      </c>
      <c r="J138" s="230" t="str">
        <f t="shared" si="17"/>
        <v/>
      </c>
      <c r="K138" s="230" t="str">
        <f t="shared" si="17"/>
        <v/>
      </c>
      <c r="L138" s="230" t="str">
        <f t="shared" si="17"/>
        <v/>
      </c>
      <c r="M138" s="201" t="str">
        <f t="shared" si="18"/>
        <v/>
      </c>
      <c r="N138" s="279" t="e">
        <f t="shared" si="19"/>
        <v>#REF!</v>
      </c>
      <c r="O138" s="279" t="e">
        <f t="shared" si="19"/>
        <v>#REF!</v>
      </c>
      <c r="P138" s="279" t="e">
        <f t="shared" si="19"/>
        <v>#REF!</v>
      </c>
      <c r="Q138" s="201" t="e">
        <f t="shared" si="20"/>
        <v>#REF!</v>
      </c>
      <c r="AE138" s="3"/>
      <c r="AL138" s="14"/>
    </row>
    <row r="139" spans="3:38" ht="13.5" thickBot="1" x14ac:dyDescent="0.4">
      <c r="C139" s="14" t="str" cm="1">
        <f t="array" ref="C139">INDEX('List Values'!$B$2:$B$21,(1+ROUNDDOWN((ROW()-ROW($C$120))*1/6,2)))</f>
        <v>Formulation of Paints and Coatings</v>
      </c>
      <c r="D139" s="224" t="s">
        <v>34</v>
      </c>
      <c r="E139" s="224" t="s">
        <v>53</v>
      </c>
      <c r="F139" s="280" t="e">
        <f t="shared" si="15"/>
        <v>#DIV/0!</v>
      </c>
      <c r="G139" s="280" t="e">
        <f t="shared" si="15"/>
        <v>#DIV/0!</v>
      </c>
      <c r="H139" s="280" t="e">
        <f t="shared" si="15"/>
        <v>#DIV/0!</v>
      </c>
      <c r="I139" s="201" t="e">
        <f t="shared" si="16"/>
        <v>#REF!</v>
      </c>
      <c r="J139" s="230" t="str">
        <f t="shared" si="17"/>
        <v/>
      </c>
      <c r="K139" s="230" t="str">
        <f t="shared" si="17"/>
        <v/>
      </c>
      <c r="L139" s="230" t="str">
        <f t="shared" si="17"/>
        <v/>
      </c>
      <c r="M139" s="201" t="str">
        <f t="shared" si="18"/>
        <v/>
      </c>
      <c r="N139" s="279" t="e">
        <f t="shared" si="19"/>
        <v>#REF!</v>
      </c>
      <c r="O139" s="279" t="e">
        <f t="shared" si="19"/>
        <v>#REF!</v>
      </c>
      <c r="P139" s="279" t="e">
        <f t="shared" si="19"/>
        <v>#REF!</v>
      </c>
      <c r="Q139" s="201" t="e">
        <f t="shared" si="20"/>
        <v>#REF!</v>
      </c>
      <c r="AE139" s="3"/>
      <c r="AL139" s="14"/>
    </row>
    <row r="140" spans="3:38" ht="13.5" thickBot="1" x14ac:dyDescent="0.4">
      <c r="C140" s="14" t="str" cm="1">
        <f t="array" ref="C140">INDEX('List Values'!$B$2:$B$21,(1+ROUNDDOWN((ROW()-ROW($C$120))*1/6,2)))</f>
        <v>Formulation of Paints and Coatings</v>
      </c>
      <c r="D140" s="224" t="s">
        <v>109</v>
      </c>
      <c r="E140" s="224" t="s">
        <v>52</v>
      </c>
      <c r="F140" s="280" t="e">
        <f t="shared" ref="F140:H159" si="21">F$118/G25</f>
        <v>#DIV/0!</v>
      </c>
      <c r="G140" s="280" t="e">
        <f t="shared" si="21"/>
        <v>#DIV/0!</v>
      </c>
      <c r="H140" s="280" t="e">
        <f t="shared" si="21"/>
        <v>#DIV/0!</v>
      </c>
      <c r="I140" s="201" t="e">
        <f t="shared" si="16"/>
        <v>#REF!</v>
      </c>
      <c r="J140" s="230" t="str">
        <f t="shared" ref="J140:L159" si="22">IFERROR(J$118/K25,"")</f>
        <v/>
      </c>
      <c r="K140" s="230" t="str">
        <f t="shared" si="22"/>
        <v/>
      </c>
      <c r="L140" s="230" t="str">
        <f t="shared" si="22"/>
        <v/>
      </c>
      <c r="M140" s="201" t="str">
        <f t="shared" si="18"/>
        <v/>
      </c>
      <c r="N140" s="279" t="e">
        <f t="shared" ref="N140:P159" si="23">N$118/O25</f>
        <v>#REF!</v>
      </c>
      <c r="O140" s="279" t="e">
        <f t="shared" si="23"/>
        <v>#REF!</v>
      </c>
      <c r="P140" s="279" t="e">
        <f t="shared" si="23"/>
        <v>#REF!</v>
      </c>
      <c r="Q140" s="201" t="e">
        <f t="shared" si="20"/>
        <v>#REF!</v>
      </c>
      <c r="AE140" s="3"/>
      <c r="AL140" s="14"/>
    </row>
    <row r="141" spans="3:38" ht="13.5" thickBot="1" x14ac:dyDescent="0.4">
      <c r="C141" s="14" t="str" cm="1">
        <f t="array" ref="C141">INDEX('List Values'!$B$2:$B$21,(1+ROUNDDOWN((ROW()-ROW($C$120))*1/6,2)))</f>
        <v>Formulation of Paints and Coatings</v>
      </c>
      <c r="D141" s="224" t="s">
        <v>109</v>
      </c>
      <c r="E141" s="224" t="s">
        <v>53</v>
      </c>
      <c r="F141" s="280" t="e">
        <f t="shared" si="21"/>
        <v>#DIV/0!</v>
      </c>
      <c r="G141" s="280" t="e">
        <f t="shared" si="21"/>
        <v>#DIV/0!</v>
      </c>
      <c r="H141" s="280" t="e">
        <f t="shared" si="21"/>
        <v>#DIV/0!</v>
      </c>
      <c r="I141" s="201" t="e">
        <f t="shared" si="16"/>
        <v>#REF!</v>
      </c>
      <c r="J141" s="230" t="str">
        <f t="shared" si="22"/>
        <v/>
      </c>
      <c r="K141" s="230" t="str">
        <f t="shared" si="22"/>
        <v/>
      </c>
      <c r="L141" s="230" t="str">
        <f t="shared" si="22"/>
        <v/>
      </c>
      <c r="M141" s="201" t="str">
        <f t="shared" si="18"/>
        <v/>
      </c>
      <c r="N141" s="279" t="e">
        <f t="shared" si="23"/>
        <v>#REF!</v>
      </c>
      <c r="O141" s="279" t="e">
        <f t="shared" si="23"/>
        <v>#REF!</v>
      </c>
      <c r="P141" s="279" t="e">
        <f t="shared" si="23"/>
        <v>#REF!</v>
      </c>
      <c r="Q141" s="201" t="e">
        <f t="shared" si="20"/>
        <v>#REF!</v>
      </c>
      <c r="AE141" s="3"/>
      <c r="AL141" s="14"/>
    </row>
    <row r="142" spans="3:38" ht="13.5" thickBot="1" x14ac:dyDescent="0.4">
      <c r="C142" s="14" t="str" cm="1">
        <f t="array" ref="C142">INDEX('List Values'!$B$2:$B$21,(1+ROUNDDOWN((ROW()-ROW($C$120))*1/6,2)))</f>
        <v>Formulation of Paints and Coatings</v>
      </c>
      <c r="D142" s="224" t="s">
        <v>54</v>
      </c>
      <c r="E142" s="224" t="s">
        <v>52</v>
      </c>
      <c r="F142" s="280" t="e">
        <f t="shared" si="21"/>
        <v>#DIV/0!</v>
      </c>
      <c r="G142" s="280" t="e">
        <f t="shared" si="21"/>
        <v>#DIV/0!</v>
      </c>
      <c r="H142" s="280" t="e">
        <f t="shared" si="21"/>
        <v>#DIV/0!</v>
      </c>
      <c r="I142" s="201" t="e">
        <f t="shared" si="16"/>
        <v>#REF!</v>
      </c>
      <c r="J142" s="230" t="str">
        <f t="shared" si="22"/>
        <v/>
      </c>
      <c r="K142" s="230" t="str">
        <f t="shared" si="22"/>
        <v/>
      </c>
      <c r="L142" s="230" t="str">
        <f t="shared" si="22"/>
        <v/>
      </c>
      <c r="M142" s="201" t="str">
        <f t="shared" si="18"/>
        <v/>
      </c>
      <c r="N142" s="279" t="e">
        <f t="shared" si="23"/>
        <v>#REF!</v>
      </c>
      <c r="O142" s="279" t="e">
        <f t="shared" si="23"/>
        <v>#REF!</v>
      </c>
      <c r="P142" s="279" t="e">
        <f t="shared" si="23"/>
        <v>#REF!</v>
      </c>
      <c r="Q142" s="201" t="e">
        <f t="shared" si="20"/>
        <v>#REF!</v>
      </c>
      <c r="AE142" s="3"/>
      <c r="AL142" s="14"/>
    </row>
    <row r="143" spans="3:38" ht="13.5" thickBot="1" x14ac:dyDescent="0.4">
      <c r="C143" s="14" t="str" cm="1">
        <f t="array" ref="C143">INDEX('List Values'!$B$2:$B$21,(1+ROUNDDOWN((ROW()-ROW($C$120))*1/6,2)))</f>
        <v>Formulation of Paints and Coatings</v>
      </c>
      <c r="D143" s="224" t="s">
        <v>54</v>
      </c>
      <c r="E143" s="224" t="s">
        <v>53</v>
      </c>
      <c r="F143" s="280" t="e">
        <f t="shared" si="21"/>
        <v>#DIV/0!</v>
      </c>
      <c r="G143" s="280" t="e">
        <f t="shared" si="21"/>
        <v>#DIV/0!</v>
      </c>
      <c r="H143" s="280" t="e">
        <f t="shared" si="21"/>
        <v>#DIV/0!</v>
      </c>
      <c r="I143" s="201" t="e">
        <f t="shared" si="16"/>
        <v>#REF!</v>
      </c>
      <c r="J143" s="230" t="str">
        <f t="shared" si="22"/>
        <v/>
      </c>
      <c r="K143" s="230" t="str">
        <f t="shared" si="22"/>
        <v/>
      </c>
      <c r="L143" s="230" t="str">
        <f t="shared" si="22"/>
        <v/>
      </c>
      <c r="M143" s="201" t="str">
        <f t="shared" si="18"/>
        <v/>
      </c>
      <c r="N143" s="279" t="e">
        <f t="shared" si="23"/>
        <v>#REF!</v>
      </c>
      <c r="O143" s="279" t="e">
        <f t="shared" si="23"/>
        <v>#REF!</v>
      </c>
      <c r="P143" s="279" t="e">
        <f t="shared" si="23"/>
        <v>#REF!</v>
      </c>
      <c r="Q143" s="201" t="e">
        <f t="shared" si="20"/>
        <v>#REF!</v>
      </c>
      <c r="AE143" s="3"/>
      <c r="AL143" s="14"/>
    </row>
    <row r="144" spans="3:38" ht="13.5" thickBot="1" x14ac:dyDescent="0.4">
      <c r="C144" s="14" t="str" cm="1">
        <f t="array" ref="C144">INDEX('List Values'!$B$2:$B$21,(1+ROUNDDOWN((ROW()-ROW($C$120))*1/6,2)))</f>
        <v>Spray Application of Paints and Coatings - 1-day application</v>
      </c>
      <c r="D144" s="224" t="s">
        <v>34</v>
      </c>
      <c r="E144" s="218" t="s">
        <v>52</v>
      </c>
      <c r="F144" s="280" t="e">
        <f t="shared" si="21"/>
        <v>#DIV/0!</v>
      </c>
      <c r="G144" s="280" t="e">
        <f t="shared" si="21"/>
        <v>#DIV/0!</v>
      </c>
      <c r="H144" s="280" t="e">
        <f t="shared" si="21"/>
        <v>#DIV/0!</v>
      </c>
      <c r="I144" s="201" t="e">
        <f t="shared" si="16"/>
        <v>#REF!</v>
      </c>
      <c r="J144" s="230" t="str">
        <f t="shared" si="22"/>
        <v/>
      </c>
      <c r="K144" s="230" t="str">
        <f t="shared" si="22"/>
        <v/>
      </c>
      <c r="L144" s="230" t="str">
        <f t="shared" si="22"/>
        <v/>
      </c>
      <c r="M144" s="201" t="str">
        <f t="shared" si="18"/>
        <v/>
      </c>
      <c r="N144" s="279" t="e">
        <f t="shared" si="23"/>
        <v>#REF!</v>
      </c>
      <c r="O144" s="279" t="e">
        <f t="shared" si="23"/>
        <v>#REF!</v>
      </c>
      <c r="P144" s="279" t="e">
        <f t="shared" si="23"/>
        <v>#REF!</v>
      </c>
      <c r="Q144" s="201" t="e">
        <f t="shared" si="20"/>
        <v>#REF!</v>
      </c>
      <c r="AE144" s="3"/>
      <c r="AL144" s="14"/>
    </row>
    <row r="145" spans="3:38" ht="13.5" thickBot="1" x14ac:dyDescent="0.4">
      <c r="C145" s="14" t="str" cm="1">
        <f t="array" ref="C145">INDEX('List Values'!$B$2:$B$21,(1+ROUNDDOWN((ROW()-ROW($C$120))*1/6,2)))</f>
        <v>Spray Application of Paints and Coatings - 1-day application</v>
      </c>
      <c r="D145" s="224" t="s">
        <v>34</v>
      </c>
      <c r="E145" s="224" t="s">
        <v>53</v>
      </c>
      <c r="F145" s="280" t="e">
        <f t="shared" si="21"/>
        <v>#DIV/0!</v>
      </c>
      <c r="G145" s="280" t="e">
        <f t="shared" si="21"/>
        <v>#DIV/0!</v>
      </c>
      <c r="H145" s="280" t="e">
        <f t="shared" si="21"/>
        <v>#DIV/0!</v>
      </c>
      <c r="I145" s="201" t="e">
        <f t="shared" si="16"/>
        <v>#REF!</v>
      </c>
      <c r="J145" s="230" t="str">
        <f t="shared" si="22"/>
        <v/>
      </c>
      <c r="K145" s="230" t="str">
        <f t="shared" si="22"/>
        <v/>
      </c>
      <c r="L145" s="230" t="str">
        <f t="shared" si="22"/>
        <v/>
      </c>
      <c r="M145" s="201" t="str">
        <f t="shared" si="18"/>
        <v/>
      </c>
      <c r="N145" s="279" t="e">
        <f t="shared" si="23"/>
        <v>#REF!</v>
      </c>
      <c r="O145" s="279" t="e">
        <f t="shared" si="23"/>
        <v>#REF!</v>
      </c>
      <c r="P145" s="279" t="e">
        <f t="shared" si="23"/>
        <v>#REF!</v>
      </c>
      <c r="Q145" s="201" t="e">
        <f t="shared" si="20"/>
        <v>#REF!</v>
      </c>
      <c r="AE145" s="3"/>
      <c r="AL145" s="14"/>
    </row>
    <row r="146" spans="3:38" ht="13.5" thickBot="1" x14ac:dyDescent="0.4">
      <c r="C146" s="14" t="str" cm="1">
        <f t="array" ref="C146">INDEX('List Values'!$B$2:$B$21,(1+ROUNDDOWN((ROW()-ROW($C$120))*1/6,2)))</f>
        <v>Spray Application of Paints and Coatings - 1-day application</v>
      </c>
      <c r="D146" s="224" t="s">
        <v>109</v>
      </c>
      <c r="E146" s="224" t="s">
        <v>52</v>
      </c>
      <c r="F146" s="280" t="e">
        <f t="shared" si="21"/>
        <v>#DIV/0!</v>
      </c>
      <c r="G146" s="280" t="e">
        <f t="shared" si="21"/>
        <v>#DIV/0!</v>
      </c>
      <c r="H146" s="280" t="e">
        <f t="shared" si="21"/>
        <v>#DIV/0!</v>
      </c>
      <c r="I146" s="201" t="e">
        <f t="shared" si="16"/>
        <v>#REF!</v>
      </c>
      <c r="J146" s="230" t="str">
        <f t="shared" si="22"/>
        <v/>
      </c>
      <c r="K146" s="230" t="str">
        <f t="shared" si="22"/>
        <v/>
      </c>
      <c r="L146" s="230" t="str">
        <f t="shared" si="22"/>
        <v/>
      </c>
      <c r="M146" s="201" t="str">
        <f t="shared" si="18"/>
        <v/>
      </c>
      <c r="N146" s="279" t="e">
        <f t="shared" si="23"/>
        <v>#REF!</v>
      </c>
      <c r="O146" s="279" t="e">
        <f t="shared" si="23"/>
        <v>#REF!</v>
      </c>
      <c r="P146" s="279" t="e">
        <f t="shared" si="23"/>
        <v>#REF!</v>
      </c>
      <c r="Q146" s="201" t="e">
        <f t="shared" si="20"/>
        <v>#REF!</v>
      </c>
      <c r="AE146" s="3"/>
      <c r="AL146" s="14"/>
    </row>
    <row r="147" spans="3:38" ht="13.5" thickBot="1" x14ac:dyDescent="0.4">
      <c r="C147" s="14" t="str" cm="1">
        <f t="array" ref="C147">INDEX('List Values'!$B$2:$B$21,(1+ROUNDDOWN((ROW()-ROW($C$120))*1/6,2)))</f>
        <v>Spray Application of Paints and Coatings - 1-day application</v>
      </c>
      <c r="D147" s="224" t="s">
        <v>109</v>
      </c>
      <c r="E147" s="224" t="s">
        <v>53</v>
      </c>
      <c r="F147" s="280" t="e">
        <f t="shared" si="21"/>
        <v>#DIV/0!</v>
      </c>
      <c r="G147" s="280" t="e">
        <f t="shared" si="21"/>
        <v>#DIV/0!</v>
      </c>
      <c r="H147" s="280" t="e">
        <f t="shared" si="21"/>
        <v>#DIV/0!</v>
      </c>
      <c r="I147" s="201" t="e">
        <f t="shared" si="16"/>
        <v>#REF!</v>
      </c>
      <c r="J147" s="230" t="str">
        <f t="shared" si="22"/>
        <v/>
      </c>
      <c r="K147" s="230" t="str">
        <f t="shared" si="22"/>
        <v/>
      </c>
      <c r="L147" s="230" t="str">
        <f t="shared" si="22"/>
        <v/>
      </c>
      <c r="M147" s="201" t="str">
        <f t="shared" si="18"/>
        <v/>
      </c>
      <c r="N147" s="279" t="e">
        <f t="shared" si="23"/>
        <v>#REF!</v>
      </c>
      <c r="O147" s="279" t="e">
        <f t="shared" si="23"/>
        <v>#REF!</v>
      </c>
      <c r="P147" s="279" t="e">
        <f t="shared" si="23"/>
        <v>#REF!</v>
      </c>
      <c r="Q147" s="201" t="e">
        <f t="shared" si="20"/>
        <v>#REF!</v>
      </c>
      <c r="AE147" s="3"/>
      <c r="AL147" s="14"/>
    </row>
    <row r="148" spans="3:38" ht="13.5" thickBot="1" x14ac:dyDescent="0.4">
      <c r="C148" s="14" t="str" cm="1">
        <f t="array" ref="C148">INDEX('List Values'!$B$2:$B$21,(1+ROUNDDOWN((ROW()-ROW($C$120))*1/6,2)))</f>
        <v>Spray Application of Paints and Coatings - 1-day application</v>
      </c>
      <c r="D148" s="224" t="s">
        <v>54</v>
      </c>
      <c r="E148" s="224" t="s">
        <v>52</v>
      </c>
      <c r="F148" s="280" t="e">
        <f t="shared" si="21"/>
        <v>#DIV/0!</v>
      </c>
      <c r="G148" s="280" t="e">
        <f t="shared" si="21"/>
        <v>#DIV/0!</v>
      </c>
      <c r="H148" s="280" t="e">
        <f t="shared" si="21"/>
        <v>#DIV/0!</v>
      </c>
      <c r="I148" s="201" t="e">
        <f t="shared" si="16"/>
        <v>#REF!</v>
      </c>
      <c r="J148" s="230" t="str">
        <f t="shared" si="22"/>
        <v/>
      </c>
      <c r="K148" s="230" t="str">
        <f t="shared" si="22"/>
        <v/>
      </c>
      <c r="L148" s="230" t="str">
        <f t="shared" si="22"/>
        <v/>
      </c>
      <c r="M148" s="201" t="str">
        <f t="shared" si="18"/>
        <v/>
      </c>
      <c r="N148" s="279" t="e">
        <f t="shared" si="23"/>
        <v>#REF!</v>
      </c>
      <c r="O148" s="279" t="e">
        <f t="shared" si="23"/>
        <v>#REF!</v>
      </c>
      <c r="P148" s="279" t="e">
        <f t="shared" si="23"/>
        <v>#REF!</v>
      </c>
      <c r="Q148" s="201" t="e">
        <f t="shared" si="20"/>
        <v>#REF!</v>
      </c>
      <c r="AE148" s="3"/>
      <c r="AL148" s="14"/>
    </row>
    <row r="149" spans="3:38" ht="13.5" thickBot="1" x14ac:dyDescent="0.4">
      <c r="C149" s="14" t="str" cm="1">
        <f t="array" ref="C149">INDEX('List Values'!$B$2:$B$21,(1+ROUNDDOWN((ROW()-ROW($C$120))*1/6,2)))</f>
        <v>Spray Application of Paints and Coatings - 1-day application</v>
      </c>
      <c r="D149" s="224" t="s">
        <v>54</v>
      </c>
      <c r="E149" s="224" t="s">
        <v>53</v>
      </c>
      <c r="F149" s="280" t="e">
        <f t="shared" si="21"/>
        <v>#DIV/0!</v>
      </c>
      <c r="G149" s="280" t="e">
        <f t="shared" si="21"/>
        <v>#DIV/0!</v>
      </c>
      <c r="H149" s="280" t="e">
        <f t="shared" si="21"/>
        <v>#DIV/0!</v>
      </c>
      <c r="I149" s="201" t="e">
        <f t="shared" si="16"/>
        <v>#REF!</v>
      </c>
      <c r="J149" s="230" t="str">
        <f t="shared" si="22"/>
        <v/>
      </c>
      <c r="K149" s="230" t="str">
        <f t="shared" si="22"/>
        <v/>
      </c>
      <c r="L149" s="230" t="str">
        <f t="shared" si="22"/>
        <v/>
      </c>
      <c r="M149" s="201" t="str">
        <f t="shared" si="18"/>
        <v/>
      </c>
      <c r="N149" s="279" t="e">
        <f t="shared" si="23"/>
        <v>#REF!</v>
      </c>
      <c r="O149" s="279" t="e">
        <f t="shared" si="23"/>
        <v>#REF!</v>
      </c>
      <c r="P149" s="279" t="e">
        <f t="shared" si="23"/>
        <v>#REF!</v>
      </c>
      <c r="Q149" s="201" t="e">
        <f t="shared" si="20"/>
        <v>#REF!</v>
      </c>
      <c r="AE149" s="3"/>
      <c r="AL149" s="14"/>
    </row>
    <row r="150" spans="3:38" ht="13.5" thickBot="1" x14ac:dyDescent="0.4">
      <c r="C150" s="14" t="str" cm="1">
        <f t="array" ref="C150">INDEX('List Values'!$B$2:$B$21,(1+ROUNDDOWN((ROW()-ROW($C$120))*1/6,2)))</f>
        <v>Spray Application of Paints and Coatings - 2-day application</v>
      </c>
      <c r="D150" s="224" t="s">
        <v>34</v>
      </c>
      <c r="E150" s="218" t="s">
        <v>52</v>
      </c>
      <c r="F150" s="280" t="e">
        <f t="shared" si="21"/>
        <v>#DIV/0!</v>
      </c>
      <c r="G150" s="280" t="e">
        <f t="shared" si="21"/>
        <v>#DIV/0!</v>
      </c>
      <c r="H150" s="280" t="e">
        <f t="shared" si="21"/>
        <v>#DIV/0!</v>
      </c>
      <c r="I150" s="201" t="e">
        <f t="shared" si="16"/>
        <v>#REF!</v>
      </c>
      <c r="J150" s="230" t="str">
        <f t="shared" si="22"/>
        <v/>
      </c>
      <c r="K150" s="230" t="str">
        <f t="shared" si="22"/>
        <v/>
      </c>
      <c r="L150" s="230" t="str">
        <f t="shared" si="22"/>
        <v/>
      </c>
      <c r="M150" s="201" t="str">
        <f t="shared" si="18"/>
        <v/>
      </c>
      <c r="N150" s="279" t="e">
        <f t="shared" si="23"/>
        <v>#REF!</v>
      </c>
      <c r="O150" s="279" t="e">
        <f t="shared" si="23"/>
        <v>#REF!</v>
      </c>
      <c r="P150" s="279" t="e">
        <f t="shared" si="23"/>
        <v>#REF!</v>
      </c>
      <c r="Q150" s="201" t="e">
        <f t="shared" si="20"/>
        <v>#REF!</v>
      </c>
      <c r="AE150" s="3"/>
      <c r="AL150" s="14"/>
    </row>
    <row r="151" spans="3:38" ht="13.5" thickBot="1" x14ac:dyDescent="0.4">
      <c r="C151" s="14" t="str" cm="1">
        <f t="array" ref="C151">INDEX('List Values'!$B$2:$B$21,(1+ROUNDDOWN((ROW()-ROW($C$120))*1/6,2)))</f>
        <v>Spray Application of Paints and Coatings - 2-day application</v>
      </c>
      <c r="D151" s="224" t="s">
        <v>34</v>
      </c>
      <c r="E151" s="224" t="s">
        <v>53</v>
      </c>
      <c r="F151" s="280" t="e">
        <f t="shared" si="21"/>
        <v>#DIV/0!</v>
      </c>
      <c r="G151" s="280" t="e">
        <f t="shared" si="21"/>
        <v>#DIV/0!</v>
      </c>
      <c r="H151" s="280" t="e">
        <f t="shared" si="21"/>
        <v>#DIV/0!</v>
      </c>
      <c r="I151" s="201" t="e">
        <f t="shared" si="16"/>
        <v>#REF!</v>
      </c>
      <c r="J151" s="230" t="str">
        <f t="shared" si="22"/>
        <v/>
      </c>
      <c r="K151" s="230" t="str">
        <f t="shared" si="22"/>
        <v/>
      </c>
      <c r="L151" s="230" t="str">
        <f t="shared" si="22"/>
        <v/>
      </c>
      <c r="M151" s="201" t="str">
        <f t="shared" si="18"/>
        <v/>
      </c>
      <c r="N151" s="279" t="e">
        <f t="shared" si="23"/>
        <v>#REF!</v>
      </c>
      <c r="O151" s="279" t="e">
        <f t="shared" si="23"/>
        <v>#REF!</v>
      </c>
      <c r="P151" s="279" t="e">
        <f t="shared" si="23"/>
        <v>#REF!</v>
      </c>
      <c r="Q151" s="201" t="e">
        <f t="shared" si="20"/>
        <v>#REF!</v>
      </c>
      <c r="AE151" s="3"/>
      <c r="AL151" s="14"/>
    </row>
    <row r="152" spans="3:38" ht="13.5" thickBot="1" x14ac:dyDescent="0.4">
      <c r="C152" s="14" t="str" cm="1">
        <f t="array" ref="C152">INDEX('List Values'!$B$2:$B$21,(1+ROUNDDOWN((ROW()-ROW($C$120))*1/6,2)))</f>
        <v>Spray Application of Paints and Coatings - 2-day application</v>
      </c>
      <c r="D152" s="224" t="s">
        <v>109</v>
      </c>
      <c r="E152" s="224" t="s">
        <v>52</v>
      </c>
      <c r="F152" s="280" t="e">
        <f t="shared" si="21"/>
        <v>#DIV/0!</v>
      </c>
      <c r="G152" s="280" t="e">
        <f t="shared" si="21"/>
        <v>#DIV/0!</v>
      </c>
      <c r="H152" s="280" t="e">
        <f t="shared" si="21"/>
        <v>#DIV/0!</v>
      </c>
      <c r="I152" s="201" t="e">
        <f t="shared" ref="I152:I183" si="24">I$118*J37</f>
        <v>#REF!</v>
      </c>
      <c r="J152" s="230" t="str">
        <f t="shared" si="22"/>
        <v/>
      </c>
      <c r="K152" s="230" t="str">
        <f t="shared" si="22"/>
        <v/>
      </c>
      <c r="L152" s="230" t="str">
        <f t="shared" si="22"/>
        <v/>
      </c>
      <c r="M152" s="201" t="str">
        <f t="shared" ref="M152:M183" si="25">IFERROR(M$118*N37,"")</f>
        <v/>
      </c>
      <c r="N152" s="279" t="e">
        <f t="shared" si="23"/>
        <v>#REF!</v>
      </c>
      <c r="O152" s="279" t="e">
        <f t="shared" si="23"/>
        <v>#REF!</v>
      </c>
      <c r="P152" s="279" t="e">
        <f t="shared" si="23"/>
        <v>#REF!</v>
      </c>
      <c r="Q152" s="201" t="e">
        <f t="shared" ref="Q152:Q183" si="26">Q$118*R37</f>
        <v>#REF!</v>
      </c>
      <c r="AE152" s="3"/>
      <c r="AL152" s="14"/>
    </row>
    <row r="153" spans="3:38" ht="13.5" thickBot="1" x14ac:dyDescent="0.4">
      <c r="C153" s="14" t="str" cm="1">
        <f t="array" ref="C153">INDEX('List Values'!$B$2:$B$21,(1+ROUNDDOWN((ROW()-ROW($C$120))*1/6,2)))</f>
        <v>Spray Application of Paints and Coatings - 2-day application</v>
      </c>
      <c r="D153" s="224" t="s">
        <v>109</v>
      </c>
      <c r="E153" s="224" t="s">
        <v>53</v>
      </c>
      <c r="F153" s="280" t="e">
        <f t="shared" si="21"/>
        <v>#DIV/0!</v>
      </c>
      <c r="G153" s="280" t="e">
        <f t="shared" si="21"/>
        <v>#DIV/0!</v>
      </c>
      <c r="H153" s="280" t="e">
        <f t="shared" si="21"/>
        <v>#DIV/0!</v>
      </c>
      <c r="I153" s="201" t="e">
        <f t="shared" si="24"/>
        <v>#REF!</v>
      </c>
      <c r="J153" s="230" t="str">
        <f t="shared" si="22"/>
        <v/>
      </c>
      <c r="K153" s="230" t="str">
        <f t="shared" si="22"/>
        <v/>
      </c>
      <c r="L153" s="230" t="str">
        <f t="shared" si="22"/>
        <v/>
      </c>
      <c r="M153" s="201" t="str">
        <f t="shared" si="25"/>
        <v/>
      </c>
      <c r="N153" s="279" t="e">
        <f t="shared" si="23"/>
        <v>#REF!</v>
      </c>
      <c r="O153" s="279" t="e">
        <f t="shared" si="23"/>
        <v>#REF!</v>
      </c>
      <c r="P153" s="279" t="e">
        <f t="shared" si="23"/>
        <v>#REF!</v>
      </c>
      <c r="Q153" s="201" t="e">
        <f t="shared" si="26"/>
        <v>#REF!</v>
      </c>
      <c r="AE153" s="3"/>
      <c r="AL153" s="14"/>
    </row>
    <row r="154" spans="3:38" ht="13.5" thickBot="1" x14ac:dyDescent="0.4">
      <c r="C154" s="14" t="str" cm="1">
        <f t="array" ref="C154">INDEX('List Values'!$B$2:$B$21,(1+ROUNDDOWN((ROW()-ROW($C$120))*1/6,2)))</f>
        <v>Spray Application of Paints and Coatings - 2-day application</v>
      </c>
      <c r="D154" s="224" t="s">
        <v>54</v>
      </c>
      <c r="E154" s="224" t="s">
        <v>52</v>
      </c>
      <c r="F154" s="280" t="e">
        <f t="shared" si="21"/>
        <v>#DIV/0!</v>
      </c>
      <c r="G154" s="280" t="e">
        <f t="shared" si="21"/>
        <v>#DIV/0!</v>
      </c>
      <c r="H154" s="280" t="e">
        <f t="shared" si="21"/>
        <v>#DIV/0!</v>
      </c>
      <c r="I154" s="201" t="e">
        <f t="shared" si="24"/>
        <v>#REF!</v>
      </c>
      <c r="J154" s="230" t="str">
        <f t="shared" si="22"/>
        <v/>
      </c>
      <c r="K154" s="230" t="str">
        <f t="shared" si="22"/>
        <v/>
      </c>
      <c r="L154" s="230" t="str">
        <f t="shared" si="22"/>
        <v/>
      </c>
      <c r="M154" s="201" t="str">
        <f t="shared" si="25"/>
        <v/>
      </c>
      <c r="N154" s="279" t="e">
        <f t="shared" si="23"/>
        <v>#REF!</v>
      </c>
      <c r="O154" s="279" t="e">
        <f t="shared" si="23"/>
        <v>#REF!</v>
      </c>
      <c r="P154" s="279" t="e">
        <f t="shared" si="23"/>
        <v>#REF!</v>
      </c>
      <c r="Q154" s="201" t="e">
        <f t="shared" si="26"/>
        <v>#REF!</v>
      </c>
      <c r="AE154" s="3"/>
      <c r="AL154" s="14"/>
    </row>
    <row r="155" spans="3:38" ht="13.5" thickBot="1" x14ac:dyDescent="0.4">
      <c r="C155" s="14" t="str" cm="1">
        <f t="array" ref="C155">INDEX('List Values'!$B$2:$B$21,(1+ROUNDDOWN((ROW()-ROW($C$120))*1/6,2)))</f>
        <v>Spray Application of Paints and Coatings - 2-day application</v>
      </c>
      <c r="D155" s="224" t="s">
        <v>54</v>
      </c>
      <c r="E155" s="224" t="s">
        <v>53</v>
      </c>
      <c r="F155" s="280" t="e">
        <f t="shared" si="21"/>
        <v>#DIV/0!</v>
      </c>
      <c r="G155" s="280" t="e">
        <f t="shared" si="21"/>
        <v>#DIV/0!</v>
      </c>
      <c r="H155" s="280" t="e">
        <f t="shared" si="21"/>
        <v>#DIV/0!</v>
      </c>
      <c r="I155" s="201" t="e">
        <f t="shared" si="24"/>
        <v>#REF!</v>
      </c>
      <c r="J155" s="230" t="str">
        <f t="shared" si="22"/>
        <v/>
      </c>
      <c r="K155" s="230" t="str">
        <f t="shared" si="22"/>
        <v/>
      </c>
      <c r="L155" s="230" t="str">
        <f t="shared" si="22"/>
        <v/>
      </c>
      <c r="M155" s="201" t="str">
        <f t="shared" si="25"/>
        <v/>
      </c>
      <c r="N155" s="279" t="e">
        <f t="shared" si="23"/>
        <v>#REF!</v>
      </c>
      <c r="O155" s="279" t="e">
        <f t="shared" si="23"/>
        <v>#REF!</v>
      </c>
      <c r="P155" s="279" t="e">
        <f t="shared" si="23"/>
        <v>#REF!</v>
      </c>
      <c r="Q155" s="201" t="e">
        <f t="shared" si="26"/>
        <v>#REF!</v>
      </c>
      <c r="AE155" s="3"/>
      <c r="AL155" s="14"/>
    </row>
    <row r="156" spans="3:38" ht="13.5" thickBot="1" x14ac:dyDescent="0.4">
      <c r="C156" s="14" t="str" cm="1">
        <f t="array" ref="C156">INDEX('List Values'!$B$2:$B$21,(1+ROUNDDOWN((ROW()-ROW($C$120))*1/6,2)))</f>
        <v>Spray Application of Paints and Coatings - 250-day application</v>
      </c>
      <c r="D156" s="224" t="s">
        <v>34</v>
      </c>
      <c r="E156" s="218" t="s">
        <v>52</v>
      </c>
      <c r="F156" s="280" t="e">
        <f t="shared" si="21"/>
        <v>#DIV/0!</v>
      </c>
      <c r="G156" s="280" t="e">
        <f t="shared" si="21"/>
        <v>#DIV/0!</v>
      </c>
      <c r="H156" s="280" t="e">
        <f t="shared" si="21"/>
        <v>#DIV/0!</v>
      </c>
      <c r="I156" s="201" t="e">
        <f t="shared" si="24"/>
        <v>#REF!</v>
      </c>
      <c r="J156" s="230" t="str">
        <f t="shared" si="22"/>
        <v/>
      </c>
      <c r="K156" s="230" t="str">
        <f t="shared" si="22"/>
        <v/>
      </c>
      <c r="L156" s="230" t="str">
        <f t="shared" si="22"/>
        <v/>
      </c>
      <c r="M156" s="201" t="str">
        <f t="shared" si="25"/>
        <v/>
      </c>
      <c r="N156" s="279" t="e">
        <f t="shared" si="23"/>
        <v>#REF!</v>
      </c>
      <c r="O156" s="279" t="e">
        <f t="shared" si="23"/>
        <v>#REF!</v>
      </c>
      <c r="P156" s="279" t="e">
        <f t="shared" si="23"/>
        <v>#REF!</v>
      </c>
      <c r="Q156" s="201" t="e">
        <f t="shared" si="26"/>
        <v>#REF!</v>
      </c>
      <c r="AE156" s="3"/>
      <c r="AL156" s="14"/>
    </row>
    <row r="157" spans="3:38" ht="13.5" thickBot="1" x14ac:dyDescent="0.4">
      <c r="C157" s="14" t="str" cm="1">
        <f t="array" ref="C157">INDEX('List Values'!$B$2:$B$21,(1+ROUNDDOWN((ROW()-ROW($C$120))*1/6,2)))</f>
        <v>Spray Application of Paints and Coatings - 250-day application</v>
      </c>
      <c r="D157" s="224" t="s">
        <v>34</v>
      </c>
      <c r="E157" s="224" t="s">
        <v>53</v>
      </c>
      <c r="F157" s="280" t="e">
        <f t="shared" si="21"/>
        <v>#DIV/0!</v>
      </c>
      <c r="G157" s="280" t="e">
        <f t="shared" si="21"/>
        <v>#DIV/0!</v>
      </c>
      <c r="H157" s="280" t="e">
        <f t="shared" si="21"/>
        <v>#DIV/0!</v>
      </c>
      <c r="I157" s="201" t="e">
        <f t="shared" si="24"/>
        <v>#REF!</v>
      </c>
      <c r="J157" s="230" t="str">
        <f t="shared" si="22"/>
        <v/>
      </c>
      <c r="K157" s="230" t="str">
        <f t="shared" si="22"/>
        <v/>
      </c>
      <c r="L157" s="230" t="str">
        <f t="shared" si="22"/>
        <v/>
      </c>
      <c r="M157" s="201" t="str">
        <f t="shared" si="25"/>
        <v/>
      </c>
      <c r="N157" s="279" t="e">
        <f t="shared" si="23"/>
        <v>#REF!</v>
      </c>
      <c r="O157" s="279" t="e">
        <f t="shared" si="23"/>
        <v>#REF!</v>
      </c>
      <c r="P157" s="279" t="e">
        <f t="shared" si="23"/>
        <v>#REF!</v>
      </c>
      <c r="Q157" s="201" t="e">
        <f t="shared" si="26"/>
        <v>#REF!</v>
      </c>
      <c r="AE157" s="3"/>
      <c r="AL157" s="14"/>
    </row>
    <row r="158" spans="3:38" ht="13.5" thickBot="1" x14ac:dyDescent="0.4">
      <c r="C158" s="14" t="str" cm="1">
        <f t="array" ref="C158">INDEX('List Values'!$B$2:$B$21,(1+ROUNDDOWN((ROW()-ROW($C$120))*1/6,2)))</f>
        <v>Spray Application of Paints and Coatings - 250-day application</v>
      </c>
      <c r="D158" s="224" t="s">
        <v>109</v>
      </c>
      <c r="E158" s="224" t="s">
        <v>52</v>
      </c>
      <c r="F158" s="280" t="e">
        <f t="shared" si="21"/>
        <v>#DIV/0!</v>
      </c>
      <c r="G158" s="280" t="e">
        <f t="shared" si="21"/>
        <v>#DIV/0!</v>
      </c>
      <c r="H158" s="280" t="e">
        <f t="shared" si="21"/>
        <v>#DIV/0!</v>
      </c>
      <c r="I158" s="201" t="e">
        <f t="shared" si="24"/>
        <v>#REF!</v>
      </c>
      <c r="J158" s="230" t="str">
        <f t="shared" si="22"/>
        <v/>
      </c>
      <c r="K158" s="230" t="str">
        <f t="shared" si="22"/>
        <v/>
      </c>
      <c r="L158" s="230" t="str">
        <f t="shared" si="22"/>
        <v/>
      </c>
      <c r="M158" s="201" t="str">
        <f t="shared" si="25"/>
        <v/>
      </c>
      <c r="N158" s="279" t="e">
        <f t="shared" si="23"/>
        <v>#REF!</v>
      </c>
      <c r="O158" s="279" t="e">
        <f t="shared" si="23"/>
        <v>#REF!</v>
      </c>
      <c r="P158" s="279" t="e">
        <f t="shared" si="23"/>
        <v>#REF!</v>
      </c>
      <c r="Q158" s="201" t="e">
        <f t="shared" si="26"/>
        <v>#REF!</v>
      </c>
      <c r="AE158" s="3"/>
      <c r="AL158" s="14"/>
    </row>
    <row r="159" spans="3:38" ht="13.5" thickBot="1" x14ac:dyDescent="0.4">
      <c r="C159" s="14" t="str" cm="1">
        <f t="array" ref="C159">INDEX('List Values'!$B$2:$B$21,(1+ROUNDDOWN((ROW()-ROW($C$120))*1/6,2)))</f>
        <v>Spray Application of Paints and Coatings - 250-day application</v>
      </c>
      <c r="D159" s="224" t="s">
        <v>109</v>
      </c>
      <c r="E159" s="224" t="s">
        <v>53</v>
      </c>
      <c r="F159" s="280" t="e">
        <f t="shared" si="21"/>
        <v>#DIV/0!</v>
      </c>
      <c r="G159" s="280" t="e">
        <f t="shared" si="21"/>
        <v>#DIV/0!</v>
      </c>
      <c r="H159" s="280" t="e">
        <f t="shared" si="21"/>
        <v>#DIV/0!</v>
      </c>
      <c r="I159" s="201" t="e">
        <f t="shared" si="24"/>
        <v>#REF!</v>
      </c>
      <c r="J159" s="230" t="str">
        <f t="shared" si="22"/>
        <v/>
      </c>
      <c r="K159" s="230" t="str">
        <f t="shared" si="22"/>
        <v/>
      </c>
      <c r="L159" s="230" t="str">
        <f t="shared" si="22"/>
        <v/>
      </c>
      <c r="M159" s="201" t="str">
        <f t="shared" si="25"/>
        <v/>
      </c>
      <c r="N159" s="279" t="e">
        <f t="shared" si="23"/>
        <v>#REF!</v>
      </c>
      <c r="O159" s="279" t="e">
        <f t="shared" si="23"/>
        <v>#REF!</v>
      </c>
      <c r="P159" s="279" t="e">
        <f t="shared" si="23"/>
        <v>#REF!</v>
      </c>
      <c r="Q159" s="201" t="e">
        <f t="shared" si="26"/>
        <v>#REF!</v>
      </c>
      <c r="AE159" s="3"/>
      <c r="AL159" s="14"/>
    </row>
    <row r="160" spans="3:38" ht="13.5" thickBot="1" x14ac:dyDescent="0.4">
      <c r="C160" s="14" t="str" cm="1">
        <f t="array" ref="C160">INDEX('List Values'!$B$2:$B$21,(1+ROUNDDOWN((ROW()-ROW($C$120))*1/6,2)))</f>
        <v>Spray Application of Paints and Coatings - 250-day application</v>
      </c>
      <c r="D160" s="224" t="s">
        <v>54</v>
      </c>
      <c r="E160" s="224" t="s">
        <v>52</v>
      </c>
      <c r="F160" s="280" t="e">
        <f t="shared" ref="F160:H179" si="27">F$118/G45</f>
        <v>#DIV/0!</v>
      </c>
      <c r="G160" s="280" t="e">
        <f t="shared" si="27"/>
        <v>#DIV/0!</v>
      </c>
      <c r="H160" s="280" t="e">
        <f t="shared" si="27"/>
        <v>#DIV/0!</v>
      </c>
      <c r="I160" s="201" t="e">
        <f t="shared" si="24"/>
        <v>#REF!</v>
      </c>
      <c r="J160" s="230" t="str">
        <f t="shared" ref="J160:L179" si="28">IFERROR(J$118/K45,"")</f>
        <v/>
      </c>
      <c r="K160" s="230" t="str">
        <f t="shared" si="28"/>
        <v/>
      </c>
      <c r="L160" s="230" t="str">
        <f t="shared" si="28"/>
        <v/>
      </c>
      <c r="M160" s="201" t="str">
        <f t="shared" si="25"/>
        <v/>
      </c>
      <c r="N160" s="279" t="e">
        <f t="shared" ref="N160:P179" si="29">N$118/O45</f>
        <v>#REF!</v>
      </c>
      <c r="O160" s="279" t="e">
        <f t="shared" si="29"/>
        <v>#REF!</v>
      </c>
      <c r="P160" s="279" t="e">
        <f t="shared" si="29"/>
        <v>#REF!</v>
      </c>
      <c r="Q160" s="201" t="e">
        <f t="shared" si="26"/>
        <v>#REF!</v>
      </c>
      <c r="AE160" s="3"/>
      <c r="AL160" s="14"/>
    </row>
    <row r="161" spans="3:38" ht="13.5" thickBot="1" x14ac:dyDescent="0.4">
      <c r="C161" s="14" t="str" cm="1">
        <f t="array" ref="C161">INDEX('List Values'!$B$2:$B$21,(1+ROUNDDOWN((ROW()-ROW($C$120))*1/6,2)))</f>
        <v>Spray Application of Paints and Coatings - 250-day application</v>
      </c>
      <c r="D161" s="224" t="s">
        <v>54</v>
      </c>
      <c r="E161" s="224" t="s">
        <v>53</v>
      </c>
      <c r="F161" s="280" t="e">
        <f t="shared" si="27"/>
        <v>#DIV/0!</v>
      </c>
      <c r="G161" s="280" t="e">
        <f t="shared" si="27"/>
        <v>#DIV/0!</v>
      </c>
      <c r="H161" s="280" t="e">
        <f t="shared" si="27"/>
        <v>#DIV/0!</v>
      </c>
      <c r="I161" s="201" t="e">
        <f t="shared" si="24"/>
        <v>#REF!</v>
      </c>
      <c r="J161" s="230" t="str">
        <f t="shared" si="28"/>
        <v/>
      </c>
      <c r="K161" s="230" t="str">
        <f t="shared" si="28"/>
        <v/>
      </c>
      <c r="L161" s="230" t="str">
        <f t="shared" si="28"/>
        <v/>
      </c>
      <c r="M161" s="201" t="str">
        <f t="shared" si="25"/>
        <v/>
      </c>
      <c r="N161" s="279" t="e">
        <f t="shared" si="29"/>
        <v>#REF!</v>
      </c>
      <c r="O161" s="279" t="e">
        <f t="shared" si="29"/>
        <v>#REF!</v>
      </c>
      <c r="P161" s="279" t="e">
        <f t="shared" si="29"/>
        <v>#REF!</v>
      </c>
      <c r="Q161" s="201" t="e">
        <f t="shared" si="26"/>
        <v>#REF!</v>
      </c>
      <c r="AE161" s="3"/>
      <c r="AL161" s="14"/>
    </row>
    <row r="162" spans="3:38" ht="13.5" thickBot="1" x14ac:dyDescent="0.4">
      <c r="C162" s="14" t="str" cm="1">
        <f t="array" ref="C162">INDEX('List Values'!$B$2:$B$21,(1+ROUNDDOWN((ROW()-ROW($C$120))*1/6,2)))</f>
        <v>Formulation of Adhesives (Neat D4)</v>
      </c>
      <c r="D162" s="224" t="s">
        <v>34</v>
      </c>
      <c r="E162" s="218" t="s">
        <v>52</v>
      </c>
      <c r="F162" s="280" t="e">
        <f t="shared" si="27"/>
        <v>#DIV/0!</v>
      </c>
      <c r="G162" s="280" t="e">
        <f t="shared" si="27"/>
        <v>#DIV/0!</v>
      </c>
      <c r="H162" s="280" t="e">
        <f t="shared" si="27"/>
        <v>#DIV/0!</v>
      </c>
      <c r="I162" s="201" t="e">
        <f t="shared" si="24"/>
        <v>#REF!</v>
      </c>
      <c r="J162" s="230" t="str">
        <f t="shared" si="28"/>
        <v/>
      </c>
      <c r="K162" s="230" t="str">
        <f t="shared" si="28"/>
        <v/>
      </c>
      <c r="L162" s="230" t="str">
        <f t="shared" si="28"/>
        <v/>
      </c>
      <c r="M162" s="201" t="str">
        <f t="shared" si="25"/>
        <v/>
      </c>
      <c r="N162" s="279" t="e">
        <f t="shared" si="29"/>
        <v>#REF!</v>
      </c>
      <c r="O162" s="279" t="e">
        <f t="shared" si="29"/>
        <v>#REF!</v>
      </c>
      <c r="P162" s="279" t="e">
        <f t="shared" si="29"/>
        <v>#REF!</v>
      </c>
      <c r="Q162" s="201" t="e">
        <f t="shared" si="26"/>
        <v>#REF!</v>
      </c>
      <c r="AE162" s="3"/>
      <c r="AL162" s="14"/>
    </row>
    <row r="163" spans="3:38" ht="13.5" thickBot="1" x14ac:dyDescent="0.4">
      <c r="C163" s="14" t="str" cm="1">
        <f t="array" ref="C163">INDEX('List Values'!$B$2:$B$21,(1+ROUNDDOWN((ROW()-ROW($C$120))*1/6,2)))</f>
        <v>Formulation of Adhesives (Neat D4)</v>
      </c>
      <c r="D163" s="224" t="s">
        <v>34</v>
      </c>
      <c r="E163" s="224" t="s">
        <v>53</v>
      </c>
      <c r="F163" s="280" t="e">
        <f t="shared" si="27"/>
        <v>#DIV/0!</v>
      </c>
      <c r="G163" s="280" t="e">
        <f t="shared" si="27"/>
        <v>#DIV/0!</v>
      </c>
      <c r="H163" s="280" t="e">
        <f t="shared" si="27"/>
        <v>#DIV/0!</v>
      </c>
      <c r="I163" s="201" t="e">
        <f t="shared" si="24"/>
        <v>#REF!</v>
      </c>
      <c r="J163" s="230" t="str">
        <f t="shared" si="28"/>
        <v/>
      </c>
      <c r="K163" s="230" t="str">
        <f t="shared" si="28"/>
        <v/>
      </c>
      <c r="L163" s="230" t="str">
        <f t="shared" si="28"/>
        <v/>
      </c>
      <c r="M163" s="201" t="str">
        <f t="shared" si="25"/>
        <v/>
      </c>
      <c r="N163" s="279" t="e">
        <f t="shared" si="29"/>
        <v>#REF!</v>
      </c>
      <c r="O163" s="279" t="e">
        <f t="shared" si="29"/>
        <v>#REF!</v>
      </c>
      <c r="P163" s="279" t="e">
        <f t="shared" si="29"/>
        <v>#REF!</v>
      </c>
      <c r="Q163" s="201" t="e">
        <f t="shared" si="26"/>
        <v>#REF!</v>
      </c>
      <c r="AE163" s="3"/>
      <c r="AL163" s="14"/>
    </row>
    <row r="164" spans="3:38" ht="13.5" thickBot="1" x14ac:dyDescent="0.4">
      <c r="C164" s="14" t="str" cm="1">
        <f t="array" ref="C164">INDEX('List Values'!$B$2:$B$21,(1+ROUNDDOWN((ROW()-ROW($C$120))*1/6,2)))</f>
        <v>Formulation of Adhesives (Neat D4)</v>
      </c>
      <c r="D164" s="224" t="s">
        <v>109</v>
      </c>
      <c r="E164" s="224" t="s">
        <v>52</v>
      </c>
      <c r="F164" s="280" t="e">
        <f t="shared" si="27"/>
        <v>#DIV/0!</v>
      </c>
      <c r="G164" s="280" t="e">
        <f t="shared" si="27"/>
        <v>#DIV/0!</v>
      </c>
      <c r="H164" s="280" t="e">
        <f t="shared" si="27"/>
        <v>#DIV/0!</v>
      </c>
      <c r="I164" s="201" t="e">
        <f t="shared" si="24"/>
        <v>#REF!</v>
      </c>
      <c r="J164" s="230" t="str">
        <f t="shared" si="28"/>
        <v/>
      </c>
      <c r="K164" s="230" t="str">
        <f t="shared" si="28"/>
        <v/>
      </c>
      <c r="L164" s="230" t="str">
        <f t="shared" si="28"/>
        <v/>
      </c>
      <c r="M164" s="201" t="str">
        <f t="shared" si="25"/>
        <v/>
      </c>
      <c r="N164" s="279" t="e">
        <f t="shared" si="29"/>
        <v>#REF!</v>
      </c>
      <c r="O164" s="279" t="e">
        <f t="shared" si="29"/>
        <v>#REF!</v>
      </c>
      <c r="P164" s="279" t="e">
        <f t="shared" si="29"/>
        <v>#REF!</v>
      </c>
      <c r="Q164" s="201" t="e">
        <f t="shared" si="26"/>
        <v>#REF!</v>
      </c>
      <c r="AE164" s="3"/>
      <c r="AL164" s="14"/>
    </row>
    <row r="165" spans="3:38" ht="13.5" thickBot="1" x14ac:dyDescent="0.4">
      <c r="C165" s="14" t="str" cm="1">
        <f t="array" ref="C165">INDEX('List Values'!$B$2:$B$21,(1+ROUNDDOWN((ROW()-ROW($C$120))*1/6,2)))</f>
        <v>Formulation of Adhesives (Neat D4)</v>
      </c>
      <c r="D165" s="224" t="s">
        <v>109</v>
      </c>
      <c r="E165" s="224" t="s">
        <v>53</v>
      </c>
      <c r="F165" s="280" t="e">
        <f t="shared" si="27"/>
        <v>#DIV/0!</v>
      </c>
      <c r="G165" s="280" t="e">
        <f t="shared" si="27"/>
        <v>#DIV/0!</v>
      </c>
      <c r="H165" s="280" t="e">
        <f t="shared" si="27"/>
        <v>#DIV/0!</v>
      </c>
      <c r="I165" s="201" t="e">
        <f t="shared" si="24"/>
        <v>#REF!</v>
      </c>
      <c r="J165" s="230" t="str">
        <f t="shared" si="28"/>
        <v/>
      </c>
      <c r="K165" s="230" t="str">
        <f t="shared" si="28"/>
        <v/>
      </c>
      <c r="L165" s="230" t="str">
        <f t="shared" si="28"/>
        <v/>
      </c>
      <c r="M165" s="201" t="str">
        <f t="shared" si="25"/>
        <v/>
      </c>
      <c r="N165" s="279" t="e">
        <f t="shared" si="29"/>
        <v>#REF!</v>
      </c>
      <c r="O165" s="279" t="e">
        <f t="shared" si="29"/>
        <v>#REF!</v>
      </c>
      <c r="P165" s="279" t="e">
        <f t="shared" si="29"/>
        <v>#REF!</v>
      </c>
      <c r="Q165" s="201" t="e">
        <f t="shared" si="26"/>
        <v>#REF!</v>
      </c>
      <c r="AE165" s="3"/>
      <c r="AL165" s="14"/>
    </row>
    <row r="166" spans="3:38" ht="13.5" thickBot="1" x14ac:dyDescent="0.4">
      <c r="C166" s="14" t="str" cm="1">
        <f t="array" ref="C166">INDEX('List Values'!$B$2:$B$21,(1+ROUNDDOWN((ROW()-ROW($C$120))*1/6,2)))</f>
        <v>Formulation of Adhesives (Neat D4)</v>
      </c>
      <c r="D166" s="224" t="s">
        <v>54</v>
      </c>
      <c r="E166" s="224" t="s">
        <v>52</v>
      </c>
      <c r="F166" s="280" t="e">
        <f t="shared" si="27"/>
        <v>#DIV/0!</v>
      </c>
      <c r="G166" s="280" t="e">
        <f t="shared" si="27"/>
        <v>#DIV/0!</v>
      </c>
      <c r="H166" s="280" t="e">
        <f t="shared" si="27"/>
        <v>#DIV/0!</v>
      </c>
      <c r="I166" s="201" t="e">
        <f t="shared" si="24"/>
        <v>#REF!</v>
      </c>
      <c r="J166" s="230" t="str">
        <f t="shared" si="28"/>
        <v/>
      </c>
      <c r="K166" s="230" t="str">
        <f t="shared" si="28"/>
        <v/>
      </c>
      <c r="L166" s="230" t="str">
        <f t="shared" si="28"/>
        <v/>
      </c>
      <c r="M166" s="201" t="str">
        <f t="shared" si="25"/>
        <v/>
      </c>
      <c r="N166" s="279" t="e">
        <f t="shared" si="29"/>
        <v>#REF!</v>
      </c>
      <c r="O166" s="279" t="e">
        <f t="shared" si="29"/>
        <v>#REF!</v>
      </c>
      <c r="P166" s="279" t="e">
        <f t="shared" si="29"/>
        <v>#REF!</v>
      </c>
      <c r="Q166" s="201" t="e">
        <f t="shared" si="26"/>
        <v>#REF!</v>
      </c>
      <c r="AE166" s="3"/>
      <c r="AL166" s="14"/>
    </row>
    <row r="167" spans="3:38" ht="13.5" thickBot="1" x14ac:dyDescent="0.4">
      <c r="C167" s="14" t="str" cm="1">
        <f t="array" ref="C167">INDEX('List Values'!$B$2:$B$21,(1+ROUNDDOWN((ROW()-ROW($C$120))*1/6,2)))</f>
        <v>Formulation of Adhesives (Neat D4)</v>
      </c>
      <c r="D167" s="224" t="s">
        <v>54</v>
      </c>
      <c r="E167" s="224" t="s">
        <v>53</v>
      </c>
      <c r="F167" s="280" t="e">
        <f t="shared" si="27"/>
        <v>#DIV/0!</v>
      </c>
      <c r="G167" s="280" t="e">
        <f t="shared" si="27"/>
        <v>#DIV/0!</v>
      </c>
      <c r="H167" s="280" t="e">
        <f t="shared" si="27"/>
        <v>#DIV/0!</v>
      </c>
      <c r="I167" s="201" t="e">
        <f t="shared" si="24"/>
        <v>#REF!</v>
      </c>
      <c r="J167" s="230" t="str">
        <f t="shared" si="28"/>
        <v/>
      </c>
      <c r="K167" s="230" t="str">
        <f t="shared" si="28"/>
        <v/>
      </c>
      <c r="L167" s="230" t="str">
        <f t="shared" si="28"/>
        <v/>
      </c>
      <c r="M167" s="201" t="str">
        <f t="shared" si="25"/>
        <v/>
      </c>
      <c r="N167" s="279" t="e">
        <f t="shared" si="29"/>
        <v>#REF!</v>
      </c>
      <c r="O167" s="279" t="e">
        <f t="shared" si="29"/>
        <v>#REF!</v>
      </c>
      <c r="P167" s="279" t="e">
        <f t="shared" si="29"/>
        <v>#REF!</v>
      </c>
      <c r="Q167" s="201" t="e">
        <f t="shared" si="26"/>
        <v>#REF!</v>
      </c>
      <c r="AE167" s="3"/>
      <c r="AL167" s="14"/>
    </row>
    <row r="168" spans="3:38" ht="13.5" thickBot="1" x14ac:dyDescent="0.4">
      <c r="C168" s="14" t="str" cm="1">
        <f t="array" ref="C168">INDEX('List Values'!$B$2:$B$21,(1+ROUNDDOWN((ROW()-ROW($C$120))*1/6,2)))</f>
        <v>Formulation of Adhesives (Residual D4)</v>
      </c>
      <c r="D168" s="224" t="s">
        <v>34</v>
      </c>
      <c r="E168" s="218" t="s">
        <v>52</v>
      </c>
      <c r="F168" s="280" t="e">
        <f t="shared" si="27"/>
        <v>#DIV/0!</v>
      </c>
      <c r="G168" s="280" t="e">
        <f t="shared" si="27"/>
        <v>#DIV/0!</v>
      </c>
      <c r="H168" s="280" t="e">
        <f t="shared" si="27"/>
        <v>#DIV/0!</v>
      </c>
      <c r="I168" s="201" t="e">
        <f t="shared" si="24"/>
        <v>#REF!</v>
      </c>
      <c r="J168" s="230" t="str">
        <f t="shared" si="28"/>
        <v/>
      </c>
      <c r="K168" s="230" t="str">
        <f t="shared" si="28"/>
        <v/>
      </c>
      <c r="L168" s="230" t="str">
        <f t="shared" si="28"/>
        <v/>
      </c>
      <c r="M168" s="201" t="str">
        <f t="shared" si="25"/>
        <v/>
      </c>
      <c r="N168" s="279" t="e">
        <f t="shared" si="29"/>
        <v>#REF!</v>
      </c>
      <c r="O168" s="279" t="e">
        <f t="shared" si="29"/>
        <v>#REF!</v>
      </c>
      <c r="P168" s="279" t="e">
        <f t="shared" si="29"/>
        <v>#REF!</v>
      </c>
      <c r="Q168" s="201" t="e">
        <f t="shared" si="26"/>
        <v>#REF!</v>
      </c>
      <c r="AE168" s="3"/>
      <c r="AL168" s="14"/>
    </row>
    <row r="169" spans="3:38" ht="13.5" thickBot="1" x14ac:dyDescent="0.4">
      <c r="C169" s="14" t="str" cm="1">
        <f t="array" ref="C169">INDEX('List Values'!$B$2:$B$21,(1+ROUNDDOWN((ROW()-ROW($C$120))*1/6,2)))</f>
        <v>Formulation of Adhesives (Residual D4)</v>
      </c>
      <c r="D169" s="224" t="s">
        <v>34</v>
      </c>
      <c r="E169" s="224" t="s">
        <v>53</v>
      </c>
      <c r="F169" s="280" t="e">
        <f t="shared" si="27"/>
        <v>#DIV/0!</v>
      </c>
      <c r="G169" s="280" t="e">
        <f t="shared" si="27"/>
        <v>#DIV/0!</v>
      </c>
      <c r="H169" s="280" t="e">
        <f t="shared" si="27"/>
        <v>#DIV/0!</v>
      </c>
      <c r="I169" s="201" t="e">
        <f t="shared" si="24"/>
        <v>#REF!</v>
      </c>
      <c r="J169" s="230" t="str">
        <f t="shared" si="28"/>
        <v/>
      </c>
      <c r="K169" s="230" t="str">
        <f t="shared" si="28"/>
        <v/>
      </c>
      <c r="L169" s="230" t="str">
        <f t="shared" si="28"/>
        <v/>
      </c>
      <c r="M169" s="201" t="str">
        <f t="shared" si="25"/>
        <v/>
      </c>
      <c r="N169" s="279" t="e">
        <f t="shared" si="29"/>
        <v>#REF!</v>
      </c>
      <c r="O169" s="279" t="e">
        <f t="shared" si="29"/>
        <v>#REF!</v>
      </c>
      <c r="P169" s="279" t="e">
        <f t="shared" si="29"/>
        <v>#REF!</v>
      </c>
      <c r="Q169" s="201" t="e">
        <f t="shared" si="26"/>
        <v>#REF!</v>
      </c>
      <c r="AE169" s="3"/>
      <c r="AL169" s="14"/>
    </row>
    <row r="170" spans="3:38" ht="13.5" thickBot="1" x14ac:dyDescent="0.4">
      <c r="C170" s="14" t="str" cm="1">
        <f t="array" ref="C170">INDEX('List Values'!$B$2:$B$21,(1+ROUNDDOWN((ROW()-ROW($C$120))*1/6,2)))</f>
        <v>Formulation of Adhesives (Residual D4)</v>
      </c>
      <c r="D170" s="224" t="s">
        <v>109</v>
      </c>
      <c r="E170" s="224" t="s">
        <v>52</v>
      </c>
      <c r="F170" s="280" t="e">
        <f t="shared" si="27"/>
        <v>#DIV/0!</v>
      </c>
      <c r="G170" s="280" t="e">
        <f t="shared" si="27"/>
        <v>#DIV/0!</v>
      </c>
      <c r="H170" s="280" t="e">
        <f t="shared" si="27"/>
        <v>#DIV/0!</v>
      </c>
      <c r="I170" s="201" t="e">
        <f t="shared" si="24"/>
        <v>#REF!</v>
      </c>
      <c r="J170" s="230" t="str">
        <f t="shared" si="28"/>
        <v/>
      </c>
      <c r="K170" s="230" t="str">
        <f t="shared" si="28"/>
        <v/>
      </c>
      <c r="L170" s="230" t="str">
        <f t="shared" si="28"/>
        <v/>
      </c>
      <c r="M170" s="201" t="str">
        <f t="shared" si="25"/>
        <v/>
      </c>
      <c r="N170" s="279" t="e">
        <f t="shared" si="29"/>
        <v>#REF!</v>
      </c>
      <c r="O170" s="279" t="e">
        <f t="shared" si="29"/>
        <v>#REF!</v>
      </c>
      <c r="P170" s="279" t="e">
        <f t="shared" si="29"/>
        <v>#REF!</v>
      </c>
      <c r="Q170" s="201" t="e">
        <f t="shared" si="26"/>
        <v>#REF!</v>
      </c>
      <c r="AE170" s="3"/>
      <c r="AL170" s="14"/>
    </row>
    <row r="171" spans="3:38" ht="13.5" thickBot="1" x14ac:dyDescent="0.4">
      <c r="C171" s="14" t="str" cm="1">
        <f t="array" ref="C171">INDEX('List Values'!$B$2:$B$21,(1+ROUNDDOWN((ROW()-ROW($C$120))*1/6,2)))</f>
        <v>Formulation of Adhesives (Residual D4)</v>
      </c>
      <c r="D171" s="224" t="s">
        <v>109</v>
      </c>
      <c r="E171" s="224" t="s">
        <v>53</v>
      </c>
      <c r="F171" s="280" t="e">
        <f t="shared" si="27"/>
        <v>#DIV/0!</v>
      </c>
      <c r="G171" s="280" t="e">
        <f t="shared" si="27"/>
        <v>#DIV/0!</v>
      </c>
      <c r="H171" s="280" t="e">
        <f t="shared" si="27"/>
        <v>#DIV/0!</v>
      </c>
      <c r="I171" s="201" t="e">
        <f t="shared" si="24"/>
        <v>#REF!</v>
      </c>
      <c r="J171" s="230" t="str">
        <f t="shared" si="28"/>
        <v/>
      </c>
      <c r="K171" s="230" t="str">
        <f t="shared" si="28"/>
        <v/>
      </c>
      <c r="L171" s="230" t="str">
        <f t="shared" si="28"/>
        <v/>
      </c>
      <c r="M171" s="201" t="str">
        <f t="shared" si="25"/>
        <v/>
      </c>
      <c r="N171" s="279" t="e">
        <f t="shared" si="29"/>
        <v>#REF!</v>
      </c>
      <c r="O171" s="279" t="e">
        <f t="shared" si="29"/>
        <v>#REF!</v>
      </c>
      <c r="P171" s="279" t="e">
        <f t="shared" si="29"/>
        <v>#REF!</v>
      </c>
      <c r="Q171" s="201" t="e">
        <f t="shared" si="26"/>
        <v>#REF!</v>
      </c>
      <c r="AE171" s="3"/>
      <c r="AL171" s="14"/>
    </row>
    <row r="172" spans="3:38" ht="13.5" thickBot="1" x14ac:dyDescent="0.4">
      <c r="C172" s="14" t="str" cm="1">
        <f t="array" ref="C172">INDEX('List Values'!$B$2:$B$21,(1+ROUNDDOWN((ROW()-ROW($C$120))*1/6,2)))</f>
        <v>Formulation of Adhesives (Residual D4)</v>
      </c>
      <c r="D172" s="224" t="s">
        <v>54</v>
      </c>
      <c r="E172" s="224" t="s">
        <v>52</v>
      </c>
      <c r="F172" s="280" t="e">
        <f t="shared" si="27"/>
        <v>#DIV/0!</v>
      </c>
      <c r="G172" s="280" t="e">
        <f t="shared" si="27"/>
        <v>#DIV/0!</v>
      </c>
      <c r="H172" s="280" t="e">
        <f t="shared" si="27"/>
        <v>#DIV/0!</v>
      </c>
      <c r="I172" s="201" t="e">
        <f t="shared" si="24"/>
        <v>#REF!</v>
      </c>
      <c r="J172" s="230" t="str">
        <f t="shared" si="28"/>
        <v/>
      </c>
      <c r="K172" s="230" t="str">
        <f t="shared" si="28"/>
        <v/>
      </c>
      <c r="L172" s="230" t="str">
        <f t="shared" si="28"/>
        <v/>
      </c>
      <c r="M172" s="201" t="str">
        <f t="shared" si="25"/>
        <v/>
      </c>
      <c r="N172" s="279" t="e">
        <f t="shared" si="29"/>
        <v>#REF!</v>
      </c>
      <c r="O172" s="279" t="e">
        <f t="shared" si="29"/>
        <v>#REF!</v>
      </c>
      <c r="P172" s="279" t="e">
        <f t="shared" si="29"/>
        <v>#REF!</v>
      </c>
      <c r="Q172" s="201" t="e">
        <f t="shared" si="26"/>
        <v>#REF!</v>
      </c>
      <c r="AE172" s="3"/>
      <c r="AL172" s="14"/>
    </row>
    <row r="173" spans="3:38" ht="13.5" thickBot="1" x14ac:dyDescent="0.4">
      <c r="C173" s="14" t="str" cm="1">
        <f t="array" ref="C173">INDEX('List Values'!$B$2:$B$21,(1+ROUNDDOWN((ROW()-ROW($C$120))*1/6,2)))</f>
        <v>Formulation of Adhesives (Residual D4)</v>
      </c>
      <c r="D173" s="224" t="s">
        <v>54</v>
      </c>
      <c r="E173" s="224" t="s">
        <v>53</v>
      </c>
      <c r="F173" s="280" t="e">
        <f t="shared" si="27"/>
        <v>#DIV/0!</v>
      </c>
      <c r="G173" s="280" t="e">
        <f t="shared" si="27"/>
        <v>#DIV/0!</v>
      </c>
      <c r="H173" s="280" t="e">
        <f t="shared" si="27"/>
        <v>#DIV/0!</v>
      </c>
      <c r="I173" s="201" t="e">
        <f t="shared" si="24"/>
        <v>#REF!</v>
      </c>
      <c r="J173" s="230" t="str">
        <f t="shared" si="28"/>
        <v/>
      </c>
      <c r="K173" s="230" t="str">
        <f t="shared" si="28"/>
        <v/>
      </c>
      <c r="L173" s="230" t="str">
        <f t="shared" si="28"/>
        <v/>
      </c>
      <c r="M173" s="201" t="str">
        <f t="shared" si="25"/>
        <v/>
      </c>
      <c r="N173" s="279" t="e">
        <f t="shared" si="29"/>
        <v>#REF!</v>
      </c>
      <c r="O173" s="279" t="e">
        <f t="shared" si="29"/>
        <v>#REF!</v>
      </c>
      <c r="P173" s="279" t="e">
        <f t="shared" si="29"/>
        <v>#REF!</v>
      </c>
      <c r="Q173" s="201" t="e">
        <f t="shared" si="26"/>
        <v>#REF!</v>
      </c>
      <c r="AE173" s="3"/>
      <c r="AL173" s="14"/>
    </row>
    <row r="174" spans="3:38" ht="13.5" thickBot="1" x14ac:dyDescent="0.4">
      <c r="C174" s="14" t="str" cm="1">
        <f t="array" ref="C174">INDEX('List Values'!$B$2:$B$21,(1+ROUNDDOWN((ROW()-ROW($C$120))*1/6,2)))</f>
        <v>Use of Adhesives and Sealants</v>
      </c>
      <c r="D174" s="224" t="s">
        <v>34</v>
      </c>
      <c r="E174" s="218" t="s">
        <v>52</v>
      </c>
      <c r="F174" s="280" t="e">
        <f t="shared" si="27"/>
        <v>#DIV/0!</v>
      </c>
      <c r="G174" s="280" t="e">
        <f t="shared" si="27"/>
        <v>#DIV/0!</v>
      </c>
      <c r="H174" s="280" t="e">
        <f t="shared" si="27"/>
        <v>#DIV/0!</v>
      </c>
      <c r="I174" s="201" t="e">
        <f t="shared" si="24"/>
        <v>#REF!</v>
      </c>
      <c r="J174" s="230" t="str">
        <f t="shared" si="28"/>
        <v/>
      </c>
      <c r="K174" s="230" t="str">
        <f t="shared" si="28"/>
        <v/>
      </c>
      <c r="L174" s="230" t="str">
        <f t="shared" si="28"/>
        <v/>
      </c>
      <c r="M174" s="201" t="str">
        <f t="shared" si="25"/>
        <v/>
      </c>
      <c r="N174" s="279" t="e">
        <f t="shared" si="29"/>
        <v>#REF!</v>
      </c>
      <c r="O174" s="279" t="e">
        <f t="shared" si="29"/>
        <v>#REF!</v>
      </c>
      <c r="P174" s="279" t="e">
        <f t="shared" si="29"/>
        <v>#REF!</v>
      </c>
      <c r="Q174" s="201" t="e">
        <f t="shared" si="26"/>
        <v>#REF!</v>
      </c>
      <c r="AE174" s="3"/>
      <c r="AL174" s="14"/>
    </row>
    <row r="175" spans="3:38" ht="13.5" thickBot="1" x14ac:dyDescent="0.4">
      <c r="C175" s="14" t="str" cm="1">
        <f t="array" ref="C175">INDEX('List Values'!$B$2:$B$21,(1+ROUNDDOWN((ROW()-ROW($C$120))*1/6,2)))</f>
        <v>Use of Adhesives and Sealants</v>
      </c>
      <c r="D175" s="224" t="s">
        <v>34</v>
      </c>
      <c r="E175" s="224" t="s">
        <v>53</v>
      </c>
      <c r="F175" s="280" t="e">
        <f t="shared" si="27"/>
        <v>#DIV/0!</v>
      </c>
      <c r="G175" s="280" t="e">
        <f t="shared" si="27"/>
        <v>#DIV/0!</v>
      </c>
      <c r="H175" s="280" t="e">
        <f t="shared" si="27"/>
        <v>#DIV/0!</v>
      </c>
      <c r="I175" s="201" t="e">
        <f t="shared" si="24"/>
        <v>#REF!</v>
      </c>
      <c r="J175" s="230" t="str">
        <f t="shared" si="28"/>
        <v/>
      </c>
      <c r="K175" s="230" t="str">
        <f t="shared" si="28"/>
        <v/>
      </c>
      <c r="L175" s="230" t="str">
        <f t="shared" si="28"/>
        <v/>
      </c>
      <c r="M175" s="201" t="str">
        <f t="shared" si="25"/>
        <v/>
      </c>
      <c r="N175" s="279" t="e">
        <f t="shared" si="29"/>
        <v>#REF!</v>
      </c>
      <c r="O175" s="279" t="e">
        <f t="shared" si="29"/>
        <v>#REF!</v>
      </c>
      <c r="P175" s="279" t="e">
        <f t="shared" si="29"/>
        <v>#REF!</v>
      </c>
      <c r="Q175" s="201" t="e">
        <f t="shared" si="26"/>
        <v>#REF!</v>
      </c>
      <c r="AE175" s="3"/>
      <c r="AL175" s="14"/>
    </row>
    <row r="176" spans="3:38" ht="13.5" thickBot="1" x14ac:dyDescent="0.4">
      <c r="C176" s="14" t="str" cm="1">
        <f t="array" ref="C176">INDEX('List Values'!$B$2:$B$21,(1+ROUNDDOWN((ROW()-ROW($C$120))*1/6,2)))</f>
        <v>Use of Adhesives and Sealants</v>
      </c>
      <c r="D176" s="224" t="s">
        <v>109</v>
      </c>
      <c r="E176" s="224" t="s">
        <v>52</v>
      </c>
      <c r="F176" s="280" t="e">
        <f t="shared" si="27"/>
        <v>#DIV/0!</v>
      </c>
      <c r="G176" s="280" t="e">
        <f t="shared" si="27"/>
        <v>#DIV/0!</v>
      </c>
      <c r="H176" s="280" t="e">
        <f t="shared" si="27"/>
        <v>#DIV/0!</v>
      </c>
      <c r="I176" s="201" t="e">
        <f t="shared" si="24"/>
        <v>#REF!</v>
      </c>
      <c r="J176" s="230" t="str">
        <f t="shared" si="28"/>
        <v/>
      </c>
      <c r="K176" s="230" t="str">
        <f t="shared" si="28"/>
        <v/>
      </c>
      <c r="L176" s="230" t="str">
        <f t="shared" si="28"/>
        <v/>
      </c>
      <c r="M176" s="201" t="str">
        <f t="shared" si="25"/>
        <v/>
      </c>
      <c r="N176" s="279" t="e">
        <f t="shared" si="29"/>
        <v>#REF!</v>
      </c>
      <c r="O176" s="279" t="e">
        <f t="shared" si="29"/>
        <v>#REF!</v>
      </c>
      <c r="P176" s="279" t="e">
        <f t="shared" si="29"/>
        <v>#REF!</v>
      </c>
      <c r="Q176" s="201" t="e">
        <f t="shared" si="26"/>
        <v>#REF!</v>
      </c>
      <c r="AE176" s="3"/>
      <c r="AL176" s="14"/>
    </row>
    <row r="177" spans="3:38" ht="13.5" thickBot="1" x14ac:dyDescent="0.4">
      <c r="C177" s="14" t="str" cm="1">
        <f t="array" ref="C177">INDEX('List Values'!$B$2:$B$21,(1+ROUNDDOWN((ROW()-ROW($C$120))*1/6,2)))</f>
        <v>Use of Adhesives and Sealants</v>
      </c>
      <c r="D177" s="224" t="s">
        <v>109</v>
      </c>
      <c r="E177" s="224" t="s">
        <v>53</v>
      </c>
      <c r="F177" s="280" t="e">
        <f t="shared" si="27"/>
        <v>#DIV/0!</v>
      </c>
      <c r="G177" s="280" t="e">
        <f t="shared" si="27"/>
        <v>#DIV/0!</v>
      </c>
      <c r="H177" s="280" t="e">
        <f t="shared" si="27"/>
        <v>#DIV/0!</v>
      </c>
      <c r="I177" s="201" t="e">
        <f t="shared" si="24"/>
        <v>#REF!</v>
      </c>
      <c r="J177" s="230" t="str">
        <f t="shared" si="28"/>
        <v/>
      </c>
      <c r="K177" s="230" t="str">
        <f t="shared" si="28"/>
        <v/>
      </c>
      <c r="L177" s="230" t="str">
        <f t="shared" si="28"/>
        <v/>
      </c>
      <c r="M177" s="201" t="str">
        <f t="shared" si="25"/>
        <v/>
      </c>
      <c r="N177" s="279" t="e">
        <f t="shared" si="29"/>
        <v>#REF!</v>
      </c>
      <c r="O177" s="279" t="e">
        <f t="shared" si="29"/>
        <v>#REF!</v>
      </c>
      <c r="P177" s="279" t="e">
        <f t="shared" si="29"/>
        <v>#REF!</v>
      </c>
      <c r="Q177" s="201" t="e">
        <f t="shared" si="26"/>
        <v>#REF!</v>
      </c>
      <c r="AE177" s="3"/>
      <c r="AL177" s="14"/>
    </row>
    <row r="178" spans="3:38" ht="13.5" thickBot="1" x14ac:dyDescent="0.4">
      <c r="C178" s="14" t="str" cm="1">
        <f t="array" ref="C178">INDEX('List Values'!$B$2:$B$21,(1+ROUNDDOWN((ROW()-ROW($C$120))*1/6,2)))</f>
        <v>Use of Adhesives and Sealants</v>
      </c>
      <c r="D178" s="224" t="s">
        <v>54</v>
      </c>
      <c r="E178" s="224" t="s">
        <v>52</v>
      </c>
      <c r="F178" s="280" t="e">
        <f t="shared" si="27"/>
        <v>#DIV/0!</v>
      </c>
      <c r="G178" s="280" t="e">
        <f t="shared" si="27"/>
        <v>#DIV/0!</v>
      </c>
      <c r="H178" s="280" t="e">
        <f t="shared" si="27"/>
        <v>#DIV/0!</v>
      </c>
      <c r="I178" s="201" t="e">
        <f t="shared" si="24"/>
        <v>#REF!</v>
      </c>
      <c r="J178" s="230" t="str">
        <f t="shared" si="28"/>
        <v/>
      </c>
      <c r="K178" s="230" t="str">
        <f t="shared" si="28"/>
        <v/>
      </c>
      <c r="L178" s="230" t="str">
        <f t="shared" si="28"/>
        <v/>
      </c>
      <c r="M178" s="201" t="str">
        <f t="shared" si="25"/>
        <v/>
      </c>
      <c r="N178" s="279" t="e">
        <f t="shared" si="29"/>
        <v>#REF!</v>
      </c>
      <c r="O178" s="279" t="e">
        <f t="shared" si="29"/>
        <v>#REF!</v>
      </c>
      <c r="P178" s="279" t="e">
        <f t="shared" si="29"/>
        <v>#REF!</v>
      </c>
      <c r="Q178" s="201" t="e">
        <f t="shared" si="26"/>
        <v>#REF!</v>
      </c>
      <c r="AE178" s="3"/>
      <c r="AL178" s="14"/>
    </row>
    <row r="179" spans="3:38" ht="13.5" thickBot="1" x14ac:dyDescent="0.4">
      <c r="C179" s="14" t="str" cm="1">
        <f t="array" ref="C179">INDEX('List Values'!$B$2:$B$21,(1+ROUNDDOWN((ROW()-ROW($C$120))*1/6,2)))</f>
        <v>Use of Adhesives and Sealants</v>
      </c>
      <c r="D179" s="224" t="s">
        <v>54</v>
      </c>
      <c r="E179" s="224" t="s">
        <v>53</v>
      </c>
      <c r="F179" s="280" t="e">
        <f t="shared" si="27"/>
        <v>#DIV/0!</v>
      </c>
      <c r="G179" s="280" t="e">
        <f t="shared" si="27"/>
        <v>#DIV/0!</v>
      </c>
      <c r="H179" s="280" t="e">
        <f t="shared" si="27"/>
        <v>#DIV/0!</v>
      </c>
      <c r="I179" s="201" t="e">
        <f t="shared" si="24"/>
        <v>#REF!</v>
      </c>
      <c r="J179" s="230" t="str">
        <f t="shared" si="28"/>
        <v/>
      </c>
      <c r="K179" s="230" t="str">
        <f t="shared" si="28"/>
        <v/>
      </c>
      <c r="L179" s="230" t="str">
        <f t="shared" si="28"/>
        <v/>
      </c>
      <c r="M179" s="201" t="str">
        <f t="shared" si="25"/>
        <v/>
      </c>
      <c r="N179" s="279" t="e">
        <f t="shared" si="29"/>
        <v>#REF!</v>
      </c>
      <c r="O179" s="279" t="e">
        <f t="shared" si="29"/>
        <v>#REF!</v>
      </c>
      <c r="P179" s="279" t="e">
        <f t="shared" si="29"/>
        <v>#REF!</v>
      </c>
      <c r="Q179" s="201" t="e">
        <f t="shared" si="26"/>
        <v>#REF!</v>
      </c>
      <c r="AE179" s="3"/>
      <c r="AL179" s="14"/>
    </row>
    <row r="180" spans="3:38" ht="13.5" thickBot="1" x14ac:dyDescent="0.4">
      <c r="C180" s="14" t="str" cm="1">
        <f t="array" ref="C180">INDEX('List Values'!$B$2:$B$21,(1+ROUNDDOWN((ROW()-ROW($C$120))*1/6,2)))</f>
        <v>Rubber Compounding</v>
      </c>
      <c r="D180" s="224" t="s">
        <v>34</v>
      </c>
      <c r="E180" s="218" t="s">
        <v>52</v>
      </c>
      <c r="F180" s="280" t="e">
        <f t="shared" ref="F180:H199" si="30">F$118/G65</f>
        <v>#DIV/0!</v>
      </c>
      <c r="G180" s="280" t="e">
        <f t="shared" si="30"/>
        <v>#DIV/0!</v>
      </c>
      <c r="H180" s="280" t="e">
        <f t="shared" si="30"/>
        <v>#DIV/0!</v>
      </c>
      <c r="I180" s="201" t="e">
        <f t="shared" si="24"/>
        <v>#REF!</v>
      </c>
      <c r="J180" s="230" t="str">
        <f t="shared" ref="J180:L199" si="31">IFERROR(J$118/K65,"")</f>
        <v/>
      </c>
      <c r="K180" s="230" t="str">
        <f t="shared" si="31"/>
        <v/>
      </c>
      <c r="L180" s="230" t="str">
        <f t="shared" si="31"/>
        <v/>
      </c>
      <c r="M180" s="201" t="str">
        <f t="shared" si="25"/>
        <v/>
      </c>
      <c r="N180" s="279" t="e">
        <f t="shared" ref="N180:P199" si="32">N$118/O65</f>
        <v>#REF!</v>
      </c>
      <c r="O180" s="279" t="e">
        <f t="shared" si="32"/>
        <v>#REF!</v>
      </c>
      <c r="P180" s="279" t="e">
        <f t="shared" si="32"/>
        <v>#REF!</v>
      </c>
      <c r="Q180" s="201" t="e">
        <f t="shared" si="26"/>
        <v>#REF!</v>
      </c>
      <c r="AE180" s="3"/>
      <c r="AL180" s="14"/>
    </row>
    <row r="181" spans="3:38" ht="13.5" thickBot="1" x14ac:dyDescent="0.4">
      <c r="C181" s="14" t="str" cm="1">
        <f t="array" ref="C181">INDEX('List Values'!$B$2:$B$21,(1+ROUNDDOWN((ROW()-ROW($C$120))*1/6,2)))</f>
        <v>Rubber Compounding</v>
      </c>
      <c r="D181" s="224" t="s">
        <v>34</v>
      </c>
      <c r="E181" s="224" t="s">
        <v>53</v>
      </c>
      <c r="F181" s="280" t="e">
        <f t="shared" si="30"/>
        <v>#DIV/0!</v>
      </c>
      <c r="G181" s="280" t="e">
        <f t="shared" si="30"/>
        <v>#DIV/0!</v>
      </c>
      <c r="H181" s="280" t="e">
        <f t="shared" si="30"/>
        <v>#DIV/0!</v>
      </c>
      <c r="I181" s="201" t="e">
        <f t="shared" si="24"/>
        <v>#REF!</v>
      </c>
      <c r="J181" s="230" t="str">
        <f t="shared" si="31"/>
        <v/>
      </c>
      <c r="K181" s="230" t="str">
        <f t="shared" si="31"/>
        <v/>
      </c>
      <c r="L181" s="230" t="str">
        <f t="shared" si="31"/>
        <v/>
      </c>
      <c r="M181" s="201" t="str">
        <f t="shared" si="25"/>
        <v/>
      </c>
      <c r="N181" s="279" t="e">
        <f t="shared" si="32"/>
        <v>#REF!</v>
      </c>
      <c r="O181" s="279" t="e">
        <f t="shared" si="32"/>
        <v>#REF!</v>
      </c>
      <c r="P181" s="279" t="e">
        <f t="shared" si="32"/>
        <v>#REF!</v>
      </c>
      <c r="Q181" s="201" t="e">
        <f t="shared" si="26"/>
        <v>#REF!</v>
      </c>
      <c r="AE181" s="3"/>
      <c r="AL181" s="14"/>
    </row>
    <row r="182" spans="3:38" ht="13.5" thickBot="1" x14ac:dyDescent="0.4">
      <c r="C182" s="14" t="str" cm="1">
        <f t="array" ref="C182">INDEX('List Values'!$B$2:$B$21,(1+ROUNDDOWN((ROW()-ROW($C$120))*1/6,2)))</f>
        <v>Rubber Compounding</v>
      </c>
      <c r="D182" s="224" t="s">
        <v>109</v>
      </c>
      <c r="E182" s="224" t="s">
        <v>52</v>
      </c>
      <c r="F182" s="280" t="e">
        <f t="shared" si="30"/>
        <v>#DIV/0!</v>
      </c>
      <c r="G182" s="280" t="e">
        <f t="shared" si="30"/>
        <v>#DIV/0!</v>
      </c>
      <c r="H182" s="280" t="e">
        <f t="shared" si="30"/>
        <v>#DIV/0!</v>
      </c>
      <c r="I182" s="201" t="e">
        <f t="shared" si="24"/>
        <v>#REF!</v>
      </c>
      <c r="J182" s="230" t="str">
        <f t="shared" si="31"/>
        <v/>
      </c>
      <c r="K182" s="230" t="str">
        <f t="shared" si="31"/>
        <v/>
      </c>
      <c r="L182" s="230" t="str">
        <f t="shared" si="31"/>
        <v/>
      </c>
      <c r="M182" s="201" t="str">
        <f t="shared" si="25"/>
        <v/>
      </c>
      <c r="N182" s="279" t="e">
        <f t="shared" si="32"/>
        <v>#REF!</v>
      </c>
      <c r="O182" s="279" t="e">
        <f t="shared" si="32"/>
        <v>#REF!</v>
      </c>
      <c r="P182" s="279" t="e">
        <f t="shared" si="32"/>
        <v>#REF!</v>
      </c>
      <c r="Q182" s="201" t="e">
        <f t="shared" si="26"/>
        <v>#REF!</v>
      </c>
      <c r="AE182" s="3"/>
      <c r="AL182" s="14"/>
    </row>
    <row r="183" spans="3:38" ht="13.5" thickBot="1" x14ac:dyDescent="0.4">
      <c r="C183" s="14" t="str" cm="1">
        <f t="array" ref="C183">INDEX('List Values'!$B$2:$B$21,(1+ROUNDDOWN((ROW()-ROW($C$120))*1/6,2)))</f>
        <v>Rubber Compounding</v>
      </c>
      <c r="D183" s="224" t="s">
        <v>109</v>
      </c>
      <c r="E183" s="224" t="s">
        <v>53</v>
      </c>
      <c r="F183" s="280" t="e">
        <f t="shared" si="30"/>
        <v>#DIV/0!</v>
      </c>
      <c r="G183" s="280" t="e">
        <f t="shared" si="30"/>
        <v>#DIV/0!</v>
      </c>
      <c r="H183" s="280" t="e">
        <f t="shared" si="30"/>
        <v>#DIV/0!</v>
      </c>
      <c r="I183" s="201" t="e">
        <f t="shared" si="24"/>
        <v>#REF!</v>
      </c>
      <c r="J183" s="230" t="str">
        <f t="shared" si="31"/>
        <v/>
      </c>
      <c r="K183" s="230" t="str">
        <f t="shared" si="31"/>
        <v/>
      </c>
      <c r="L183" s="230" t="str">
        <f t="shared" si="31"/>
        <v/>
      </c>
      <c r="M183" s="201" t="str">
        <f t="shared" si="25"/>
        <v/>
      </c>
      <c r="N183" s="279" t="e">
        <f t="shared" si="32"/>
        <v>#REF!</v>
      </c>
      <c r="O183" s="279" t="e">
        <f t="shared" si="32"/>
        <v>#REF!</v>
      </c>
      <c r="P183" s="279" t="e">
        <f t="shared" si="32"/>
        <v>#REF!</v>
      </c>
      <c r="Q183" s="201" t="e">
        <f t="shared" si="26"/>
        <v>#REF!</v>
      </c>
      <c r="AE183" s="3"/>
      <c r="AL183" s="14"/>
    </row>
    <row r="184" spans="3:38" ht="13.5" thickBot="1" x14ac:dyDescent="0.4">
      <c r="C184" s="14" t="str" cm="1">
        <f t="array" ref="C184">INDEX('List Values'!$B$2:$B$21,(1+ROUNDDOWN((ROW()-ROW($C$120))*1/6,2)))</f>
        <v>Rubber Compounding</v>
      </c>
      <c r="D184" s="224" t="s">
        <v>54</v>
      </c>
      <c r="E184" s="224" t="s">
        <v>52</v>
      </c>
      <c r="F184" s="280" t="e">
        <f t="shared" si="30"/>
        <v>#DIV/0!</v>
      </c>
      <c r="G184" s="280" t="e">
        <f t="shared" si="30"/>
        <v>#DIV/0!</v>
      </c>
      <c r="H184" s="280" t="e">
        <f t="shared" si="30"/>
        <v>#DIV/0!</v>
      </c>
      <c r="I184" s="201" t="e">
        <f t="shared" ref="I184:I215" si="33">I$118*J69</f>
        <v>#REF!</v>
      </c>
      <c r="J184" s="230" t="str">
        <f t="shared" si="31"/>
        <v/>
      </c>
      <c r="K184" s="230" t="str">
        <f t="shared" si="31"/>
        <v/>
      </c>
      <c r="L184" s="230" t="str">
        <f t="shared" si="31"/>
        <v/>
      </c>
      <c r="M184" s="201" t="str">
        <f t="shared" ref="M184:M215" si="34">IFERROR(M$118*N69,"")</f>
        <v/>
      </c>
      <c r="N184" s="279" t="e">
        <f t="shared" si="32"/>
        <v>#REF!</v>
      </c>
      <c r="O184" s="279" t="e">
        <f t="shared" si="32"/>
        <v>#REF!</v>
      </c>
      <c r="P184" s="279" t="e">
        <f t="shared" si="32"/>
        <v>#REF!</v>
      </c>
      <c r="Q184" s="201" t="e">
        <f t="shared" ref="Q184:Q215" si="35">Q$118*R69</f>
        <v>#REF!</v>
      </c>
      <c r="AE184" s="3"/>
      <c r="AL184" s="14"/>
    </row>
    <row r="185" spans="3:38" ht="13.5" thickBot="1" x14ac:dyDescent="0.4">
      <c r="C185" s="14" t="str" cm="1">
        <f t="array" ref="C185">INDEX('List Values'!$B$2:$B$21,(1+ROUNDDOWN((ROW()-ROW($C$120))*1/6,2)))</f>
        <v>Rubber Compounding</v>
      </c>
      <c r="D185" s="224" t="s">
        <v>54</v>
      </c>
      <c r="E185" s="224" t="s">
        <v>53</v>
      </c>
      <c r="F185" s="280" t="e">
        <f t="shared" si="30"/>
        <v>#DIV/0!</v>
      </c>
      <c r="G185" s="280" t="e">
        <f t="shared" si="30"/>
        <v>#DIV/0!</v>
      </c>
      <c r="H185" s="280" t="e">
        <f t="shared" si="30"/>
        <v>#DIV/0!</v>
      </c>
      <c r="I185" s="201" t="e">
        <f t="shared" si="33"/>
        <v>#REF!</v>
      </c>
      <c r="J185" s="230" t="str">
        <f t="shared" si="31"/>
        <v/>
      </c>
      <c r="K185" s="230" t="str">
        <f t="shared" si="31"/>
        <v/>
      </c>
      <c r="L185" s="230" t="str">
        <f t="shared" si="31"/>
        <v/>
      </c>
      <c r="M185" s="201" t="str">
        <f t="shared" si="34"/>
        <v/>
      </c>
      <c r="N185" s="279" t="e">
        <f t="shared" si="32"/>
        <v>#REF!</v>
      </c>
      <c r="O185" s="279" t="e">
        <f t="shared" si="32"/>
        <v>#REF!</v>
      </c>
      <c r="P185" s="279" t="e">
        <f t="shared" si="32"/>
        <v>#REF!</v>
      </c>
      <c r="Q185" s="201" t="e">
        <f t="shared" si="35"/>
        <v>#REF!</v>
      </c>
      <c r="AE185" s="3"/>
      <c r="AL185" s="14"/>
    </row>
    <row r="186" spans="3:38" ht="13.5" thickBot="1" x14ac:dyDescent="0.4">
      <c r="C186" s="14" t="str" cm="1">
        <f t="array" ref="C186">INDEX('List Values'!$B$2:$B$21,(1+ROUNDDOWN((ROW()-ROW($C$120))*1/6,2)))</f>
        <v>Rubber Converting</v>
      </c>
      <c r="D186" s="224" t="s">
        <v>34</v>
      </c>
      <c r="E186" s="218" t="s">
        <v>52</v>
      </c>
      <c r="F186" s="280" t="e">
        <f t="shared" si="30"/>
        <v>#DIV/0!</v>
      </c>
      <c r="G186" s="280" t="e">
        <f t="shared" si="30"/>
        <v>#DIV/0!</v>
      </c>
      <c r="H186" s="280" t="e">
        <f t="shared" si="30"/>
        <v>#DIV/0!</v>
      </c>
      <c r="I186" s="201" t="e">
        <f t="shared" si="33"/>
        <v>#REF!</v>
      </c>
      <c r="J186" s="230" t="str">
        <f t="shared" si="31"/>
        <v/>
      </c>
      <c r="K186" s="230" t="str">
        <f t="shared" si="31"/>
        <v/>
      </c>
      <c r="L186" s="230" t="str">
        <f t="shared" si="31"/>
        <v/>
      </c>
      <c r="M186" s="201" t="str">
        <f t="shared" si="34"/>
        <v/>
      </c>
      <c r="N186" s="279" t="e">
        <f t="shared" si="32"/>
        <v>#REF!</v>
      </c>
      <c r="O186" s="279" t="e">
        <f t="shared" si="32"/>
        <v>#REF!</v>
      </c>
      <c r="P186" s="279" t="e">
        <f t="shared" si="32"/>
        <v>#REF!</v>
      </c>
      <c r="Q186" s="201" t="e">
        <f t="shared" si="35"/>
        <v>#REF!</v>
      </c>
      <c r="AE186" s="3"/>
      <c r="AL186" s="14"/>
    </row>
    <row r="187" spans="3:38" ht="13.5" thickBot="1" x14ac:dyDescent="0.4">
      <c r="C187" s="14" t="str" cm="1">
        <f t="array" ref="C187">INDEX('List Values'!$B$2:$B$21,(1+ROUNDDOWN((ROW()-ROW($C$120))*1/6,2)))</f>
        <v>Rubber Converting</v>
      </c>
      <c r="D187" s="224" t="s">
        <v>34</v>
      </c>
      <c r="E187" s="224" t="s">
        <v>53</v>
      </c>
      <c r="F187" s="280" t="e">
        <f t="shared" si="30"/>
        <v>#DIV/0!</v>
      </c>
      <c r="G187" s="280" t="e">
        <f t="shared" si="30"/>
        <v>#DIV/0!</v>
      </c>
      <c r="H187" s="280" t="e">
        <f t="shared" si="30"/>
        <v>#DIV/0!</v>
      </c>
      <c r="I187" s="201" t="e">
        <f t="shared" si="33"/>
        <v>#REF!</v>
      </c>
      <c r="J187" s="230" t="str">
        <f t="shared" si="31"/>
        <v/>
      </c>
      <c r="K187" s="230" t="str">
        <f t="shared" si="31"/>
        <v/>
      </c>
      <c r="L187" s="230" t="str">
        <f t="shared" si="31"/>
        <v/>
      </c>
      <c r="M187" s="201" t="str">
        <f t="shared" si="34"/>
        <v/>
      </c>
      <c r="N187" s="279" t="e">
        <f t="shared" si="32"/>
        <v>#REF!</v>
      </c>
      <c r="O187" s="279" t="e">
        <f t="shared" si="32"/>
        <v>#REF!</v>
      </c>
      <c r="P187" s="279" t="e">
        <f t="shared" si="32"/>
        <v>#REF!</v>
      </c>
      <c r="Q187" s="201" t="e">
        <f t="shared" si="35"/>
        <v>#REF!</v>
      </c>
      <c r="AE187" s="3"/>
      <c r="AL187" s="14"/>
    </row>
    <row r="188" spans="3:38" ht="13.5" thickBot="1" x14ac:dyDescent="0.4">
      <c r="C188" s="14" t="str" cm="1">
        <f t="array" ref="C188">INDEX('List Values'!$B$2:$B$21,(1+ROUNDDOWN((ROW()-ROW($C$120))*1/6,2)))</f>
        <v>Rubber Converting</v>
      </c>
      <c r="D188" s="224" t="s">
        <v>109</v>
      </c>
      <c r="E188" s="224" t="s">
        <v>52</v>
      </c>
      <c r="F188" s="280" t="e">
        <f t="shared" si="30"/>
        <v>#DIV/0!</v>
      </c>
      <c r="G188" s="280" t="e">
        <f t="shared" si="30"/>
        <v>#DIV/0!</v>
      </c>
      <c r="H188" s="280" t="e">
        <f t="shared" si="30"/>
        <v>#DIV/0!</v>
      </c>
      <c r="I188" s="201" t="e">
        <f t="shared" si="33"/>
        <v>#REF!</v>
      </c>
      <c r="J188" s="230" t="str">
        <f t="shared" si="31"/>
        <v/>
      </c>
      <c r="K188" s="230" t="str">
        <f t="shared" si="31"/>
        <v/>
      </c>
      <c r="L188" s="230" t="str">
        <f t="shared" si="31"/>
        <v/>
      </c>
      <c r="M188" s="201" t="str">
        <f t="shared" si="34"/>
        <v/>
      </c>
      <c r="N188" s="279" t="e">
        <f t="shared" si="32"/>
        <v>#REF!</v>
      </c>
      <c r="O188" s="279" t="e">
        <f t="shared" si="32"/>
        <v>#REF!</v>
      </c>
      <c r="P188" s="279" t="e">
        <f t="shared" si="32"/>
        <v>#REF!</v>
      </c>
      <c r="Q188" s="201" t="e">
        <f t="shared" si="35"/>
        <v>#REF!</v>
      </c>
      <c r="AE188" s="3"/>
      <c r="AL188" s="14"/>
    </row>
    <row r="189" spans="3:38" ht="13.5" thickBot="1" x14ac:dyDescent="0.4">
      <c r="C189" s="14" t="str" cm="1">
        <f t="array" ref="C189">INDEX('List Values'!$B$2:$B$21,(1+ROUNDDOWN((ROW()-ROW($C$120))*1/6,2)))</f>
        <v>Rubber Converting</v>
      </c>
      <c r="D189" s="224" t="s">
        <v>109</v>
      </c>
      <c r="E189" s="224" t="s">
        <v>53</v>
      </c>
      <c r="F189" s="280" t="e">
        <f t="shared" si="30"/>
        <v>#DIV/0!</v>
      </c>
      <c r="G189" s="280" t="e">
        <f t="shared" si="30"/>
        <v>#DIV/0!</v>
      </c>
      <c r="H189" s="280" t="e">
        <f t="shared" si="30"/>
        <v>#DIV/0!</v>
      </c>
      <c r="I189" s="201" t="e">
        <f t="shared" si="33"/>
        <v>#REF!</v>
      </c>
      <c r="J189" s="230" t="str">
        <f t="shared" si="31"/>
        <v/>
      </c>
      <c r="K189" s="230" t="str">
        <f t="shared" si="31"/>
        <v/>
      </c>
      <c r="L189" s="230" t="str">
        <f t="shared" si="31"/>
        <v/>
      </c>
      <c r="M189" s="201" t="str">
        <f t="shared" si="34"/>
        <v/>
      </c>
      <c r="N189" s="279" t="e">
        <f t="shared" si="32"/>
        <v>#REF!</v>
      </c>
      <c r="O189" s="279" t="e">
        <f t="shared" si="32"/>
        <v>#REF!</v>
      </c>
      <c r="P189" s="279" t="e">
        <f t="shared" si="32"/>
        <v>#REF!</v>
      </c>
      <c r="Q189" s="201" t="e">
        <f t="shared" si="35"/>
        <v>#REF!</v>
      </c>
      <c r="AE189" s="3"/>
      <c r="AL189" s="14"/>
    </row>
    <row r="190" spans="3:38" ht="13.5" thickBot="1" x14ac:dyDescent="0.4">
      <c r="C190" s="14" t="str" cm="1">
        <f t="array" ref="C190">INDEX('List Values'!$B$2:$B$21,(1+ROUNDDOWN((ROW()-ROW($C$120))*1/6,2)))</f>
        <v>Rubber Converting</v>
      </c>
      <c r="D190" s="224" t="s">
        <v>54</v>
      </c>
      <c r="E190" s="224" t="s">
        <v>52</v>
      </c>
      <c r="F190" s="280" t="e">
        <f t="shared" si="30"/>
        <v>#DIV/0!</v>
      </c>
      <c r="G190" s="280" t="e">
        <f t="shared" si="30"/>
        <v>#DIV/0!</v>
      </c>
      <c r="H190" s="280" t="e">
        <f t="shared" si="30"/>
        <v>#DIV/0!</v>
      </c>
      <c r="I190" s="201" t="e">
        <f t="shared" si="33"/>
        <v>#REF!</v>
      </c>
      <c r="J190" s="230" t="str">
        <f t="shared" si="31"/>
        <v/>
      </c>
      <c r="K190" s="230" t="str">
        <f t="shared" si="31"/>
        <v/>
      </c>
      <c r="L190" s="230" t="str">
        <f t="shared" si="31"/>
        <v/>
      </c>
      <c r="M190" s="201" t="str">
        <f t="shared" si="34"/>
        <v/>
      </c>
      <c r="N190" s="279" t="e">
        <f t="shared" si="32"/>
        <v>#REF!</v>
      </c>
      <c r="O190" s="279" t="e">
        <f t="shared" si="32"/>
        <v>#REF!</v>
      </c>
      <c r="P190" s="279" t="e">
        <f t="shared" si="32"/>
        <v>#REF!</v>
      </c>
      <c r="Q190" s="201" t="e">
        <f t="shared" si="35"/>
        <v>#REF!</v>
      </c>
      <c r="AE190" s="3"/>
      <c r="AL190" s="14"/>
    </row>
    <row r="191" spans="3:38" ht="13.5" thickBot="1" x14ac:dyDescent="0.4">
      <c r="C191" s="14" t="str" cm="1">
        <f t="array" ref="C191">INDEX('List Values'!$B$2:$B$21,(1+ROUNDDOWN((ROW()-ROW($C$120))*1/6,2)))</f>
        <v>Rubber Converting</v>
      </c>
      <c r="D191" s="224" t="s">
        <v>54</v>
      </c>
      <c r="E191" s="224" t="s">
        <v>53</v>
      </c>
      <c r="F191" s="280" t="e">
        <f t="shared" si="30"/>
        <v>#DIV/0!</v>
      </c>
      <c r="G191" s="280" t="e">
        <f t="shared" si="30"/>
        <v>#DIV/0!</v>
      </c>
      <c r="H191" s="280" t="e">
        <f t="shared" si="30"/>
        <v>#DIV/0!</v>
      </c>
      <c r="I191" s="201" t="e">
        <f t="shared" si="33"/>
        <v>#REF!</v>
      </c>
      <c r="J191" s="230" t="str">
        <f t="shared" si="31"/>
        <v/>
      </c>
      <c r="K191" s="230" t="str">
        <f t="shared" si="31"/>
        <v/>
      </c>
      <c r="L191" s="230" t="str">
        <f t="shared" si="31"/>
        <v/>
      </c>
      <c r="M191" s="201" t="str">
        <f t="shared" si="34"/>
        <v/>
      </c>
      <c r="N191" s="279" t="e">
        <f t="shared" si="32"/>
        <v>#REF!</v>
      </c>
      <c r="O191" s="279" t="e">
        <f t="shared" si="32"/>
        <v>#REF!</v>
      </c>
      <c r="P191" s="279" t="e">
        <f t="shared" si="32"/>
        <v>#REF!</v>
      </c>
      <c r="Q191" s="201" t="e">
        <f t="shared" si="35"/>
        <v>#REF!</v>
      </c>
      <c r="AE191" s="3"/>
      <c r="AL191" s="14"/>
    </row>
    <row r="192" spans="3:38" ht="13.5" thickBot="1" x14ac:dyDescent="0.4">
      <c r="C192" s="14" t="str" cm="1">
        <f t="array" ref="C192">INDEX('List Values'!$B$2:$B$21,(1+ROUNDDOWN((ROW()-ROW($C$120))*1/6,2)))</f>
        <v>Formulation of Products Containing Greater than 3% D4</v>
      </c>
      <c r="D192" s="224" t="s">
        <v>34</v>
      </c>
      <c r="E192" s="218" t="s">
        <v>52</v>
      </c>
      <c r="F192" s="280" t="e">
        <f t="shared" si="30"/>
        <v>#DIV/0!</v>
      </c>
      <c r="G192" s="280" t="e">
        <f t="shared" si="30"/>
        <v>#DIV/0!</v>
      </c>
      <c r="H192" s="280" t="e">
        <f t="shared" si="30"/>
        <v>#DIV/0!</v>
      </c>
      <c r="I192" s="201" t="e">
        <f t="shared" si="33"/>
        <v>#REF!</v>
      </c>
      <c r="J192" s="230" t="str">
        <f t="shared" si="31"/>
        <v/>
      </c>
      <c r="K192" s="230" t="str">
        <f t="shared" si="31"/>
        <v/>
      </c>
      <c r="L192" s="230" t="str">
        <f t="shared" si="31"/>
        <v/>
      </c>
      <c r="M192" s="201" t="str">
        <f t="shared" si="34"/>
        <v/>
      </c>
      <c r="N192" s="279" t="e">
        <f t="shared" si="32"/>
        <v>#REF!</v>
      </c>
      <c r="O192" s="279" t="e">
        <f t="shared" si="32"/>
        <v>#REF!</v>
      </c>
      <c r="P192" s="279" t="e">
        <f t="shared" si="32"/>
        <v>#REF!</v>
      </c>
      <c r="Q192" s="201" t="e">
        <f t="shared" si="35"/>
        <v>#REF!</v>
      </c>
      <c r="AE192" s="3"/>
      <c r="AL192" s="14"/>
    </row>
    <row r="193" spans="3:38" ht="13.5" thickBot="1" x14ac:dyDescent="0.4">
      <c r="C193" s="14" t="str" cm="1">
        <f t="array" ref="C193">INDEX('List Values'!$B$2:$B$21,(1+ROUNDDOWN((ROW()-ROW($C$120))*1/6,2)))</f>
        <v>Formulation of Products Containing Greater than 3% D4</v>
      </c>
      <c r="D193" s="224" t="s">
        <v>34</v>
      </c>
      <c r="E193" s="224" t="s">
        <v>53</v>
      </c>
      <c r="F193" s="280" t="e">
        <f t="shared" si="30"/>
        <v>#DIV/0!</v>
      </c>
      <c r="G193" s="280" t="e">
        <f t="shared" si="30"/>
        <v>#DIV/0!</v>
      </c>
      <c r="H193" s="280" t="e">
        <f t="shared" si="30"/>
        <v>#DIV/0!</v>
      </c>
      <c r="I193" s="201" t="e">
        <f t="shared" si="33"/>
        <v>#REF!</v>
      </c>
      <c r="J193" s="230" t="str">
        <f t="shared" si="31"/>
        <v/>
      </c>
      <c r="K193" s="230" t="str">
        <f t="shared" si="31"/>
        <v/>
      </c>
      <c r="L193" s="230" t="str">
        <f t="shared" si="31"/>
        <v/>
      </c>
      <c r="M193" s="201" t="str">
        <f t="shared" si="34"/>
        <v/>
      </c>
      <c r="N193" s="279" t="e">
        <f t="shared" si="32"/>
        <v>#REF!</v>
      </c>
      <c r="O193" s="279" t="e">
        <f t="shared" si="32"/>
        <v>#REF!</v>
      </c>
      <c r="P193" s="279" t="e">
        <f t="shared" si="32"/>
        <v>#REF!</v>
      </c>
      <c r="Q193" s="201" t="e">
        <f t="shared" si="35"/>
        <v>#REF!</v>
      </c>
      <c r="AE193" s="3"/>
      <c r="AL193" s="14"/>
    </row>
    <row r="194" spans="3:38" ht="13.5" thickBot="1" x14ac:dyDescent="0.4">
      <c r="C194" s="14" t="str" cm="1">
        <f t="array" ref="C194">INDEX('List Values'!$B$2:$B$21,(1+ROUNDDOWN((ROW()-ROW($C$120))*1/6,2)))</f>
        <v>Formulation of Products Containing Greater than 3% D4</v>
      </c>
      <c r="D194" s="224" t="s">
        <v>109</v>
      </c>
      <c r="E194" s="224" t="s">
        <v>52</v>
      </c>
      <c r="F194" s="280" t="e">
        <f t="shared" si="30"/>
        <v>#DIV/0!</v>
      </c>
      <c r="G194" s="280" t="e">
        <f t="shared" si="30"/>
        <v>#DIV/0!</v>
      </c>
      <c r="H194" s="280" t="e">
        <f t="shared" si="30"/>
        <v>#DIV/0!</v>
      </c>
      <c r="I194" s="201" t="e">
        <f t="shared" si="33"/>
        <v>#REF!</v>
      </c>
      <c r="J194" s="230" t="str">
        <f t="shared" si="31"/>
        <v/>
      </c>
      <c r="K194" s="230" t="str">
        <f t="shared" si="31"/>
        <v/>
      </c>
      <c r="L194" s="230" t="str">
        <f t="shared" si="31"/>
        <v/>
      </c>
      <c r="M194" s="201" t="str">
        <f t="shared" si="34"/>
        <v/>
      </c>
      <c r="N194" s="279" t="e">
        <f t="shared" si="32"/>
        <v>#REF!</v>
      </c>
      <c r="O194" s="279" t="e">
        <f t="shared" si="32"/>
        <v>#REF!</v>
      </c>
      <c r="P194" s="279" t="e">
        <f t="shared" si="32"/>
        <v>#REF!</v>
      </c>
      <c r="Q194" s="201" t="e">
        <f t="shared" si="35"/>
        <v>#REF!</v>
      </c>
      <c r="AE194" s="3"/>
      <c r="AL194" s="14"/>
    </row>
    <row r="195" spans="3:38" ht="13.5" thickBot="1" x14ac:dyDescent="0.4">
      <c r="C195" s="14" t="str" cm="1">
        <f t="array" ref="C195">INDEX('List Values'!$B$2:$B$21,(1+ROUNDDOWN((ROW()-ROW($C$120))*1/6,2)))</f>
        <v>Formulation of Products Containing Greater than 3% D4</v>
      </c>
      <c r="D195" s="224" t="s">
        <v>109</v>
      </c>
      <c r="E195" s="224" t="s">
        <v>53</v>
      </c>
      <c r="F195" s="280" t="e">
        <f t="shared" si="30"/>
        <v>#DIV/0!</v>
      </c>
      <c r="G195" s="280" t="e">
        <f t="shared" si="30"/>
        <v>#DIV/0!</v>
      </c>
      <c r="H195" s="280" t="e">
        <f t="shared" si="30"/>
        <v>#DIV/0!</v>
      </c>
      <c r="I195" s="201" t="e">
        <f t="shared" si="33"/>
        <v>#REF!</v>
      </c>
      <c r="J195" s="230" t="str">
        <f t="shared" si="31"/>
        <v/>
      </c>
      <c r="K195" s="230" t="str">
        <f t="shared" si="31"/>
        <v/>
      </c>
      <c r="L195" s="230" t="str">
        <f t="shared" si="31"/>
        <v/>
      </c>
      <c r="M195" s="201" t="str">
        <f t="shared" si="34"/>
        <v/>
      </c>
      <c r="N195" s="279" t="e">
        <f t="shared" si="32"/>
        <v>#REF!</v>
      </c>
      <c r="O195" s="279" t="e">
        <f t="shared" si="32"/>
        <v>#REF!</v>
      </c>
      <c r="P195" s="279" t="e">
        <f t="shared" si="32"/>
        <v>#REF!</v>
      </c>
      <c r="Q195" s="201" t="e">
        <f t="shared" si="35"/>
        <v>#REF!</v>
      </c>
      <c r="AE195" s="3"/>
      <c r="AL195" s="14"/>
    </row>
    <row r="196" spans="3:38" ht="13.5" thickBot="1" x14ac:dyDescent="0.4">
      <c r="C196" s="14" t="str" cm="1">
        <f t="array" ref="C196">INDEX('List Values'!$B$2:$B$21,(1+ROUNDDOWN((ROW()-ROW($C$120))*1/6,2)))</f>
        <v>Formulation of Products Containing Greater than 3% D4</v>
      </c>
      <c r="D196" s="224" t="s">
        <v>54</v>
      </c>
      <c r="E196" s="224" t="s">
        <v>52</v>
      </c>
      <c r="F196" s="280" t="e">
        <f t="shared" si="30"/>
        <v>#DIV/0!</v>
      </c>
      <c r="G196" s="280" t="e">
        <f t="shared" si="30"/>
        <v>#DIV/0!</v>
      </c>
      <c r="H196" s="280" t="e">
        <f t="shared" si="30"/>
        <v>#DIV/0!</v>
      </c>
      <c r="I196" s="201" t="e">
        <f t="shared" si="33"/>
        <v>#REF!</v>
      </c>
      <c r="J196" s="230" t="str">
        <f t="shared" si="31"/>
        <v/>
      </c>
      <c r="K196" s="230" t="str">
        <f t="shared" si="31"/>
        <v/>
      </c>
      <c r="L196" s="230" t="str">
        <f t="shared" si="31"/>
        <v/>
      </c>
      <c r="M196" s="201" t="str">
        <f t="shared" si="34"/>
        <v/>
      </c>
      <c r="N196" s="279" t="e">
        <f t="shared" si="32"/>
        <v>#REF!</v>
      </c>
      <c r="O196" s="279" t="e">
        <f t="shared" si="32"/>
        <v>#REF!</v>
      </c>
      <c r="P196" s="279" t="e">
        <f t="shared" si="32"/>
        <v>#REF!</v>
      </c>
      <c r="Q196" s="201" t="e">
        <f t="shared" si="35"/>
        <v>#REF!</v>
      </c>
      <c r="AE196" s="3"/>
      <c r="AL196" s="14"/>
    </row>
    <row r="197" spans="3:38" ht="13.5" thickBot="1" x14ac:dyDescent="0.4">
      <c r="C197" s="14" t="str" cm="1">
        <f t="array" ref="C197">INDEX('List Values'!$B$2:$B$21,(1+ROUNDDOWN((ROW()-ROW($C$120))*1/6,2)))</f>
        <v>Formulation of Products Containing Greater than 3% D4</v>
      </c>
      <c r="D197" s="224" t="s">
        <v>54</v>
      </c>
      <c r="E197" s="224" t="s">
        <v>53</v>
      </c>
      <c r="F197" s="280" t="e">
        <f t="shared" si="30"/>
        <v>#DIV/0!</v>
      </c>
      <c r="G197" s="280" t="e">
        <f t="shared" si="30"/>
        <v>#DIV/0!</v>
      </c>
      <c r="H197" s="280" t="e">
        <f t="shared" si="30"/>
        <v>#DIV/0!</v>
      </c>
      <c r="I197" s="201" t="e">
        <f t="shared" si="33"/>
        <v>#REF!</v>
      </c>
      <c r="J197" s="230" t="str">
        <f t="shared" si="31"/>
        <v/>
      </c>
      <c r="K197" s="230" t="str">
        <f t="shared" si="31"/>
        <v/>
      </c>
      <c r="L197" s="230" t="str">
        <f t="shared" si="31"/>
        <v/>
      </c>
      <c r="M197" s="201" t="str">
        <f t="shared" si="34"/>
        <v/>
      </c>
      <c r="N197" s="279" t="e">
        <f t="shared" si="32"/>
        <v>#REF!</v>
      </c>
      <c r="O197" s="279" t="e">
        <f t="shared" si="32"/>
        <v>#REF!</v>
      </c>
      <c r="P197" s="279" t="e">
        <f t="shared" si="32"/>
        <v>#REF!</v>
      </c>
      <c r="Q197" s="201" t="e">
        <f t="shared" si="35"/>
        <v>#REF!</v>
      </c>
      <c r="AE197" s="3"/>
      <c r="AL197" s="14"/>
    </row>
    <row r="198" spans="3:38" ht="13.5" thickBot="1" x14ac:dyDescent="0.4">
      <c r="C198" s="14" t="str" cm="1">
        <f t="array" ref="C198">INDEX('List Values'!$B$2:$B$21,(1+ROUNDDOWN((ROW()-ROW($C$120))*1/6,2)))</f>
        <v>Use of Fabric Finishing Products</v>
      </c>
      <c r="D198" s="224" t="s">
        <v>34</v>
      </c>
      <c r="E198" s="218" t="s">
        <v>52</v>
      </c>
      <c r="F198" s="280" t="e">
        <f t="shared" si="30"/>
        <v>#DIV/0!</v>
      </c>
      <c r="G198" s="280" t="e">
        <f t="shared" si="30"/>
        <v>#DIV/0!</v>
      </c>
      <c r="H198" s="280" t="e">
        <f t="shared" si="30"/>
        <v>#DIV/0!</v>
      </c>
      <c r="I198" s="201" t="e">
        <f t="shared" si="33"/>
        <v>#REF!</v>
      </c>
      <c r="J198" s="230" t="str">
        <f t="shared" si="31"/>
        <v/>
      </c>
      <c r="K198" s="230" t="str">
        <f t="shared" si="31"/>
        <v/>
      </c>
      <c r="L198" s="230" t="str">
        <f t="shared" si="31"/>
        <v/>
      </c>
      <c r="M198" s="201" t="str">
        <f t="shared" si="34"/>
        <v/>
      </c>
      <c r="N198" s="279" t="e">
        <f t="shared" si="32"/>
        <v>#REF!</v>
      </c>
      <c r="O198" s="279" t="e">
        <f t="shared" si="32"/>
        <v>#REF!</v>
      </c>
      <c r="P198" s="279" t="e">
        <f t="shared" si="32"/>
        <v>#REF!</v>
      </c>
      <c r="Q198" s="201" t="e">
        <f t="shared" si="35"/>
        <v>#REF!</v>
      </c>
      <c r="AE198" s="3"/>
      <c r="AL198" s="14"/>
    </row>
    <row r="199" spans="3:38" ht="13.5" thickBot="1" x14ac:dyDescent="0.4">
      <c r="C199" s="14" t="str" cm="1">
        <f t="array" ref="C199">INDEX('List Values'!$B$2:$B$21,(1+ROUNDDOWN((ROW()-ROW($C$120))*1/6,2)))</f>
        <v>Use of Fabric Finishing Products</v>
      </c>
      <c r="D199" s="224" t="s">
        <v>34</v>
      </c>
      <c r="E199" s="224" t="s">
        <v>53</v>
      </c>
      <c r="F199" s="280" t="e">
        <f t="shared" si="30"/>
        <v>#DIV/0!</v>
      </c>
      <c r="G199" s="280" t="e">
        <f t="shared" si="30"/>
        <v>#DIV/0!</v>
      </c>
      <c r="H199" s="280" t="e">
        <f t="shared" si="30"/>
        <v>#DIV/0!</v>
      </c>
      <c r="I199" s="201" t="e">
        <f t="shared" si="33"/>
        <v>#REF!</v>
      </c>
      <c r="J199" s="230" t="str">
        <f t="shared" si="31"/>
        <v/>
      </c>
      <c r="K199" s="230" t="str">
        <f t="shared" si="31"/>
        <v/>
      </c>
      <c r="L199" s="230" t="str">
        <f t="shared" si="31"/>
        <v/>
      </c>
      <c r="M199" s="201" t="str">
        <f t="shared" si="34"/>
        <v/>
      </c>
      <c r="N199" s="279" t="e">
        <f t="shared" si="32"/>
        <v>#REF!</v>
      </c>
      <c r="O199" s="279" t="e">
        <f t="shared" si="32"/>
        <v>#REF!</v>
      </c>
      <c r="P199" s="279" t="e">
        <f t="shared" si="32"/>
        <v>#REF!</v>
      </c>
      <c r="Q199" s="201" t="e">
        <f t="shared" si="35"/>
        <v>#REF!</v>
      </c>
      <c r="AE199" s="3"/>
      <c r="AL199" s="14"/>
    </row>
    <row r="200" spans="3:38" ht="13.5" thickBot="1" x14ac:dyDescent="0.4">
      <c r="C200" s="14" t="str" cm="1">
        <f t="array" ref="C200">INDEX('List Values'!$B$2:$B$21,(1+ROUNDDOWN((ROW()-ROW($C$120))*1/6,2)))</f>
        <v>Use of Fabric Finishing Products</v>
      </c>
      <c r="D200" s="224" t="s">
        <v>109</v>
      </c>
      <c r="E200" s="224" t="s">
        <v>52</v>
      </c>
      <c r="F200" s="280" t="e">
        <f t="shared" ref="F200:H215" si="36">F$118/G85</f>
        <v>#DIV/0!</v>
      </c>
      <c r="G200" s="280" t="e">
        <f t="shared" si="36"/>
        <v>#DIV/0!</v>
      </c>
      <c r="H200" s="280" t="e">
        <f t="shared" si="36"/>
        <v>#DIV/0!</v>
      </c>
      <c r="I200" s="201" t="e">
        <f t="shared" si="33"/>
        <v>#REF!</v>
      </c>
      <c r="J200" s="230" t="str">
        <f t="shared" ref="J200:L215" si="37">IFERROR(J$118/K85,"")</f>
        <v/>
      </c>
      <c r="K200" s="230" t="str">
        <f t="shared" si="37"/>
        <v/>
      </c>
      <c r="L200" s="230" t="str">
        <f t="shared" si="37"/>
        <v/>
      </c>
      <c r="M200" s="201" t="str">
        <f t="shared" si="34"/>
        <v/>
      </c>
      <c r="N200" s="279" t="e">
        <f t="shared" ref="N200:P215" si="38">N$118/O85</f>
        <v>#REF!</v>
      </c>
      <c r="O200" s="279" t="e">
        <f t="shared" si="38"/>
        <v>#REF!</v>
      </c>
      <c r="P200" s="279" t="e">
        <f t="shared" si="38"/>
        <v>#REF!</v>
      </c>
      <c r="Q200" s="201" t="e">
        <f t="shared" si="35"/>
        <v>#REF!</v>
      </c>
      <c r="AE200" s="3"/>
      <c r="AL200" s="14"/>
    </row>
    <row r="201" spans="3:38" ht="13.5" thickBot="1" x14ac:dyDescent="0.4">
      <c r="C201" s="14" t="str" cm="1">
        <f t="array" ref="C201">INDEX('List Values'!$B$2:$B$21,(1+ROUNDDOWN((ROW()-ROW($C$120))*1/6,2)))</f>
        <v>Use of Fabric Finishing Products</v>
      </c>
      <c r="D201" s="224" t="s">
        <v>109</v>
      </c>
      <c r="E201" s="224" t="s">
        <v>53</v>
      </c>
      <c r="F201" s="280" t="e">
        <f t="shared" si="36"/>
        <v>#DIV/0!</v>
      </c>
      <c r="G201" s="280" t="e">
        <f t="shared" si="36"/>
        <v>#DIV/0!</v>
      </c>
      <c r="H201" s="280" t="e">
        <f t="shared" si="36"/>
        <v>#DIV/0!</v>
      </c>
      <c r="I201" s="201" t="e">
        <f t="shared" si="33"/>
        <v>#REF!</v>
      </c>
      <c r="J201" s="230" t="str">
        <f t="shared" si="37"/>
        <v/>
      </c>
      <c r="K201" s="230" t="str">
        <f t="shared" si="37"/>
        <v/>
      </c>
      <c r="L201" s="230" t="str">
        <f t="shared" si="37"/>
        <v/>
      </c>
      <c r="M201" s="201" t="str">
        <f t="shared" si="34"/>
        <v/>
      </c>
      <c r="N201" s="279" t="e">
        <f t="shared" si="38"/>
        <v>#REF!</v>
      </c>
      <c r="O201" s="279" t="e">
        <f t="shared" si="38"/>
        <v>#REF!</v>
      </c>
      <c r="P201" s="279" t="e">
        <f t="shared" si="38"/>
        <v>#REF!</v>
      </c>
      <c r="Q201" s="201" t="e">
        <f t="shared" si="35"/>
        <v>#REF!</v>
      </c>
      <c r="AE201" s="3"/>
      <c r="AL201" s="14"/>
    </row>
    <row r="202" spans="3:38" ht="13.5" thickBot="1" x14ac:dyDescent="0.4">
      <c r="C202" s="14" t="str" cm="1">
        <f t="array" ref="C202">INDEX('List Values'!$B$2:$B$21,(1+ROUNDDOWN((ROW()-ROW($C$120))*1/6,2)))</f>
        <v>Use of Fabric Finishing Products</v>
      </c>
      <c r="D202" s="224" t="s">
        <v>54</v>
      </c>
      <c r="E202" s="224" t="s">
        <v>52</v>
      </c>
      <c r="F202" s="280" t="e">
        <f t="shared" si="36"/>
        <v>#DIV/0!</v>
      </c>
      <c r="G202" s="280" t="e">
        <f t="shared" si="36"/>
        <v>#DIV/0!</v>
      </c>
      <c r="H202" s="280" t="e">
        <f t="shared" si="36"/>
        <v>#DIV/0!</v>
      </c>
      <c r="I202" s="201" t="e">
        <f t="shared" si="33"/>
        <v>#REF!</v>
      </c>
      <c r="J202" s="230" t="str">
        <f t="shared" si="37"/>
        <v/>
      </c>
      <c r="K202" s="230" t="str">
        <f t="shared" si="37"/>
        <v/>
      </c>
      <c r="L202" s="230" t="str">
        <f t="shared" si="37"/>
        <v/>
      </c>
      <c r="M202" s="201" t="str">
        <f t="shared" si="34"/>
        <v/>
      </c>
      <c r="N202" s="279" t="e">
        <f t="shared" si="38"/>
        <v>#REF!</v>
      </c>
      <c r="O202" s="279" t="e">
        <f t="shared" si="38"/>
        <v>#REF!</v>
      </c>
      <c r="P202" s="279" t="e">
        <f t="shared" si="38"/>
        <v>#REF!</v>
      </c>
      <c r="Q202" s="201" t="e">
        <f t="shared" si="35"/>
        <v>#REF!</v>
      </c>
      <c r="AE202" s="3"/>
      <c r="AL202" s="14"/>
    </row>
    <row r="203" spans="3:38" ht="13.5" thickBot="1" x14ac:dyDescent="0.4">
      <c r="C203" s="14" t="str" cm="1">
        <f t="array" ref="C203">INDEX('List Values'!$B$2:$B$21,(1+ROUNDDOWN((ROW()-ROW($C$120))*1/6,2)))</f>
        <v>Use of Fabric Finishing Products</v>
      </c>
      <c r="D203" s="224" t="s">
        <v>54</v>
      </c>
      <c r="E203" s="224" t="s">
        <v>53</v>
      </c>
      <c r="F203" s="280" t="e">
        <f t="shared" si="36"/>
        <v>#DIV/0!</v>
      </c>
      <c r="G203" s="280" t="e">
        <f t="shared" si="36"/>
        <v>#DIV/0!</v>
      </c>
      <c r="H203" s="280" t="e">
        <f t="shared" si="36"/>
        <v>#DIV/0!</v>
      </c>
      <c r="I203" s="201" t="e">
        <f t="shared" si="33"/>
        <v>#REF!</v>
      </c>
      <c r="J203" s="230" t="str">
        <f t="shared" si="37"/>
        <v/>
      </c>
      <c r="K203" s="230" t="str">
        <f t="shared" si="37"/>
        <v/>
      </c>
      <c r="L203" s="230" t="str">
        <f t="shared" si="37"/>
        <v/>
      </c>
      <c r="M203" s="201" t="str">
        <f t="shared" si="34"/>
        <v/>
      </c>
      <c r="N203" s="279" t="e">
        <f t="shared" si="38"/>
        <v>#REF!</v>
      </c>
      <c r="O203" s="279" t="e">
        <f t="shared" si="38"/>
        <v>#REF!</v>
      </c>
      <c r="P203" s="279" t="e">
        <f t="shared" si="38"/>
        <v>#REF!</v>
      </c>
      <c r="Q203" s="201" t="e">
        <f t="shared" si="35"/>
        <v>#REF!</v>
      </c>
      <c r="AE203" s="3"/>
      <c r="AL203" s="14"/>
    </row>
    <row r="204" spans="3:38" ht="13.5" thickBot="1" x14ac:dyDescent="0.4">
      <c r="C204" s="14" t="str" cm="1">
        <f t="array" ref="C204">INDEX('List Values'!$B$2:$B$21,(1+ROUNDDOWN((ROW()-ROW($C$120))*1/6,2)))</f>
        <v>Use of Automotive Care Products</v>
      </c>
      <c r="D204" s="224" t="s">
        <v>34</v>
      </c>
      <c r="E204" s="218" t="s">
        <v>52</v>
      </c>
      <c r="F204" s="280" t="e">
        <f t="shared" si="36"/>
        <v>#DIV/0!</v>
      </c>
      <c r="G204" s="280" t="e">
        <f t="shared" si="36"/>
        <v>#DIV/0!</v>
      </c>
      <c r="H204" s="280" t="e">
        <f t="shared" si="36"/>
        <v>#DIV/0!</v>
      </c>
      <c r="I204" s="201" t="e">
        <f t="shared" si="33"/>
        <v>#REF!</v>
      </c>
      <c r="J204" s="230" t="str">
        <f t="shared" si="37"/>
        <v/>
      </c>
      <c r="K204" s="230" t="str">
        <f t="shared" si="37"/>
        <v/>
      </c>
      <c r="L204" s="230" t="str">
        <f t="shared" si="37"/>
        <v/>
      </c>
      <c r="M204" s="201" t="str">
        <f t="shared" si="34"/>
        <v/>
      </c>
      <c r="N204" s="279" t="e">
        <f t="shared" si="38"/>
        <v>#REF!</v>
      </c>
      <c r="O204" s="279" t="e">
        <f t="shared" si="38"/>
        <v>#REF!</v>
      </c>
      <c r="P204" s="279" t="e">
        <f t="shared" si="38"/>
        <v>#REF!</v>
      </c>
      <c r="Q204" s="201" t="e">
        <f t="shared" si="35"/>
        <v>#REF!</v>
      </c>
      <c r="AE204" s="3"/>
      <c r="AL204" s="14"/>
    </row>
    <row r="205" spans="3:38" ht="13.5" thickBot="1" x14ac:dyDescent="0.4">
      <c r="C205" s="14" t="str" cm="1">
        <f t="array" ref="C205">INDEX('List Values'!$B$2:$B$21,(1+ROUNDDOWN((ROW()-ROW($C$120))*1/6,2)))</f>
        <v>Use of Automotive Care Products</v>
      </c>
      <c r="D205" s="224" t="s">
        <v>34</v>
      </c>
      <c r="E205" s="224" t="s">
        <v>53</v>
      </c>
      <c r="F205" s="280" t="e">
        <f t="shared" si="36"/>
        <v>#DIV/0!</v>
      </c>
      <c r="G205" s="280" t="e">
        <f t="shared" si="36"/>
        <v>#DIV/0!</v>
      </c>
      <c r="H205" s="280" t="e">
        <f t="shared" si="36"/>
        <v>#DIV/0!</v>
      </c>
      <c r="I205" s="201" t="e">
        <f t="shared" si="33"/>
        <v>#REF!</v>
      </c>
      <c r="J205" s="230" t="str">
        <f t="shared" si="37"/>
        <v/>
      </c>
      <c r="K205" s="230" t="str">
        <f t="shared" si="37"/>
        <v/>
      </c>
      <c r="L205" s="230" t="str">
        <f t="shared" si="37"/>
        <v/>
      </c>
      <c r="M205" s="201" t="str">
        <f t="shared" si="34"/>
        <v/>
      </c>
      <c r="N205" s="279" t="e">
        <f t="shared" si="38"/>
        <v>#REF!</v>
      </c>
      <c r="O205" s="279" t="e">
        <f t="shared" si="38"/>
        <v>#REF!</v>
      </c>
      <c r="P205" s="279" t="e">
        <f t="shared" si="38"/>
        <v>#REF!</v>
      </c>
      <c r="Q205" s="201" t="e">
        <f t="shared" si="35"/>
        <v>#REF!</v>
      </c>
      <c r="AE205" s="3"/>
      <c r="AL205" s="14"/>
    </row>
    <row r="206" spans="3:38" ht="13.5" thickBot="1" x14ac:dyDescent="0.4">
      <c r="C206" s="14" t="str" cm="1">
        <f t="array" ref="C206">INDEX('List Values'!$B$2:$B$21,(1+ROUNDDOWN((ROW()-ROW($C$120))*1/6,2)))</f>
        <v>Use of Automotive Care Products</v>
      </c>
      <c r="D206" s="224" t="s">
        <v>109</v>
      </c>
      <c r="E206" s="224" t="s">
        <v>52</v>
      </c>
      <c r="F206" s="280" t="e">
        <f t="shared" si="36"/>
        <v>#DIV/0!</v>
      </c>
      <c r="G206" s="280" t="e">
        <f t="shared" si="36"/>
        <v>#DIV/0!</v>
      </c>
      <c r="H206" s="280" t="e">
        <f t="shared" si="36"/>
        <v>#DIV/0!</v>
      </c>
      <c r="I206" s="201" t="e">
        <f t="shared" si="33"/>
        <v>#REF!</v>
      </c>
      <c r="J206" s="230" t="str">
        <f t="shared" si="37"/>
        <v/>
      </c>
      <c r="K206" s="230" t="str">
        <f t="shared" si="37"/>
        <v/>
      </c>
      <c r="L206" s="230" t="str">
        <f t="shared" si="37"/>
        <v/>
      </c>
      <c r="M206" s="201" t="str">
        <f t="shared" si="34"/>
        <v/>
      </c>
      <c r="N206" s="279" t="e">
        <f t="shared" si="38"/>
        <v>#REF!</v>
      </c>
      <c r="O206" s="279" t="e">
        <f t="shared" si="38"/>
        <v>#REF!</v>
      </c>
      <c r="P206" s="279" t="e">
        <f t="shared" si="38"/>
        <v>#REF!</v>
      </c>
      <c r="Q206" s="201" t="e">
        <f t="shared" si="35"/>
        <v>#REF!</v>
      </c>
      <c r="AE206" s="3"/>
      <c r="AL206" s="14"/>
    </row>
    <row r="207" spans="3:38" ht="13.5" thickBot="1" x14ac:dyDescent="0.4">
      <c r="C207" s="14" t="str" cm="1">
        <f t="array" ref="C207">INDEX('List Values'!$B$2:$B$21,(1+ROUNDDOWN((ROW()-ROW($C$120))*1/6,2)))</f>
        <v>Use of Automotive Care Products</v>
      </c>
      <c r="D207" s="224" t="s">
        <v>109</v>
      </c>
      <c r="E207" s="224" t="s">
        <v>53</v>
      </c>
      <c r="F207" s="280" t="e">
        <f t="shared" si="36"/>
        <v>#DIV/0!</v>
      </c>
      <c r="G207" s="280" t="e">
        <f t="shared" si="36"/>
        <v>#DIV/0!</v>
      </c>
      <c r="H207" s="280" t="e">
        <f t="shared" si="36"/>
        <v>#DIV/0!</v>
      </c>
      <c r="I207" s="201" t="e">
        <f t="shared" si="33"/>
        <v>#REF!</v>
      </c>
      <c r="J207" s="230" t="str">
        <f t="shared" si="37"/>
        <v/>
      </c>
      <c r="K207" s="230" t="str">
        <f t="shared" si="37"/>
        <v/>
      </c>
      <c r="L207" s="230" t="str">
        <f t="shared" si="37"/>
        <v/>
      </c>
      <c r="M207" s="201" t="str">
        <f t="shared" si="34"/>
        <v/>
      </c>
      <c r="N207" s="279" t="e">
        <f t="shared" si="38"/>
        <v>#REF!</v>
      </c>
      <c r="O207" s="279" t="e">
        <f t="shared" si="38"/>
        <v>#REF!</v>
      </c>
      <c r="P207" s="279" t="e">
        <f t="shared" si="38"/>
        <v>#REF!</v>
      </c>
      <c r="Q207" s="201" t="e">
        <f t="shared" si="35"/>
        <v>#REF!</v>
      </c>
      <c r="AE207" s="3"/>
      <c r="AL207" s="14"/>
    </row>
    <row r="208" spans="3:38" ht="13.5" thickBot="1" x14ac:dyDescent="0.4">
      <c r="C208" s="14" t="str" cm="1">
        <f t="array" ref="C208">INDEX('List Values'!$B$2:$B$21,(1+ROUNDDOWN((ROW()-ROW($C$120))*1/6,2)))</f>
        <v>Use of Automotive Care Products</v>
      </c>
      <c r="D208" s="224" t="s">
        <v>34</v>
      </c>
      <c r="E208" s="218" t="s">
        <v>52</v>
      </c>
      <c r="F208" s="280" t="e">
        <f t="shared" si="36"/>
        <v>#DIV/0!</v>
      </c>
      <c r="G208" s="280" t="e">
        <f t="shared" si="36"/>
        <v>#DIV/0!</v>
      </c>
      <c r="H208" s="280" t="e">
        <f t="shared" si="36"/>
        <v>#DIV/0!</v>
      </c>
      <c r="I208" s="201" t="e">
        <f t="shared" si="33"/>
        <v>#REF!</v>
      </c>
      <c r="J208" s="230" t="str">
        <f t="shared" si="37"/>
        <v/>
      </c>
      <c r="K208" s="230" t="str">
        <f t="shared" si="37"/>
        <v/>
      </c>
      <c r="L208" s="230" t="str">
        <f t="shared" si="37"/>
        <v/>
      </c>
      <c r="M208" s="201" t="str">
        <f t="shared" si="34"/>
        <v/>
      </c>
      <c r="N208" s="279" t="e">
        <f t="shared" si="38"/>
        <v>#REF!</v>
      </c>
      <c r="O208" s="279" t="e">
        <f t="shared" si="38"/>
        <v>#REF!</v>
      </c>
      <c r="P208" s="279" t="e">
        <f t="shared" si="38"/>
        <v>#REF!</v>
      </c>
      <c r="Q208" s="201" t="e">
        <f t="shared" si="35"/>
        <v>#REF!</v>
      </c>
      <c r="AE208" s="3"/>
      <c r="AL208" s="14"/>
    </row>
    <row r="209" spans="3:38" ht="13.5" thickBot="1" x14ac:dyDescent="0.4">
      <c r="C209" s="14" t="str" cm="1">
        <f t="array" ref="C209">INDEX('List Values'!$B$2:$B$21,(1+ROUNDDOWN((ROW()-ROW($C$120))*1/6,2)))</f>
        <v>Use of Automotive Care Products</v>
      </c>
      <c r="D209" s="224" t="s">
        <v>34</v>
      </c>
      <c r="E209" s="224" t="s">
        <v>53</v>
      </c>
      <c r="F209" s="280" t="e">
        <f t="shared" si="36"/>
        <v>#DIV/0!</v>
      </c>
      <c r="G209" s="280" t="e">
        <f t="shared" si="36"/>
        <v>#DIV/0!</v>
      </c>
      <c r="H209" s="280" t="e">
        <f t="shared" si="36"/>
        <v>#DIV/0!</v>
      </c>
      <c r="I209" s="201" t="e">
        <f t="shared" si="33"/>
        <v>#REF!</v>
      </c>
      <c r="J209" s="230" t="str">
        <f t="shared" si="37"/>
        <v/>
      </c>
      <c r="K209" s="230" t="str">
        <f t="shared" si="37"/>
        <v/>
      </c>
      <c r="L209" s="230" t="str">
        <f t="shared" si="37"/>
        <v/>
      </c>
      <c r="M209" s="201" t="str">
        <f t="shared" si="34"/>
        <v/>
      </c>
      <c r="N209" s="279" t="e">
        <f t="shared" si="38"/>
        <v>#REF!</v>
      </c>
      <c r="O209" s="279" t="e">
        <f t="shared" si="38"/>
        <v>#REF!</v>
      </c>
      <c r="P209" s="279" t="e">
        <f t="shared" si="38"/>
        <v>#REF!</v>
      </c>
      <c r="Q209" s="201" t="e">
        <f t="shared" si="35"/>
        <v>#REF!</v>
      </c>
      <c r="AE209" s="3"/>
      <c r="AL209" s="14"/>
    </row>
    <row r="210" spans="3:38" ht="13.5" thickBot="1" x14ac:dyDescent="0.4">
      <c r="C210" s="14" t="str" cm="1">
        <f t="array" ref="C210">INDEX('List Values'!$B$2:$B$21,(1+ROUNDDOWN((ROW()-ROW($C$120))*1/6,2)))</f>
        <v>Use of Aicraft Maintenance Products (Penetrant)</v>
      </c>
      <c r="D210" s="224" t="s">
        <v>109</v>
      </c>
      <c r="E210" s="224" t="s">
        <v>52</v>
      </c>
      <c r="F210" s="280" t="e">
        <f t="shared" si="36"/>
        <v>#DIV/0!</v>
      </c>
      <c r="G210" s="280" t="e">
        <f t="shared" si="36"/>
        <v>#DIV/0!</v>
      </c>
      <c r="H210" s="280" t="e">
        <f t="shared" si="36"/>
        <v>#DIV/0!</v>
      </c>
      <c r="I210" s="201" t="e">
        <f t="shared" si="33"/>
        <v>#REF!</v>
      </c>
      <c r="J210" s="230" t="str">
        <f t="shared" si="37"/>
        <v/>
      </c>
      <c r="K210" s="230" t="str">
        <f t="shared" si="37"/>
        <v/>
      </c>
      <c r="L210" s="230" t="str">
        <f t="shared" si="37"/>
        <v/>
      </c>
      <c r="M210" s="201" t="str">
        <f t="shared" si="34"/>
        <v/>
      </c>
      <c r="N210" s="279" t="e">
        <f t="shared" si="38"/>
        <v>#REF!</v>
      </c>
      <c r="O210" s="279" t="e">
        <f t="shared" si="38"/>
        <v>#REF!</v>
      </c>
      <c r="P210" s="279" t="e">
        <f t="shared" si="38"/>
        <v>#REF!</v>
      </c>
      <c r="Q210" s="201" t="e">
        <f t="shared" si="35"/>
        <v>#REF!</v>
      </c>
      <c r="AE210" s="3"/>
      <c r="AL210" s="14"/>
    </row>
    <row r="211" spans="3:38" ht="13.5" thickBot="1" x14ac:dyDescent="0.4">
      <c r="C211" s="14" t="str" cm="1">
        <f t="array" ref="C211">INDEX('List Values'!$B$2:$B$21,(1+ROUNDDOWN((ROW()-ROW($C$120))*1/6,2)))</f>
        <v>Use of Aicraft Maintenance Products (Penetrant)</v>
      </c>
      <c r="D211" s="224" t="s">
        <v>109</v>
      </c>
      <c r="E211" s="224" t="s">
        <v>53</v>
      </c>
      <c r="F211" s="280" t="e">
        <f t="shared" si="36"/>
        <v>#DIV/0!</v>
      </c>
      <c r="G211" s="280" t="e">
        <f t="shared" si="36"/>
        <v>#DIV/0!</v>
      </c>
      <c r="H211" s="280" t="e">
        <f t="shared" si="36"/>
        <v>#DIV/0!</v>
      </c>
      <c r="I211" s="201" t="e">
        <f t="shared" si="33"/>
        <v>#REF!</v>
      </c>
      <c r="J211" s="230" t="str">
        <f t="shared" si="37"/>
        <v/>
      </c>
      <c r="K211" s="230" t="str">
        <f t="shared" si="37"/>
        <v/>
      </c>
      <c r="L211" s="230" t="str">
        <f t="shared" si="37"/>
        <v/>
      </c>
      <c r="M211" s="201" t="str">
        <f t="shared" si="34"/>
        <v/>
      </c>
      <c r="N211" s="279" t="e">
        <f t="shared" si="38"/>
        <v>#REF!</v>
      </c>
      <c r="O211" s="279" t="e">
        <f t="shared" si="38"/>
        <v>#REF!</v>
      </c>
      <c r="P211" s="279" t="e">
        <f t="shared" si="38"/>
        <v>#REF!</v>
      </c>
      <c r="Q211" s="201" t="e">
        <f t="shared" si="35"/>
        <v>#REF!</v>
      </c>
      <c r="AE211" s="3"/>
      <c r="AL211" s="14"/>
    </row>
    <row r="212" spans="3:38" ht="13.5" thickBot="1" x14ac:dyDescent="0.4">
      <c r="C212" s="14" t="str" cm="1">
        <f t="array" ref="C212">INDEX('List Values'!$B$2:$B$21,(1+ROUNDDOWN((ROW()-ROW($C$120))*1/6,2)))</f>
        <v>Use of Aicraft Maintenance Products (Penetrant)</v>
      </c>
      <c r="D212" s="224" t="s">
        <v>54</v>
      </c>
      <c r="E212" s="224" t="s">
        <v>52</v>
      </c>
      <c r="F212" s="280" t="e">
        <f t="shared" si="36"/>
        <v>#DIV/0!</v>
      </c>
      <c r="G212" s="280" t="e">
        <f t="shared" si="36"/>
        <v>#DIV/0!</v>
      </c>
      <c r="H212" s="280" t="e">
        <f t="shared" si="36"/>
        <v>#DIV/0!</v>
      </c>
      <c r="I212" s="201" t="e">
        <f t="shared" si="33"/>
        <v>#REF!</v>
      </c>
      <c r="J212" s="230" t="str">
        <f t="shared" si="37"/>
        <v/>
      </c>
      <c r="K212" s="230" t="str">
        <f t="shared" si="37"/>
        <v/>
      </c>
      <c r="L212" s="230" t="str">
        <f t="shared" si="37"/>
        <v/>
      </c>
      <c r="M212" s="201" t="str">
        <f t="shared" si="34"/>
        <v/>
      </c>
      <c r="N212" s="279" t="e">
        <f t="shared" si="38"/>
        <v>#REF!</v>
      </c>
      <c r="O212" s="279" t="e">
        <f t="shared" si="38"/>
        <v>#REF!</v>
      </c>
      <c r="P212" s="279" t="e">
        <f t="shared" si="38"/>
        <v>#REF!</v>
      </c>
      <c r="Q212" s="201" t="e">
        <f t="shared" si="35"/>
        <v>#REF!</v>
      </c>
      <c r="AE212" s="3"/>
      <c r="AL212" s="14"/>
    </row>
    <row r="213" spans="3:38" ht="13.5" thickBot="1" x14ac:dyDescent="0.4">
      <c r="C213" s="14" t="str" cm="1">
        <f t="array" ref="C213">INDEX('List Values'!$B$2:$B$21,(1+ROUNDDOWN((ROW()-ROW($C$120))*1/6,2)))</f>
        <v>Use of Aicraft Maintenance Products (Penetrant)</v>
      </c>
      <c r="D213" s="224" t="s">
        <v>54</v>
      </c>
      <c r="E213" s="224" t="s">
        <v>53</v>
      </c>
      <c r="F213" s="280" t="e">
        <f t="shared" si="36"/>
        <v>#DIV/0!</v>
      </c>
      <c r="G213" s="280" t="e">
        <f t="shared" si="36"/>
        <v>#DIV/0!</v>
      </c>
      <c r="H213" s="280" t="e">
        <f t="shared" si="36"/>
        <v>#DIV/0!</v>
      </c>
      <c r="I213" s="201" t="e">
        <f t="shared" si="33"/>
        <v>#REF!</v>
      </c>
      <c r="J213" s="230" t="str">
        <f t="shared" si="37"/>
        <v/>
      </c>
      <c r="K213" s="230" t="str">
        <f t="shared" si="37"/>
        <v/>
      </c>
      <c r="L213" s="230" t="str">
        <f t="shared" si="37"/>
        <v/>
      </c>
      <c r="M213" s="201" t="str">
        <f t="shared" si="34"/>
        <v/>
      </c>
      <c r="N213" s="279" t="e">
        <f t="shared" si="38"/>
        <v>#REF!</v>
      </c>
      <c r="O213" s="279" t="e">
        <f t="shared" si="38"/>
        <v>#REF!</v>
      </c>
      <c r="P213" s="279" t="e">
        <f t="shared" si="38"/>
        <v>#REF!</v>
      </c>
      <c r="Q213" s="201" t="e">
        <f t="shared" si="35"/>
        <v>#REF!</v>
      </c>
      <c r="AE213" s="3"/>
      <c r="AL213" s="14"/>
    </row>
    <row r="214" spans="3:38" ht="13.5" thickBot="1" x14ac:dyDescent="0.4">
      <c r="C214" s="14" t="str" cm="1">
        <f t="array" ref="C214">INDEX('List Values'!$B$2:$B$21,(1+ROUNDDOWN((ROW()-ROW($C$120))*1/6,2)))</f>
        <v>Use of Aicraft Maintenance Products (Penetrant)</v>
      </c>
      <c r="D214" s="224" t="s">
        <v>34</v>
      </c>
      <c r="E214" s="218" t="s">
        <v>52</v>
      </c>
      <c r="F214" s="280" t="e">
        <f t="shared" si="36"/>
        <v>#DIV/0!</v>
      </c>
      <c r="G214" s="280" t="e">
        <f t="shared" si="36"/>
        <v>#DIV/0!</v>
      </c>
      <c r="H214" s="280" t="e">
        <f t="shared" si="36"/>
        <v>#DIV/0!</v>
      </c>
      <c r="I214" s="201" t="e">
        <f t="shared" si="33"/>
        <v>#REF!</v>
      </c>
      <c r="J214" s="230" t="str">
        <f t="shared" si="37"/>
        <v/>
      </c>
      <c r="K214" s="230" t="str">
        <f t="shared" si="37"/>
        <v/>
      </c>
      <c r="L214" s="230" t="str">
        <f t="shared" si="37"/>
        <v/>
      </c>
      <c r="M214" s="201" t="str">
        <f t="shared" si="34"/>
        <v/>
      </c>
      <c r="N214" s="279" t="e">
        <f t="shared" si="38"/>
        <v>#REF!</v>
      </c>
      <c r="O214" s="279" t="e">
        <f t="shared" si="38"/>
        <v>#REF!</v>
      </c>
      <c r="P214" s="279" t="e">
        <f t="shared" si="38"/>
        <v>#REF!</v>
      </c>
      <c r="Q214" s="201" t="e">
        <f t="shared" si="35"/>
        <v>#REF!</v>
      </c>
      <c r="AE214" s="3"/>
      <c r="AL214" s="14"/>
    </row>
    <row r="215" spans="3:38" x14ac:dyDescent="0.35">
      <c r="C215" s="14" t="str" cm="1">
        <f t="array" ref="C215">INDEX('List Values'!$B$2:$B$21,(1+ROUNDDOWN((ROW()-ROW($C$120))*1/6,2)))</f>
        <v>Use of Aicraft Maintenance Products (Penetrant)</v>
      </c>
      <c r="D215" s="224" t="s">
        <v>34</v>
      </c>
      <c r="E215" s="224" t="s">
        <v>53</v>
      </c>
      <c r="F215" s="280" t="e">
        <f t="shared" si="36"/>
        <v>#DIV/0!</v>
      </c>
      <c r="G215" s="280" t="e">
        <f t="shared" si="36"/>
        <v>#DIV/0!</v>
      </c>
      <c r="H215" s="280" t="e">
        <f t="shared" si="36"/>
        <v>#DIV/0!</v>
      </c>
      <c r="I215" s="201" t="e">
        <f t="shared" si="33"/>
        <v>#REF!</v>
      </c>
      <c r="J215" s="230" t="str">
        <f t="shared" si="37"/>
        <v/>
      </c>
      <c r="K215" s="230" t="str">
        <f t="shared" si="37"/>
        <v/>
      </c>
      <c r="L215" s="230" t="str">
        <f t="shared" si="37"/>
        <v/>
      </c>
      <c r="M215" s="201" t="str">
        <f t="shared" si="34"/>
        <v/>
      </c>
      <c r="N215" s="279" t="e">
        <f t="shared" si="38"/>
        <v>#REF!</v>
      </c>
      <c r="O215" s="279" t="e">
        <f t="shared" si="38"/>
        <v>#REF!</v>
      </c>
      <c r="P215" s="279" t="e">
        <f t="shared" si="38"/>
        <v>#REF!</v>
      </c>
      <c r="Q215" s="201" t="e">
        <f t="shared" si="35"/>
        <v>#REF!</v>
      </c>
      <c r="AE215" s="3"/>
      <c r="AL215" s="14"/>
    </row>
    <row r="216" spans="3:38" x14ac:dyDescent="0.35">
      <c r="AE216" s="3"/>
      <c r="AL216" s="14"/>
    </row>
    <row r="217" spans="3:38" x14ac:dyDescent="0.35">
      <c r="AE217" s="3"/>
      <c r="AL217" s="14"/>
    </row>
    <row r="218" spans="3:38" x14ac:dyDescent="0.35">
      <c r="AE218" s="3"/>
      <c r="AL218" s="14"/>
    </row>
    <row r="219" spans="3:38" x14ac:dyDescent="0.35">
      <c r="AE219" s="3"/>
      <c r="AL219" s="14"/>
    </row>
    <row r="220" spans="3:38" x14ac:dyDescent="0.35">
      <c r="AE220" s="3"/>
      <c r="AL220" s="14"/>
    </row>
    <row r="221" spans="3:38" x14ac:dyDescent="0.35">
      <c r="AE221" s="3"/>
      <c r="AL221" s="14"/>
    </row>
    <row r="222" spans="3:38" x14ac:dyDescent="0.35">
      <c r="AE222" s="3"/>
      <c r="AL222" s="14"/>
    </row>
    <row r="223" spans="3:38" x14ac:dyDescent="0.35">
      <c r="AE223" s="3"/>
      <c r="AL223" s="14"/>
    </row>
    <row r="224" spans="3:38" x14ac:dyDescent="0.35">
      <c r="AE224" s="3"/>
      <c r="AL224" s="14"/>
    </row>
    <row r="225" spans="31:38" x14ac:dyDescent="0.35">
      <c r="AE225" s="3"/>
      <c r="AL225" s="14"/>
    </row>
    <row r="226" spans="31:38" x14ac:dyDescent="0.35">
      <c r="AE226" s="3"/>
      <c r="AL226" s="14"/>
    </row>
    <row r="227" spans="31:38" x14ac:dyDescent="0.35">
      <c r="AE227" s="3"/>
      <c r="AL227" s="14"/>
    </row>
    <row r="228" spans="31:38" x14ac:dyDescent="0.35">
      <c r="AE228" s="3"/>
      <c r="AL228" s="14"/>
    </row>
    <row r="229" spans="31:38" x14ac:dyDescent="0.35">
      <c r="AE229" s="3"/>
      <c r="AL229" s="14"/>
    </row>
  </sheetData>
  <autoFilter ref="C119:Q215" xr:uid="{F916B0BD-3A26-46B1-9811-A8C9CF09E75F}"/>
  <dataConsolidate/>
  <mergeCells count="6">
    <mergeCell ref="F116:I116"/>
    <mergeCell ref="J116:M116"/>
    <mergeCell ref="N116:Q116"/>
    <mergeCell ref="O3:R3"/>
    <mergeCell ref="G3:J3"/>
    <mergeCell ref="K3:N3"/>
  </mergeCells>
  <conditionalFormatting sqref="F120:H215 N120:Q215">
    <cfRule type="cellIs" dxfId="112" priority="24" operator="lessThan">
      <formula>F$117</formula>
    </cfRule>
  </conditionalFormatting>
  <conditionalFormatting sqref="F120:Q215">
    <cfRule type="cellIs" dxfId="111" priority="1" stopIfTrue="1" operator="equal">
      <formula>0</formula>
    </cfRule>
    <cfRule type="containsBlanks" dxfId="110" priority="9" stopIfTrue="1">
      <formula>LEN(TRIM(F120))=0</formula>
    </cfRule>
    <cfRule type="cellIs" dxfId="109" priority="26" operator="lessThan">
      <formula>0.1</formula>
    </cfRule>
    <cfRule type="cellIs" dxfId="108" priority="27" operator="lessThan">
      <formula>10</formula>
    </cfRule>
    <cfRule type="cellIs" dxfId="107" priority="957" operator="greaterThanOrEqual">
      <formula>10</formula>
    </cfRule>
  </conditionalFormatting>
  <conditionalFormatting sqref="G5:N114">
    <cfRule type="cellIs" dxfId="106" priority="3" operator="equal">
      <formula>0</formula>
    </cfRule>
    <cfRule type="cellIs" dxfId="105" priority="4" operator="greaterThan">
      <formula>10000</formula>
    </cfRule>
    <cfRule type="cellIs" dxfId="104" priority="5" operator="between">
      <formula>10</formula>
      <formula>9999.999</formula>
    </cfRule>
    <cfRule type="cellIs" dxfId="103" priority="6" operator="between">
      <formula>1</formula>
      <formula>9.999</formula>
    </cfRule>
    <cfRule type="cellIs" dxfId="102" priority="7" operator="between">
      <formula>0.1</formula>
      <formula>0.999</formula>
    </cfRule>
    <cfRule type="cellIs" dxfId="101" priority="8" operator="lessThan">
      <formula>0.1</formula>
    </cfRule>
  </conditionalFormatting>
  <conditionalFormatting sqref="I120:I215 M120:M215 Q120:Q215">
    <cfRule type="cellIs" dxfId="100" priority="960" operator="lessThanOrEqual">
      <formula>I$117</formula>
    </cfRule>
  </conditionalFormatting>
  <conditionalFormatting sqref="J120:L215">
    <cfRule type="cellIs" dxfId="99" priority="966" operator="greaterThanOrEqual">
      <formula>J$117</formula>
    </cfRule>
    <cfRule type="cellIs" dxfId="98" priority="967" operator="lessThan">
      <formula>J$117</formula>
    </cfRule>
    <cfRule type="cellIs" dxfId="97" priority="968" operator="greaterThanOrEqual">
      <formula>S$117</formula>
    </cfRule>
    <cfRule type="cellIs" dxfId="96" priority="969" operator="lessThan">
      <formula>S$117</formula>
    </cfRule>
  </conditionalFormatting>
  <conditionalFormatting sqref="M120:M215">
    <cfRule type="cellIs" dxfId="95" priority="970" operator="greaterThan">
      <formula>O$117</formula>
    </cfRule>
    <cfRule type="cellIs" dxfId="94" priority="971" operator="lessThanOrEqual">
      <formula>O$117</formula>
    </cfRule>
  </conditionalFormatting>
  <conditionalFormatting sqref="N120:Q215 F120:H215">
    <cfRule type="cellIs" dxfId="93" priority="23" operator="greaterThanOrEqual">
      <formula>F$117</formula>
    </cfRule>
  </conditionalFormatting>
  <conditionalFormatting sqref="Q120:Q215 I120:I215 M120:M215">
    <cfRule type="cellIs" dxfId="92" priority="959" operator="greaterThan">
      <formula>I$117</formula>
    </cfRule>
  </conditionalFormatting>
  <conditionalFormatting sqref="Q120:Q215">
    <cfRule type="cellIs" dxfId="91" priority="20" operator="greaterThan">
      <formula>R$117</formula>
    </cfRule>
    <cfRule type="cellIs" dxfId="90" priority="25" operator="lessThanOrEqual">
      <formula>R$117</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5426-BDBC-475C-88AC-FB17AC9ACD28}">
  <sheetPr codeName="Sheet12">
    <tabColor rgb="FF92D050"/>
  </sheetPr>
  <dimension ref="A1:FG44"/>
  <sheetViews>
    <sheetView workbookViewId="0"/>
  </sheetViews>
  <sheetFormatPr defaultColWidth="8.90625" defaultRowHeight="13" x14ac:dyDescent="0.35"/>
  <cols>
    <col min="1" max="1" width="4.54296875" style="14" customWidth="1"/>
    <col min="2" max="2" width="5.08984375" style="11" hidden="1" customWidth="1"/>
    <col min="3" max="3" width="23.08984375" style="14" customWidth="1"/>
    <col min="4" max="4" width="43.453125" style="11" customWidth="1"/>
    <col min="5" max="5" width="18" style="14" bestFit="1" customWidth="1"/>
    <col min="6" max="6" width="10.453125" style="14" bestFit="1" customWidth="1"/>
    <col min="7" max="10" width="10.08984375" style="14" customWidth="1"/>
    <col min="11" max="11" width="2.90625" style="14" customWidth="1"/>
    <col min="12" max="12" width="25.90625" style="14" bestFit="1" customWidth="1"/>
    <col min="13" max="13" width="23.08984375" style="14" customWidth="1"/>
    <col min="14" max="14" width="11.08984375" style="14" customWidth="1"/>
    <col min="15" max="15" width="13.90625" style="14" customWidth="1"/>
    <col min="16" max="16" width="11.90625" style="14" customWidth="1"/>
    <col min="17" max="18" width="8.54296875" style="14" customWidth="1"/>
    <col min="19" max="19" width="2.54296875" style="14" customWidth="1"/>
    <col min="20" max="20" width="23.08984375" style="14" customWidth="1"/>
    <col min="21" max="21" width="18.90625" style="14" customWidth="1"/>
    <col min="22" max="23" width="17.453125" style="14" customWidth="1"/>
    <col min="24" max="27" width="20.453125" style="14" customWidth="1"/>
    <col min="28" max="29" width="18.90625" style="14" customWidth="1"/>
    <col min="30" max="30" width="28.453125" style="3" customWidth="1"/>
    <col min="31" max="31" width="26.90625" style="3" customWidth="1"/>
    <col min="32" max="32" width="15.08984375" style="3" customWidth="1"/>
    <col min="33" max="33" width="17.90625" style="3" customWidth="1"/>
    <col min="34" max="34" width="22.453125" style="3" customWidth="1"/>
    <col min="35" max="35" width="21.90625" style="3" customWidth="1"/>
    <col min="36" max="36" width="17.453125" style="3" customWidth="1"/>
    <col min="37" max="37" width="14.54296875" style="14" customWidth="1"/>
    <col min="38" max="38" width="17.08984375" style="14" customWidth="1"/>
    <col min="39" max="39" width="16" style="14" customWidth="1"/>
    <col min="40" max="40" width="24.08984375" style="14" customWidth="1"/>
    <col min="41" max="41" width="15.54296875" style="14" customWidth="1"/>
    <col min="42" max="42" width="14.08984375" style="14" customWidth="1"/>
    <col min="43" max="44" width="8.90625" style="14"/>
    <col min="45" max="45" width="18.453125" style="14" customWidth="1"/>
    <col min="46" max="46" width="15" style="14" customWidth="1"/>
    <col min="47" max="47" width="21.453125" style="14" customWidth="1"/>
    <col min="48" max="48" width="15.453125" style="14" customWidth="1"/>
    <col min="49" max="49" width="16.54296875" style="14" customWidth="1"/>
    <col min="50" max="51" width="8.90625" style="14"/>
    <col min="52" max="52" width="17.90625" style="14" customWidth="1"/>
    <col min="53" max="53" width="14.453125" style="14" customWidth="1"/>
    <col min="54" max="54" width="18.54296875" style="14" customWidth="1"/>
    <col min="55" max="55" width="13.54296875" style="14" customWidth="1"/>
    <col min="56" max="56" width="15.08984375" style="14" customWidth="1"/>
    <col min="57" max="58" width="8.90625" style="14"/>
    <col min="59" max="59" width="16.08984375" style="14" customWidth="1"/>
    <col min="60" max="60" width="12" style="14" customWidth="1"/>
    <col min="61" max="61" width="18" style="14" customWidth="1"/>
    <col min="62" max="62" width="16.08984375" style="14" customWidth="1"/>
    <col min="63" max="63" width="14.08984375" style="14" customWidth="1"/>
    <col min="64" max="64" width="10.08984375" style="14" customWidth="1"/>
    <col min="65" max="16384" width="8.90625" style="14"/>
  </cols>
  <sheetData>
    <row r="1" spans="1:163" ht="13.5" thickBot="1" x14ac:dyDescent="0.4">
      <c r="J1" s="15"/>
      <c r="K1" s="15"/>
      <c r="L1" s="15"/>
      <c r="AD1" s="14"/>
      <c r="AE1" s="14"/>
      <c r="AF1" s="14"/>
      <c r="AG1" s="14"/>
      <c r="AH1" s="14"/>
      <c r="AI1" s="14"/>
      <c r="AJ1" s="14"/>
    </row>
    <row r="2" spans="1:163" s="15" customFormat="1" ht="27.5" thickBot="1" x14ac:dyDescent="0.35">
      <c r="B2" s="24"/>
      <c r="C2" s="69" t="s">
        <v>25</v>
      </c>
      <c r="D2" s="237" t="s">
        <v>124</v>
      </c>
      <c r="H2" s="85"/>
    </row>
    <row r="3" spans="1:163" s="15" customFormat="1" ht="26" x14ac:dyDescent="0.3">
      <c r="B3" s="24"/>
      <c r="C3" s="70" t="s">
        <v>28</v>
      </c>
      <c r="D3" s="238" t="s">
        <v>29</v>
      </c>
      <c r="H3" s="85"/>
    </row>
    <row r="4" spans="1:163" s="15" customFormat="1" ht="30.75" customHeight="1" x14ac:dyDescent="0.3">
      <c r="B4" s="24"/>
      <c r="C4" s="19" t="s">
        <v>33</v>
      </c>
      <c r="D4" s="239" t="str">
        <f>_xlfn.XLOOKUP($C$4,Inhalation_Exp[OES],Inhalation_Exp[Data Type])</f>
        <v>PBZ</v>
      </c>
      <c r="H4" s="85"/>
    </row>
    <row r="5" spans="1:163" s="15" customFormat="1" x14ac:dyDescent="0.35">
      <c r="B5" s="24"/>
      <c r="C5" s="28"/>
      <c r="D5" s="28"/>
      <c r="E5" s="28"/>
      <c r="H5" s="17"/>
      <c r="I5" s="75"/>
      <c r="L5" s="28"/>
    </row>
    <row r="6" spans="1:163" ht="13.5" x14ac:dyDescent="0.35">
      <c r="A6" s="15"/>
      <c r="C6" s="16" t="s">
        <v>35</v>
      </c>
      <c r="D6" s="24"/>
      <c r="E6" s="24"/>
      <c r="F6" s="17"/>
      <c r="G6" s="17"/>
      <c r="H6" s="17"/>
      <c r="I6" s="17"/>
      <c r="J6" s="17"/>
      <c r="L6" s="16" t="s">
        <v>27</v>
      </c>
      <c r="N6" s="15"/>
      <c r="O6" s="15"/>
      <c r="P6" s="17"/>
      <c r="Q6" s="17"/>
      <c r="T6" s="16" t="s">
        <v>36</v>
      </c>
      <c r="U6" s="24"/>
      <c r="V6" s="17"/>
      <c r="W6" s="17"/>
      <c r="X6" s="17"/>
      <c r="Y6" s="17"/>
      <c r="Z6" s="15"/>
      <c r="AA6" s="15"/>
      <c r="AB6" s="15"/>
      <c r="AC6" s="15"/>
      <c r="AD6" s="14"/>
      <c r="AE6" s="14"/>
      <c r="AF6" s="14"/>
      <c r="AG6" s="14"/>
      <c r="AH6" s="14"/>
      <c r="AI6" s="14"/>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row>
    <row r="7" spans="1:163" ht="13.5" thickBot="1" x14ac:dyDescent="0.4">
      <c r="A7" s="15"/>
      <c r="C7" s="18" t="s">
        <v>37</v>
      </c>
      <c r="E7" s="11"/>
      <c r="H7" s="76"/>
      <c r="I7" s="76"/>
      <c r="J7" s="77"/>
      <c r="L7" s="18" t="s">
        <v>37</v>
      </c>
      <c r="O7" s="12"/>
      <c r="P7" s="17"/>
      <c r="Q7" s="17"/>
      <c r="T7" s="18" t="s">
        <v>37</v>
      </c>
      <c r="U7" s="11"/>
      <c r="W7" s="76"/>
      <c r="X7" s="76"/>
      <c r="Y7" s="77"/>
      <c r="AD7" s="14"/>
      <c r="AE7" s="14"/>
      <c r="AF7" s="14"/>
      <c r="AG7" s="14"/>
      <c r="AH7" s="14"/>
      <c r="AI7" s="14"/>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row>
    <row r="8" spans="1:163" ht="25.5" customHeight="1" x14ac:dyDescent="0.35">
      <c r="A8" s="15"/>
      <c r="C8" s="549" t="s">
        <v>38</v>
      </c>
      <c r="D8" s="538" t="s">
        <v>39</v>
      </c>
      <c r="E8" s="538" t="s">
        <v>125</v>
      </c>
      <c r="F8" s="538" t="s">
        <v>126</v>
      </c>
      <c r="G8" s="269" t="s">
        <v>40</v>
      </c>
      <c r="H8" s="269" t="s">
        <v>41</v>
      </c>
      <c r="I8" s="269" t="s">
        <v>42</v>
      </c>
      <c r="J8" s="20" t="s">
        <v>43</v>
      </c>
      <c r="K8" s="27"/>
      <c r="L8" s="549" t="s">
        <v>38</v>
      </c>
      <c r="M8" s="703" t="s">
        <v>39</v>
      </c>
      <c r="N8" s="538" t="s">
        <v>127</v>
      </c>
      <c r="O8" s="269" t="s">
        <v>40</v>
      </c>
      <c r="P8" s="269" t="s">
        <v>41</v>
      </c>
      <c r="Q8" s="269" t="s">
        <v>42</v>
      </c>
      <c r="R8" s="20" t="s">
        <v>43</v>
      </c>
      <c r="T8" s="549" t="s">
        <v>38</v>
      </c>
      <c r="U8" s="538" t="s">
        <v>39</v>
      </c>
      <c r="V8" s="269" t="s">
        <v>40</v>
      </c>
      <c r="W8" s="269" t="s">
        <v>44</v>
      </c>
      <c r="X8" s="269" t="s">
        <v>42</v>
      </c>
      <c r="Y8" s="20" t="s">
        <v>43</v>
      </c>
      <c r="Z8" s="27"/>
      <c r="AA8" s="27"/>
      <c r="AB8" s="27"/>
      <c r="AC8" s="27"/>
      <c r="AD8" s="27"/>
      <c r="AE8" s="14"/>
      <c r="AF8" s="14"/>
      <c r="AG8" s="14"/>
      <c r="AH8" s="14"/>
      <c r="AI8" s="14"/>
      <c r="AJ8" s="14"/>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row>
    <row r="9" spans="1:163" ht="27.75" customHeight="1" thickBot="1" x14ac:dyDescent="0.4">
      <c r="A9" s="15"/>
      <c r="C9" s="550"/>
      <c r="D9" s="539"/>
      <c r="E9" s="548"/>
      <c r="F9" s="548"/>
      <c r="G9" s="270" t="s">
        <v>45</v>
      </c>
      <c r="H9" s="270" t="s">
        <v>46</v>
      </c>
      <c r="I9" s="270" t="s">
        <v>47</v>
      </c>
      <c r="J9" s="25" t="s">
        <v>48</v>
      </c>
      <c r="K9" s="27"/>
      <c r="L9" s="551"/>
      <c r="M9" s="704"/>
      <c r="N9" s="548"/>
      <c r="O9" s="270" t="s">
        <v>45</v>
      </c>
      <c r="P9" s="270" t="s">
        <v>46</v>
      </c>
      <c r="Q9" s="270" t="s">
        <v>49</v>
      </c>
      <c r="R9" s="25" t="s">
        <v>50</v>
      </c>
      <c r="T9" s="550"/>
      <c r="U9" s="539"/>
      <c r="V9" s="270" t="s">
        <v>51</v>
      </c>
      <c r="W9" s="270" t="s">
        <v>46</v>
      </c>
      <c r="X9" s="270" t="s">
        <v>47</v>
      </c>
      <c r="Y9" s="25" t="s">
        <v>48</v>
      </c>
      <c r="Z9" s="27"/>
      <c r="AA9" s="27"/>
      <c r="AB9" s="27"/>
      <c r="AC9" s="27"/>
      <c r="AD9" s="27"/>
      <c r="AE9" s="14"/>
      <c r="AF9" s="14"/>
      <c r="AG9" s="14"/>
      <c r="AH9" s="14"/>
      <c r="AI9" s="14"/>
      <c r="AJ9" s="14"/>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row>
    <row r="10" spans="1:163" ht="27.75" customHeight="1" x14ac:dyDescent="0.35">
      <c r="A10" s="15"/>
      <c r="C10" s="214" t="s">
        <v>34</v>
      </c>
      <c r="D10" s="700" t="s">
        <v>52</v>
      </c>
      <c r="E10" s="187">
        <f>SUMIFS(Inhalation_Exp[TWA_High-End],Inhalation_Exp[OES],$C$4,Inhalation_Exp[Worker Type],$C10,Inhalation_Exp[Data Type],$D$4)</f>
        <v>0</v>
      </c>
      <c r="F10" s="187" t="e">
        <f>SUMIFS(#REF!,Inhalation_Exp[OES],$C$4,Inhalation_Exp[Worker Type],$C10,Inhalation_Exp[Data Type],$D$4)</f>
        <v>#REF!</v>
      </c>
      <c r="G10" s="187">
        <f>SUMIFS(Inhalation_Exp[24hr_High-End],Inhalation_Exp[OES],$C$4,Inhalation_Exp[Worker Type],$C10,Inhalation_Exp[Data Type],$D$4)</f>
        <v>0</v>
      </c>
      <c r="H10" s="187">
        <f>SUMIFS(Inhalation_Exp[Int_High-End],Inhalation_Exp[OES],$C$4,Inhalation_Exp[Worker Type],$C10,Inhalation_Exp[Data Type],$D$4)</f>
        <v>0</v>
      </c>
      <c r="I10" s="187">
        <f>SUMIFS(Inhalation_Exp[ADC_High-End],Inhalation_Exp[OES],$C$4,Inhalation_Exp[Worker Type],$C10,Inhalation_Exp[Data Type],$D$4)</f>
        <v>0</v>
      </c>
      <c r="J10" s="185" t="e">
        <f>SUMIFS(#REF!,Inhalation_Exp[OES],$C$4,Inhalation_Exp[Worker Type],$C10,Inhalation_Exp[Data Type],$D$4)</f>
        <v>#REF!</v>
      </c>
      <c r="K10" s="27"/>
      <c r="L10" s="214" t="s">
        <v>34</v>
      </c>
      <c r="M10" s="700" t="s">
        <v>52</v>
      </c>
      <c r="N10" s="187" t="e">
        <f>O10*BW_default</f>
        <v>#REF!</v>
      </c>
      <c r="O10" s="187" t="e">
        <f>SUMIFS(#REF!,Dermal_Exp[Worker Type],$L10,Dermal_Exp[OES],$C$4)</f>
        <v>#REF!</v>
      </c>
      <c r="P10" s="187" t="e">
        <f>SUMIFS(#REF!,Dermal_Exp[Worker Type],$L10,Dermal_Exp[OES],$C$4)</f>
        <v>#REF!</v>
      </c>
      <c r="Q10" s="187" t="e">
        <f>SUMIFS(#REF!,Dermal_Exp[Worker Type],$L10,Dermal_Exp[OES],$C$4)</f>
        <v>#REF!</v>
      </c>
      <c r="R10" s="185" t="e">
        <f>SUMIFS(#REF!,Dermal_Exp[Worker Type],$L10,Dermal_Exp[OES],$C$4)</f>
        <v>#REF!</v>
      </c>
      <c r="T10" s="214" t="s">
        <v>34</v>
      </c>
      <c r="U10" s="700" t="s">
        <v>52</v>
      </c>
      <c r="V10" s="187" t="e">
        <f>O10+G10</f>
        <v>#REF!</v>
      </c>
      <c r="W10" s="187" t="e">
        <f>P10+H10</f>
        <v>#REF!</v>
      </c>
      <c r="X10" s="187" t="e">
        <f>Q10+I10</f>
        <v>#REF!</v>
      </c>
      <c r="Y10" s="185" t="e">
        <f>R10+J10</f>
        <v>#REF!</v>
      </c>
      <c r="Z10" s="27"/>
      <c r="AA10" s="27"/>
      <c r="AB10" s="27"/>
      <c r="AC10" s="27"/>
      <c r="AD10" s="27"/>
      <c r="AE10" s="14"/>
      <c r="AF10" s="14"/>
      <c r="AG10" s="14"/>
      <c r="AH10" s="14"/>
      <c r="AI10" s="14"/>
      <c r="AJ10" s="14"/>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row>
    <row r="11" spans="1:163" ht="15" customHeight="1" x14ac:dyDescent="0.35">
      <c r="A11" s="15"/>
      <c r="C11" s="215" t="s">
        <v>109</v>
      </c>
      <c r="D11" s="701"/>
      <c r="E11" s="207">
        <f>SUMIFS(Inhalation_Exp[TWA_High-End],Inhalation_Exp[OES],$C$4,Inhalation_Exp[Worker Type],$C11,Inhalation_Exp[Data Type],$D$4)</f>
        <v>0</v>
      </c>
      <c r="F11" s="207" t="e">
        <f>SUMIFS(#REF!,Inhalation_Exp[OES],$C$4,Inhalation_Exp[Worker Type],$C11,Inhalation_Exp[Data Type],$D$4)</f>
        <v>#REF!</v>
      </c>
      <c r="G11" s="207">
        <f>SUMIFS(Inhalation_Exp[24hr_High-End],Inhalation_Exp[OES],$C$4,Inhalation_Exp[Worker Type],$C11,Inhalation_Exp[Data Type],$D$4)</f>
        <v>0</v>
      </c>
      <c r="H11" s="207">
        <f>SUMIFS(Inhalation_Exp[Int_High-End],Inhalation_Exp[OES],$C$4,Inhalation_Exp[Worker Type],$C11,Inhalation_Exp[Data Type],$D$4)</f>
        <v>0</v>
      </c>
      <c r="I11" s="207">
        <f>SUMIFS(Inhalation_Exp[ADC_High-End],Inhalation_Exp[OES],$C$4,Inhalation_Exp[Worker Type],$C11,Inhalation_Exp[Data Type],$D$4)</f>
        <v>0</v>
      </c>
      <c r="J11" s="213" t="e">
        <f>SUMIFS(#REF!,Inhalation_Exp[OES],$C$4,Inhalation_Exp[Worker Type],$C11,Inhalation_Exp[Data Type],$D$4)</f>
        <v>#REF!</v>
      </c>
      <c r="K11" s="49"/>
      <c r="L11" s="215" t="s">
        <v>109</v>
      </c>
      <c r="M11" s="701"/>
      <c r="N11" s="207" t="e">
        <f>O11*BW_F</f>
        <v>#REF!</v>
      </c>
      <c r="O11" s="207" t="e">
        <f>SUMIFS(#REF!,Dermal_Exp[Worker Type],$L11,Dermal_Exp[OES],$C$4)</f>
        <v>#REF!</v>
      </c>
      <c r="P11" s="207" t="e">
        <f>SUMIFS(#REF!,Dermal_Exp[Worker Type],$L11,Dermal_Exp[OES],$C$4)</f>
        <v>#REF!</v>
      </c>
      <c r="Q11" s="207" t="e">
        <f>SUMIFS(#REF!,Dermal_Exp[Worker Type],$L11,Dermal_Exp[OES],$C$4)</f>
        <v>#REF!</v>
      </c>
      <c r="R11" s="213" t="e">
        <f>SUMIFS(#REF!,Dermal_Exp[Worker Type],$L11,Dermal_Exp[OES],$C$4)</f>
        <v>#REF!</v>
      </c>
      <c r="T11" s="215" t="s">
        <v>109</v>
      </c>
      <c r="U11" s="701"/>
      <c r="V11" s="207" t="e">
        <f t="shared" ref="V11:Y12" si="0">G11+O11</f>
        <v>#REF!</v>
      </c>
      <c r="W11" s="207" t="e">
        <f t="shared" si="0"/>
        <v>#REF!</v>
      </c>
      <c r="X11" s="207" t="e">
        <f>I11+Q11</f>
        <v>#REF!</v>
      </c>
      <c r="Y11" s="213" t="e">
        <f t="shared" si="0"/>
        <v>#REF!</v>
      </c>
      <c r="Z11" s="49"/>
      <c r="AA11" s="49"/>
      <c r="AB11" s="49"/>
      <c r="AC11" s="49"/>
      <c r="AD11" s="49"/>
      <c r="AE11" s="14"/>
      <c r="AF11" s="14"/>
      <c r="AG11" s="14"/>
      <c r="AH11" s="14"/>
      <c r="AI11" s="14"/>
      <c r="AJ11" s="14"/>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row>
    <row r="12" spans="1:163" ht="15.75" customHeight="1" thickBot="1" x14ac:dyDescent="0.4">
      <c r="A12" s="15"/>
      <c r="C12" s="26" t="s">
        <v>54</v>
      </c>
      <c r="D12" s="702"/>
      <c r="E12" s="188">
        <f>SUMIFS(Inhalation_Exp[TWA_High-End],Inhalation_Exp[OES],$C$4,Inhalation_Exp[Worker Type],$C12,Inhalation_Exp[Data Type],$D$4)</f>
        <v>0.30328220858895705</v>
      </c>
      <c r="F12" s="188" t="e">
        <f>SUMIFS(#REF!,Inhalation_Exp[OES],$C$4,Inhalation_Exp[Worker Type],$C12,Inhalation_Exp[Data Type],$D$4)</f>
        <v>#REF!</v>
      </c>
      <c r="G12" s="188">
        <f>SUMIFS(Inhalation_Exp[24hr_High-End],Inhalation_Exp[OES],$C$4,Inhalation_Exp[Worker Type],$C12,Inhalation_Exp[Data Type],$D$4)</f>
        <v>0.2063144276115354</v>
      </c>
      <c r="H12" s="188">
        <f>SUMIFS(Inhalation_Exp[Int_High-End],Inhalation_Exp[OES],$C$4,Inhalation_Exp[Worker Type],$C12,Inhalation_Exp[Data Type],$D$4)</f>
        <v>0.15129724691512597</v>
      </c>
      <c r="I12" s="188">
        <f>SUMIFS(Inhalation_Exp[ADC_High-End],Inhalation_Exp[OES],$C$4,Inhalation_Exp[Worker Type],$C12,Inhalation_Exp[Data Type],$D$4)</f>
        <v>0.14131125178872286</v>
      </c>
      <c r="J12" s="186" t="e">
        <f>SUMIFS(#REF!,Inhalation_Exp[OES],$C$4,Inhalation_Exp[Worker Type],$C12,Inhalation_Exp[Data Type],$D$4)</f>
        <v>#REF!</v>
      </c>
      <c r="K12" s="49"/>
      <c r="L12" s="26" t="s">
        <v>54</v>
      </c>
      <c r="M12" s="702"/>
      <c r="N12" s="188" t="e">
        <f>O12*BW_default</f>
        <v>#REF!</v>
      </c>
      <c r="O12" s="188" t="e">
        <f>SUMIFS(#REF!,Dermal_Exp[Worker Type],$L12,Dermal_Exp[OES],$C$4)</f>
        <v>#REF!</v>
      </c>
      <c r="P12" s="188" t="e">
        <f>SUMIFS(#REF!,Dermal_Exp[Worker Type],$L12,Dermal_Exp[OES],$C$4)</f>
        <v>#REF!</v>
      </c>
      <c r="Q12" s="188" t="e">
        <f>SUMIFS(#REF!,Dermal_Exp[Worker Type],$L12,Dermal_Exp[OES],$C$4)</f>
        <v>#REF!</v>
      </c>
      <c r="R12" s="186" t="e">
        <f>SUMIFS(#REF!,Dermal_Exp[Worker Type],$L12,Dermal_Exp[OES],$C$4)</f>
        <v>#REF!</v>
      </c>
      <c r="T12" s="26" t="s">
        <v>54</v>
      </c>
      <c r="U12" s="702"/>
      <c r="V12" s="188" t="e">
        <f t="shared" si="0"/>
        <v>#REF!</v>
      </c>
      <c r="W12" s="188" t="e">
        <f t="shared" si="0"/>
        <v>#REF!</v>
      </c>
      <c r="X12" s="188" t="e">
        <f t="shared" si="0"/>
        <v>#REF!</v>
      </c>
      <c r="Y12" s="186" t="e">
        <f t="shared" si="0"/>
        <v>#REF!</v>
      </c>
      <c r="Z12" s="49"/>
      <c r="AA12" s="49"/>
      <c r="AB12" s="49"/>
      <c r="AC12" s="49"/>
      <c r="AD12" s="49"/>
      <c r="AE12" s="14"/>
      <c r="AF12" s="14"/>
      <c r="AG12" s="14"/>
      <c r="AH12" s="14"/>
      <c r="AI12" s="14"/>
      <c r="AJ12" s="14"/>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row>
    <row r="13" spans="1:163" ht="15.75" customHeight="1" x14ac:dyDescent="0.35">
      <c r="A13" s="15"/>
      <c r="C13" s="210" t="s">
        <v>34</v>
      </c>
      <c r="D13" s="700" t="s">
        <v>53</v>
      </c>
      <c r="E13" s="211">
        <f>SUMIFS(Inhalation_Exp[TWA_Central Tendency],Inhalation_Exp[OES],$C$4,Inhalation_Exp[Worker Type],$C10,Inhalation_Exp[Data Type],$D$4)</f>
        <v>0</v>
      </c>
      <c r="F13" s="211" t="e">
        <f>SUMIFS(#REF!,Inhalation_Exp[OES],$C$4,Inhalation_Exp[Worker Type],$C10,Inhalation_Exp[Data Type],$D$4)</f>
        <v>#REF!</v>
      </c>
      <c r="G13" s="211">
        <f>SUMIFS(Inhalation_Exp[24hr_Central Tendency],Inhalation_Exp[OES],$C$4,Inhalation_Exp[Worker Type],$C13,Inhalation_Exp[Data Type],$D$4)</f>
        <v>0</v>
      </c>
      <c r="H13" s="211">
        <f>SUMIFS(Inhalation_Exp[Int_Central Tendency],Inhalation_Exp[OES],$C$4,Inhalation_Exp[Worker Type],$C13,Inhalation_Exp[Data Type],$D$4)</f>
        <v>0</v>
      </c>
      <c r="I13" s="211">
        <f>SUMIFS(Inhalation_Exp[ADC_Central Tendency],Inhalation_Exp[OES],$C$4,Inhalation_Exp[Worker Type],$C13,Inhalation_Exp[Data Type],$D$4)</f>
        <v>0</v>
      </c>
      <c r="J13" s="212" t="e">
        <f>SUMIFS(#REF!,Inhalation_Exp[OES],$C$4,Inhalation_Exp[Worker Type],$C13,Inhalation_Exp[Data Type],$D$4)</f>
        <v>#REF!</v>
      </c>
      <c r="K13" s="49"/>
      <c r="L13" s="215" t="s">
        <v>34</v>
      </c>
      <c r="M13" s="700" t="s">
        <v>53</v>
      </c>
      <c r="N13" s="187" t="e">
        <f>O13*BW_default</f>
        <v>#REF!</v>
      </c>
      <c r="O13" s="187" t="e">
        <f>SUMIFS(#REF!,Dermal_Exp[Worker Type],$L13,Dermal_Exp[OES],$C$4)</f>
        <v>#REF!</v>
      </c>
      <c r="P13" s="187" t="e">
        <f>SUMIFS(#REF!,Dermal_Exp[Worker Type],$L13,Dermal_Exp[OES],$C$4)</f>
        <v>#REF!</v>
      </c>
      <c r="Q13" s="187" t="e">
        <f>SUMIFS(#REF!,Dermal_Exp[Worker Type],$L13,Dermal_Exp[OES],$C$4)</f>
        <v>#REF!</v>
      </c>
      <c r="R13" s="185" t="e">
        <f>SUMIFS(#REF!,Dermal_Exp[Worker Type],$L13,Dermal_Exp[OES],$C$4)</f>
        <v>#REF!</v>
      </c>
      <c r="T13" s="215" t="s">
        <v>34</v>
      </c>
      <c r="U13" s="700" t="s">
        <v>53</v>
      </c>
      <c r="V13" s="211" t="e">
        <f>O13+G13</f>
        <v>#REF!</v>
      </c>
      <c r="W13" s="211" t="e">
        <f>P13+H13</f>
        <v>#REF!</v>
      </c>
      <c r="X13" s="211" t="e">
        <f>Q13+I13</f>
        <v>#REF!</v>
      </c>
      <c r="Y13" s="212" t="e">
        <f>R13+J13</f>
        <v>#REF!</v>
      </c>
      <c r="Z13" s="49"/>
      <c r="AA13" s="49"/>
      <c r="AB13" s="49"/>
      <c r="AC13" s="49"/>
      <c r="AD13" s="49"/>
      <c r="AE13" s="14"/>
      <c r="AF13" s="14"/>
      <c r="AG13" s="14"/>
      <c r="AH13" s="14"/>
      <c r="AI13" s="14"/>
      <c r="AJ13" s="14"/>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row>
    <row r="14" spans="1:163" ht="15" customHeight="1" x14ac:dyDescent="0.35">
      <c r="A14" s="15"/>
      <c r="C14" s="215" t="s">
        <v>109</v>
      </c>
      <c r="D14" s="701"/>
      <c r="E14" s="207">
        <f>SUMIFS(Inhalation_Exp[TWA_Central Tendency],Inhalation_Exp[OES],$C$4,Inhalation_Exp[Worker Type],$C11,Inhalation_Exp[Data Type],$D$4)</f>
        <v>0</v>
      </c>
      <c r="F14" s="207" t="e">
        <f>SUMIFS(#REF!,Inhalation_Exp[OES],$C$4,Inhalation_Exp[Worker Type],$C11,Inhalation_Exp[Data Type],$D$4)</f>
        <v>#REF!</v>
      </c>
      <c r="G14" s="207">
        <f>SUMIFS(Inhalation_Exp[24hr_Central Tendency],Inhalation_Exp[OES],$C$4,Inhalation_Exp[Worker Type],$C14,Inhalation_Exp[Data Type],$D$4)</f>
        <v>0</v>
      </c>
      <c r="H14" s="207">
        <f>SUMIFS(Inhalation_Exp[Int_Central Tendency],Inhalation_Exp[OES],$C$4,Inhalation_Exp[Worker Type],$C14,Inhalation_Exp[Data Type],$D$4)</f>
        <v>0</v>
      </c>
      <c r="I14" s="207">
        <f>SUMIFS(Inhalation_Exp[ADC_Central Tendency],Inhalation_Exp[OES],$C$4,Inhalation_Exp[Worker Type],$C14,Inhalation_Exp[Data Type],$D$4)</f>
        <v>0</v>
      </c>
      <c r="J14" s="213" t="e">
        <f>SUMIFS(#REF!,Inhalation_Exp[OES],$C$4,Inhalation_Exp[Worker Type],$C14,Inhalation_Exp[Data Type],$D$4)</f>
        <v>#REF!</v>
      </c>
      <c r="K14" s="49"/>
      <c r="L14" s="215" t="s">
        <v>109</v>
      </c>
      <c r="M14" s="701"/>
      <c r="N14" s="207" t="e">
        <f>O14*BW_F</f>
        <v>#REF!</v>
      </c>
      <c r="O14" s="207" t="e">
        <f>SUMIFS(#REF!,Dermal_Exp[Worker Type],$L14,Dermal_Exp[OES],$C$4)</f>
        <v>#REF!</v>
      </c>
      <c r="P14" s="207" t="e">
        <f>SUMIFS(#REF!,Dermal_Exp[Worker Type],$L14,Dermal_Exp[OES],$C$4)</f>
        <v>#REF!</v>
      </c>
      <c r="Q14" s="207" t="e">
        <f>SUMIFS(#REF!,Dermal_Exp[Worker Type],$L14,Dermal_Exp[OES],$C$4)</f>
        <v>#REF!</v>
      </c>
      <c r="R14" s="213" t="e">
        <f>SUMIFS(#REF!,Dermal_Exp[Worker Type],$L14,Dermal_Exp[OES],$C$4)</f>
        <v>#REF!</v>
      </c>
      <c r="T14" s="215" t="s">
        <v>109</v>
      </c>
      <c r="U14" s="701"/>
      <c r="V14" s="207" t="e">
        <f t="shared" ref="V14:Y15" si="1">G14+O14</f>
        <v>#REF!</v>
      </c>
      <c r="W14" s="207" t="e">
        <f t="shared" si="1"/>
        <v>#REF!</v>
      </c>
      <c r="X14" s="207" t="e">
        <f t="shared" si="1"/>
        <v>#REF!</v>
      </c>
      <c r="Y14" s="213" t="e">
        <f t="shared" si="1"/>
        <v>#REF!</v>
      </c>
      <c r="Z14" s="49"/>
      <c r="AA14" s="49"/>
      <c r="AB14" s="49"/>
      <c r="AC14" s="49"/>
      <c r="AD14" s="49"/>
      <c r="AE14" s="14"/>
      <c r="AF14" s="14"/>
      <c r="AG14" s="14"/>
      <c r="AH14" s="14"/>
      <c r="AI14" s="14"/>
      <c r="AJ14" s="14"/>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row>
    <row r="15" spans="1:163" ht="15.75" customHeight="1" thickBot="1" x14ac:dyDescent="0.4">
      <c r="A15" s="15"/>
      <c r="C15" s="26" t="s">
        <v>54</v>
      </c>
      <c r="D15" s="702"/>
      <c r="E15" s="188">
        <f>SUMIFS(Inhalation_Exp[TWA_Central Tendency],Inhalation_Exp[OES],$C$4,Inhalation_Exp[Worker Type],$C12,Inhalation_Exp[Data Type],$D$4)</f>
        <v>0.30328220858895705</v>
      </c>
      <c r="F15" s="188" t="e">
        <f>SUMIFS(#REF!,Inhalation_Exp[OES],$C$4,Inhalation_Exp[Worker Type],$C12,Inhalation_Exp[Data Type],$D$4)</f>
        <v>#REF!</v>
      </c>
      <c r="G15" s="188">
        <f>SUMIFS(Inhalation_Exp[24hr_Central Tendency],Inhalation_Exp[OES],$C$4,Inhalation_Exp[Worker Type],$C15,Inhalation_Exp[Data Type],$D$4)</f>
        <v>0.2063144276115354</v>
      </c>
      <c r="H15" s="188">
        <f>SUMIFS(Inhalation_Exp[Int_Central Tendency],Inhalation_Exp[OES],$C$4,Inhalation_Exp[Worker Type],$C15,Inhalation_Exp[Data Type],$D$4)</f>
        <v>0.15129724691512597</v>
      </c>
      <c r="I15" s="188">
        <f>SUMIFS(Inhalation_Exp[ADC_Central Tendency],Inhalation_Exp[OES],$C$4,Inhalation_Exp[Worker Type],$C15,Inhalation_Exp[Data Type],$D$4)</f>
        <v>0.14131125178872286</v>
      </c>
      <c r="J15" s="186" t="e">
        <f>SUMIFS(#REF!,Inhalation_Exp[OES],$C$4,Inhalation_Exp[Worker Type],$C15,Inhalation_Exp[Data Type],$D$4)</f>
        <v>#REF!</v>
      </c>
      <c r="K15" s="49"/>
      <c r="L15" s="26" t="s">
        <v>54</v>
      </c>
      <c r="M15" s="702"/>
      <c r="N15" s="188" t="e">
        <f>O15*BW_default</f>
        <v>#REF!</v>
      </c>
      <c r="O15" s="188" t="e">
        <f>SUMIFS(#REF!,Dermal_Exp[Worker Type],$L15,Dermal_Exp[OES],$C$4)</f>
        <v>#REF!</v>
      </c>
      <c r="P15" s="188" t="e">
        <f>SUMIFS(#REF!,Dermal_Exp[Worker Type],$L15,Dermal_Exp[OES],$C$4)</f>
        <v>#REF!</v>
      </c>
      <c r="Q15" s="188" t="e">
        <f>SUMIFS(#REF!,Dermal_Exp[Worker Type],$L15,Dermal_Exp[OES],$C$4)</f>
        <v>#REF!</v>
      </c>
      <c r="R15" s="186" t="e">
        <f>SUMIFS(#REF!,Dermal_Exp[Worker Type],$L15,Dermal_Exp[OES],$C$4)</f>
        <v>#REF!</v>
      </c>
      <c r="S15" s="195"/>
      <c r="T15" s="26" t="s">
        <v>54</v>
      </c>
      <c r="U15" s="702"/>
      <c r="V15" s="188" t="e">
        <f t="shared" si="1"/>
        <v>#REF!</v>
      </c>
      <c r="W15" s="188" t="e">
        <f t="shared" si="1"/>
        <v>#REF!</v>
      </c>
      <c r="X15" s="188" t="e">
        <f t="shared" si="1"/>
        <v>#REF!</v>
      </c>
      <c r="Y15" s="186" t="e">
        <f t="shared" si="1"/>
        <v>#REF!</v>
      </c>
      <c r="Z15" s="49"/>
      <c r="AA15" s="49"/>
      <c r="AB15" s="49"/>
      <c r="AC15" s="49"/>
      <c r="AD15" s="49"/>
      <c r="AE15" s="14"/>
      <c r="AF15" s="14"/>
      <c r="AG15" s="14"/>
      <c r="AH15" s="14"/>
      <c r="AI15" s="14"/>
      <c r="AJ15" s="14"/>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row>
    <row r="16" spans="1:163" s="3" customFormat="1" x14ac:dyDescent="0.35">
      <c r="A16" s="15"/>
      <c r="B16" s="14"/>
      <c r="C16" s="29"/>
      <c r="D16" s="29"/>
      <c r="E16" s="27"/>
      <c r="F16" s="27"/>
      <c r="G16" s="27"/>
      <c r="H16" s="27"/>
      <c r="I16" s="75"/>
      <c r="J16" s="14"/>
      <c r="K16" s="11"/>
      <c r="L16" s="14"/>
      <c r="M16" s="14"/>
      <c r="N16" s="14"/>
      <c r="O16" s="14"/>
      <c r="P16" s="14"/>
      <c r="Q16" s="14"/>
      <c r="R16" s="14"/>
      <c r="S16" s="15"/>
      <c r="T16" s="15"/>
      <c r="U16" s="15"/>
      <c r="V16" s="15"/>
      <c r="W16" s="15"/>
      <c r="X16" s="15"/>
      <c r="Y16" s="15"/>
      <c r="Z16" s="15"/>
      <c r="AA16" s="15"/>
      <c r="AB16" s="15"/>
      <c r="AC16" s="14"/>
      <c r="AD16" s="14"/>
      <c r="AE16" s="14"/>
      <c r="AF16" s="14"/>
      <c r="AG16" s="14"/>
      <c r="AH16" s="14"/>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row>
    <row r="17" spans="1:163" s="252" customFormat="1" ht="14.4" customHeight="1" x14ac:dyDescent="0.35">
      <c r="A17" s="248"/>
      <c r="B17" s="249"/>
      <c r="C17" s="245" t="s">
        <v>128</v>
      </c>
      <c r="D17" s="242" t="s">
        <v>129</v>
      </c>
      <c r="E17" s="246" t="s">
        <v>53</v>
      </c>
      <c r="F17" s="247" t="s">
        <v>130</v>
      </c>
      <c r="G17" s="250"/>
      <c r="H17" s="250"/>
      <c r="I17" s="251"/>
      <c r="J17" s="249"/>
      <c r="K17" s="249"/>
      <c r="L17" s="241" t="s">
        <v>128</v>
      </c>
      <c r="M17" s="242" t="s">
        <v>129</v>
      </c>
      <c r="N17" s="242" t="s">
        <v>53</v>
      </c>
      <c r="O17" s="243" t="s">
        <v>130</v>
      </c>
      <c r="P17" s="249"/>
      <c r="Q17" s="249"/>
      <c r="R17" s="249"/>
      <c r="S17" s="249"/>
      <c r="T17" s="208" t="s">
        <v>128</v>
      </c>
      <c r="U17" s="209" t="s">
        <v>129</v>
      </c>
      <c r="V17" s="209" t="s">
        <v>53</v>
      </c>
      <c r="W17" s="209" t="s">
        <v>130</v>
      </c>
      <c r="X17" s="248"/>
      <c r="Y17" s="248"/>
      <c r="Z17" s="248"/>
      <c r="AA17" s="248"/>
      <c r="AB17" s="248"/>
      <c r="AC17" s="249"/>
      <c r="AD17" s="249"/>
      <c r="AE17" s="249"/>
      <c r="AF17" s="249"/>
      <c r="AG17" s="249"/>
      <c r="AH17" s="249"/>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49"/>
      <c r="FE17" s="249"/>
      <c r="FF17" s="249"/>
      <c r="FG17" s="249"/>
    </row>
    <row r="18" spans="1:163" s="252" customFormat="1" ht="14.4" customHeight="1" x14ac:dyDescent="0.35">
      <c r="A18" s="248"/>
      <c r="B18" s="249"/>
      <c r="C18" s="698" t="s">
        <v>34</v>
      </c>
      <c r="D18" s="216" t="s">
        <v>131</v>
      </c>
      <c r="E18" s="253">
        <f>E13</f>
        <v>0</v>
      </c>
      <c r="F18" s="254">
        <f>E10</f>
        <v>0</v>
      </c>
      <c r="G18" s="250"/>
      <c r="H18" s="250"/>
      <c r="I18" s="251"/>
      <c r="J18" s="249"/>
      <c r="K18" s="249"/>
      <c r="L18" s="707" t="s">
        <v>34</v>
      </c>
      <c r="M18" s="216" t="s">
        <v>132</v>
      </c>
      <c r="N18" s="255" t="e">
        <f>N13</f>
        <v>#REF!</v>
      </c>
      <c r="O18" s="256" t="e">
        <f>N10</f>
        <v>#REF!</v>
      </c>
      <c r="P18" s="249"/>
      <c r="Q18" s="249"/>
      <c r="R18" s="249"/>
      <c r="S18" s="249"/>
      <c r="T18" s="706" t="s">
        <v>34</v>
      </c>
      <c r="U18" s="275" t="s">
        <v>133</v>
      </c>
      <c r="V18" s="257" t="e">
        <f>V13</f>
        <v>#REF!</v>
      </c>
      <c r="W18" s="258" t="e">
        <f>V10</f>
        <v>#REF!</v>
      </c>
      <c r="X18" s="248"/>
      <c r="Y18" s="248"/>
      <c r="Z18" s="248"/>
      <c r="AA18" s="248"/>
      <c r="AB18" s="248"/>
      <c r="AC18" s="249"/>
      <c r="AD18" s="249"/>
      <c r="AE18" s="249"/>
      <c r="AF18" s="249"/>
      <c r="AG18" s="249"/>
      <c r="AH18" s="249"/>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row>
    <row r="19" spans="1:163" s="252" customFormat="1" ht="14.4" customHeight="1" x14ac:dyDescent="0.35">
      <c r="A19" s="248"/>
      <c r="B19" s="249"/>
      <c r="C19" s="698"/>
      <c r="D19" s="276" t="s">
        <v>134</v>
      </c>
      <c r="E19" s="259" t="e">
        <f>F13</f>
        <v>#REF!</v>
      </c>
      <c r="F19" s="263" t="e">
        <f>F10</f>
        <v>#REF!</v>
      </c>
      <c r="G19" s="250"/>
      <c r="H19" s="250"/>
      <c r="I19" s="251"/>
      <c r="J19" s="249"/>
      <c r="K19" s="249"/>
      <c r="L19" s="708"/>
      <c r="M19" s="275" t="s">
        <v>133</v>
      </c>
      <c r="N19" s="259" t="e">
        <f>O13</f>
        <v>#REF!</v>
      </c>
      <c r="O19" s="260" t="e">
        <f>O10</f>
        <v>#REF!</v>
      </c>
      <c r="P19" s="261"/>
      <c r="Q19" s="261"/>
      <c r="R19" s="248"/>
      <c r="S19" s="249"/>
      <c r="T19" s="705"/>
      <c r="U19" s="275" t="s">
        <v>135</v>
      </c>
      <c r="V19" s="259" t="e">
        <f>W13</f>
        <v>#REF!</v>
      </c>
      <c r="W19" s="262" t="e">
        <f>W10</f>
        <v>#REF!</v>
      </c>
      <c r="X19" s="248"/>
      <c r="Y19" s="248"/>
      <c r="Z19" s="248"/>
      <c r="AA19" s="248"/>
      <c r="AB19" s="248"/>
      <c r="AC19" s="249"/>
      <c r="AD19" s="249"/>
      <c r="AE19" s="249"/>
      <c r="AF19" s="249"/>
      <c r="AG19" s="249"/>
      <c r="AH19" s="249"/>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row>
    <row r="20" spans="1:163" s="252" customFormat="1" ht="14.4" customHeight="1" x14ac:dyDescent="0.35">
      <c r="A20" s="248"/>
      <c r="B20" s="249"/>
      <c r="C20" s="698"/>
      <c r="D20" s="275" t="s">
        <v>133</v>
      </c>
      <c r="E20" s="259">
        <f>G13</f>
        <v>0</v>
      </c>
      <c r="F20" s="263">
        <f>G10</f>
        <v>0</v>
      </c>
      <c r="G20" s="250"/>
      <c r="H20" s="250"/>
      <c r="I20" s="251"/>
      <c r="J20" s="249"/>
      <c r="K20" s="249"/>
      <c r="L20" s="708"/>
      <c r="M20" s="275" t="s">
        <v>135</v>
      </c>
      <c r="N20" s="259" t="e">
        <f>P13</f>
        <v>#REF!</v>
      </c>
      <c r="O20" s="260" t="e">
        <f>P10</f>
        <v>#REF!</v>
      </c>
      <c r="P20" s="261"/>
      <c r="Q20" s="261"/>
      <c r="R20" s="248"/>
      <c r="S20" s="249"/>
      <c r="T20" s="705"/>
      <c r="U20" s="275" t="s">
        <v>136</v>
      </c>
      <c r="V20" s="259" t="e">
        <f>X13</f>
        <v>#REF!</v>
      </c>
      <c r="W20" s="262" t="e">
        <f>X10</f>
        <v>#REF!</v>
      </c>
      <c r="X20" s="248"/>
      <c r="Y20" s="248"/>
      <c r="Z20" s="248"/>
      <c r="AA20" s="248"/>
      <c r="AB20" s="248"/>
      <c r="AC20" s="249"/>
      <c r="AD20" s="249"/>
      <c r="AE20" s="249"/>
      <c r="AF20" s="249"/>
      <c r="AG20" s="249"/>
      <c r="AH20" s="249"/>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49"/>
      <c r="FE20" s="249"/>
      <c r="FF20" s="249"/>
      <c r="FG20" s="249"/>
    </row>
    <row r="21" spans="1:163" s="252" customFormat="1" ht="14.4" customHeight="1" x14ac:dyDescent="0.35">
      <c r="A21" s="248"/>
      <c r="B21" s="249"/>
      <c r="C21" s="698"/>
      <c r="D21" s="275" t="s">
        <v>135</v>
      </c>
      <c r="E21" s="259">
        <f>H13</f>
        <v>0</v>
      </c>
      <c r="F21" s="268">
        <f>H10</f>
        <v>0</v>
      </c>
      <c r="G21" s="250"/>
      <c r="H21" s="250"/>
      <c r="I21" s="251"/>
      <c r="J21" s="249"/>
      <c r="K21" s="249"/>
      <c r="L21" s="708"/>
      <c r="M21" s="275" t="s">
        <v>136</v>
      </c>
      <c r="N21" s="259" t="e">
        <f>Q13</f>
        <v>#REF!</v>
      </c>
      <c r="O21" s="260" t="e">
        <f>Q10</f>
        <v>#REF!</v>
      </c>
      <c r="P21" s="261"/>
      <c r="Q21" s="261"/>
      <c r="R21" s="248"/>
      <c r="S21" s="249"/>
      <c r="T21" s="705"/>
      <c r="U21" s="275" t="s">
        <v>137</v>
      </c>
      <c r="V21" s="259" t="e">
        <f>Y13</f>
        <v>#REF!</v>
      </c>
      <c r="W21" s="262" t="e">
        <f>Y10</f>
        <v>#REF!</v>
      </c>
      <c r="X21" s="248"/>
      <c r="Y21" s="248"/>
      <c r="Z21" s="248"/>
      <c r="AA21" s="248"/>
      <c r="AB21" s="248"/>
      <c r="AC21" s="249"/>
      <c r="AD21" s="249"/>
      <c r="AE21" s="249"/>
      <c r="AF21" s="249"/>
      <c r="AG21" s="249"/>
      <c r="AH21" s="249"/>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49"/>
      <c r="FE21" s="249"/>
      <c r="FF21" s="249"/>
      <c r="FG21" s="249"/>
    </row>
    <row r="22" spans="1:163" s="252" customFormat="1" ht="14.15" customHeight="1" x14ac:dyDescent="0.35">
      <c r="A22" s="248"/>
      <c r="B22" s="249"/>
      <c r="C22" s="698"/>
      <c r="D22" s="275" t="s">
        <v>136</v>
      </c>
      <c r="E22" s="259">
        <f>I13</f>
        <v>0</v>
      </c>
      <c r="F22" s="268">
        <f>I10</f>
        <v>0</v>
      </c>
      <c r="G22" s="250"/>
      <c r="H22" s="250"/>
      <c r="I22" s="251"/>
      <c r="J22" s="249"/>
      <c r="K22" s="249"/>
      <c r="L22" s="709"/>
      <c r="M22" s="275" t="s">
        <v>137</v>
      </c>
      <c r="N22" s="259" t="e">
        <f>R13</f>
        <v>#REF!</v>
      </c>
      <c r="O22" s="260" t="e">
        <f>R10</f>
        <v>#REF!</v>
      </c>
      <c r="P22" s="261"/>
      <c r="Q22" s="261"/>
      <c r="R22" s="248"/>
      <c r="S22" s="249"/>
      <c r="T22" s="705" t="s">
        <v>109</v>
      </c>
      <c r="U22" s="275" t="s">
        <v>133</v>
      </c>
      <c r="V22" s="259" t="e">
        <f>V14</f>
        <v>#REF!</v>
      </c>
      <c r="W22" s="262" t="e">
        <f>V11</f>
        <v>#REF!</v>
      </c>
      <c r="X22" s="248"/>
      <c r="Y22" s="248"/>
      <c r="Z22" s="248"/>
      <c r="AA22" s="248"/>
      <c r="AB22" s="248"/>
      <c r="AC22" s="249"/>
      <c r="AD22" s="249"/>
      <c r="AE22" s="249"/>
      <c r="AF22" s="249"/>
      <c r="AG22" s="249"/>
      <c r="AH22" s="249"/>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49"/>
      <c r="FE22" s="249"/>
      <c r="FF22" s="249"/>
      <c r="FG22" s="249"/>
    </row>
    <row r="23" spans="1:163" s="252" customFormat="1" ht="14.15" customHeight="1" x14ac:dyDescent="0.35">
      <c r="A23" s="248"/>
      <c r="B23" s="249"/>
      <c r="C23" s="698"/>
      <c r="D23" s="275" t="s">
        <v>137</v>
      </c>
      <c r="E23" s="259" t="e">
        <f>J13</f>
        <v>#REF!</v>
      </c>
      <c r="F23" s="263" t="e">
        <f>J10</f>
        <v>#REF!</v>
      </c>
      <c r="G23" s="250"/>
      <c r="H23" s="250"/>
      <c r="I23" s="251"/>
      <c r="J23" s="249"/>
      <c r="K23" s="249"/>
      <c r="L23" s="710" t="s">
        <v>109</v>
      </c>
      <c r="M23" s="275" t="s">
        <v>132</v>
      </c>
      <c r="N23" s="262" t="e">
        <f>N14</f>
        <v>#REF!</v>
      </c>
      <c r="O23" s="263" t="e">
        <f>N11</f>
        <v>#REF!</v>
      </c>
      <c r="P23" s="261"/>
      <c r="Q23" s="261"/>
      <c r="R23" s="248"/>
      <c r="S23" s="249"/>
      <c r="T23" s="705"/>
      <c r="U23" s="275" t="s">
        <v>135</v>
      </c>
      <c r="V23" s="259" t="e">
        <f>W14</f>
        <v>#REF!</v>
      </c>
      <c r="W23" s="262" t="e">
        <f>W11</f>
        <v>#REF!</v>
      </c>
      <c r="X23" s="248"/>
      <c r="Y23" s="248"/>
      <c r="Z23" s="248"/>
      <c r="AA23" s="248"/>
      <c r="AB23" s="248"/>
      <c r="AC23" s="249"/>
      <c r="AD23" s="249"/>
      <c r="AE23" s="249"/>
      <c r="AF23" s="249"/>
      <c r="AG23" s="249"/>
      <c r="AH23" s="249"/>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49"/>
      <c r="FE23" s="249"/>
      <c r="FF23" s="249"/>
      <c r="FG23" s="249"/>
    </row>
    <row r="24" spans="1:163" s="252" customFormat="1" ht="14.15" customHeight="1" x14ac:dyDescent="0.35">
      <c r="A24" s="248"/>
      <c r="B24" s="249"/>
      <c r="C24" s="698" t="s">
        <v>109</v>
      </c>
      <c r="D24" s="275" t="s">
        <v>131</v>
      </c>
      <c r="E24" s="259">
        <f>E14</f>
        <v>0</v>
      </c>
      <c r="F24" s="263">
        <f>E11</f>
        <v>0</v>
      </c>
      <c r="G24" s="250"/>
      <c r="H24" s="250"/>
      <c r="I24" s="251"/>
      <c r="J24" s="249"/>
      <c r="K24" s="249"/>
      <c r="L24" s="708"/>
      <c r="M24" s="275" t="s">
        <v>133</v>
      </c>
      <c r="N24" s="259" t="e">
        <f>O14</f>
        <v>#REF!</v>
      </c>
      <c r="O24" s="260" t="e">
        <f>O11</f>
        <v>#REF!</v>
      </c>
      <c r="P24" s="261"/>
      <c r="Q24" s="261"/>
      <c r="R24" s="248"/>
      <c r="S24" s="249"/>
      <c r="T24" s="705"/>
      <c r="U24" s="275" t="s">
        <v>136</v>
      </c>
      <c r="V24" s="259" t="e">
        <f>X14</f>
        <v>#REF!</v>
      </c>
      <c r="W24" s="262" t="e">
        <f>X11</f>
        <v>#REF!</v>
      </c>
      <c r="X24" s="248"/>
      <c r="Y24" s="248"/>
      <c r="Z24" s="248"/>
      <c r="AA24" s="248"/>
      <c r="AB24" s="248"/>
      <c r="AC24" s="249"/>
      <c r="AD24" s="249"/>
      <c r="AE24" s="249"/>
      <c r="AF24" s="249"/>
      <c r="AG24" s="249"/>
      <c r="AH24" s="249"/>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9"/>
      <c r="BS24" s="249"/>
      <c r="BT24" s="249"/>
      <c r="BU24" s="249"/>
      <c r="BV24" s="249"/>
      <c r="BW24" s="249"/>
      <c r="BX24" s="249"/>
      <c r="BY24" s="249"/>
      <c r="BZ24" s="249"/>
      <c r="CA24" s="249"/>
      <c r="CB24" s="249"/>
      <c r="CC24" s="249"/>
      <c r="CD24" s="249"/>
      <c r="CE24" s="249"/>
      <c r="CF24" s="249"/>
      <c r="CG24" s="249"/>
      <c r="CH24" s="249"/>
      <c r="CI24" s="249"/>
      <c r="CJ24" s="249"/>
      <c r="CK24" s="249"/>
      <c r="CL24" s="249"/>
      <c r="CM24" s="249"/>
      <c r="CN24" s="249"/>
      <c r="CO24" s="249"/>
      <c r="CP24" s="249"/>
      <c r="CQ24" s="249"/>
      <c r="CR24" s="249"/>
      <c r="CS24" s="249"/>
      <c r="CT24" s="249"/>
      <c r="CU24" s="249"/>
      <c r="CV24" s="249"/>
      <c r="CW24" s="249"/>
      <c r="CX24" s="249"/>
      <c r="CY24" s="249"/>
      <c r="CZ24" s="249"/>
      <c r="DA24" s="249"/>
      <c r="DB24" s="249"/>
      <c r="DC24" s="249"/>
      <c r="DD24" s="249"/>
      <c r="DE24" s="249"/>
      <c r="DF24" s="249"/>
      <c r="DG24" s="249"/>
      <c r="DH24" s="249"/>
      <c r="DI24" s="249"/>
      <c r="DJ24" s="249"/>
      <c r="DK24" s="249"/>
      <c r="DL24" s="249"/>
      <c r="DM24" s="249"/>
      <c r="DN24" s="249"/>
      <c r="DO24" s="249"/>
      <c r="DP24" s="249"/>
      <c r="DQ24" s="249"/>
      <c r="DR24" s="249"/>
      <c r="DS24" s="249"/>
      <c r="DT24" s="249"/>
      <c r="DU24" s="249"/>
      <c r="DV24" s="249"/>
      <c r="DW24" s="249"/>
      <c r="DX24" s="249"/>
      <c r="DY24" s="249"/>
      <c r="DZ24" s="249"/>
      <c r="EA24" s="249"/>
      <c r="EB24" s="249"/>
      <c r="EC24" s="249"/>
      <c r="ED24" s="249"/>
      <c r="EE24" s="249"/>
      <c r="EF24" s="249"/>
      <c r="EG24" s="249"/>
      <c r="EH24" s="249"/>
      <c r="EI24" s="249"/>
      <c r="EJ24" s="249"/>
      <c r="EK24" s="249"/>
      <c r="EL24" s="249"/>
      <c r="EM24" s="249"/>
      <c r="EN24" s="249"/>
      <c r="EO24" s="249"/>
      <c r="EP24" s="249"/>
      <c r="EQ24" s="249"/>
      <c r="ER24" s="249"/>
      <c r="ES24" s="249"/>
      <c r="ET24" s="249"/>
      <c r="EU24" s="249"/>
      <c r="EV24" s="249"/>
      <c r="EW24" s="249"/>
      <c r="EX24" s="249"/>
      <c r="EY24" s="249"/>
      <c r="EZ24" s="249"/>
      <c r="FA24" s="249"/>
      <c r="FB24" s="249"/>
      <c r="FC24" s="249"/>
      <c r="FD24" s="249"/>
      <c r="FE24" s="249"/>
      <c r="FF24" s="249"/>
      <c r="FG24" s="249"/>
    </row>
    <row r="25" spans="1:163" s="252" customFormat="1" ht="14.15" customHeight="1" x14ac:dyDescent="0.35">
      <c r="A25" s="248"/>
      <c r="B25" s="249"/>
      <c r="C25" s="698"/>
      <c r="D25" s="275" t="s">
        <v>134</v>
      </c>
      <c r="E25" s="262" t="e">
        <f>F14</f>
        <v>#REF!</v>
      </c>
      <c r="F25" s="263" t="e">
        <f>F11</f>
        <v>#REF!</v>
      </c>
      <c r="G25" s="250"/>
      <c r="H25" s="250"/>
      <c r="I25" s="251"/>
      <c r="J25" s="249"/>
      <c r="K25" s="249"/>
      <c r="L25" s="708"/>
      <c r="M25" s="275" t="s">
        <v>135</v>
      </c>
      <c r="N25" s="259" t="e">
        <f>P14</f>
        <v>#REF!</v>
      </c>
      <c r="O25" s="260" t="e">
        <f>P11</f>
        <v>#REF!</v>
      </c>
      <c r="P25" s="261"/>
      <c r="Q25" s="261"/>
      <c r="R25" s="248"/>
      <c r="S25" s="249"/>
      <c r="T25" s="705"/>
      <c r="U25" s="275" t="s">
        <v>137</v>
      </c>
      <c r="V25" s="259" t="e">
        <f>Y14</f>
        <v>#REF!</v>
      </c>
      <c r="W25" s="262" t="e">
        <f>Y11</f>
        <v>#REF!</v>
      </c>
      <c r="X25" s="248"/>
      <c r="Y25" s="248"/>
      <c r="Z25" s="248"/>
      <c r="AA25" s="248"/>
      <c r="AB25" s="248"/>
      <c r="AC25" s="249"/>
      <c r="AD25" s="249"/>
      <c r="AE25" s="249"/>
      <c r="AF25" s="249"/>
      <c r="AG25" s="249"/>
      <c r="AH25" s="249"/>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9"/>
      <c r="BS25" s="249"/>
      <c r="BT25" s="249"/>
      <c r="BU25" s="249"/>
      <c r="BV25" s="249"/>
      <c r="BW25" s="249"/>
      <c r="BX25" s="249"/>
      <c r="BY25" s="249"/>
      <c r="BZ25" s="249"/>
      <c r="CA25" s="249"/>
      <c r="CB25" s="249"/>
      <c r="CC25" s="249"/>
      <c r="CD25" s="249"/>
      <c r="CE25" s="249"/>
      <c r="CF25" s="249"/>
      <c r="CG25" s="249"/>
      <c r="CH25" s="249"/>
      <c r="CI25" s="249"/>
      <c r="CJ25" s="249"/>
      <c r="CK25" s="249"/>
      <c r="CL25" s="249"/>
      <c r="CM25" s="249"/>
      <c r="CN25" s="249"/>
      <c r="CO25" s="249"/>
      <c r="CP25" s="249"/>
      <c r="CQ25" s="249"/>
      <c r="CR25" s="249"/>
      <c r="CS25" s="249"/>
      <c r="CT25" s="249"/>
      <c r="CU25" s="249"/>
      <c r="CV25" s="249"/>
      <c r="CW25" s="249"/>
      <c r="CX25" s="249"/>
      <c r="CY25" s="249"/>
      <c r="CZ25" s="249"/>
      <c r="DA25" s="249"/>
      <c r="DB25" s="249"/>
      <c r="DC25" s="249"/>
      <c r="DD25" s="249"/>
      <c r="DE25" s="249"/>
      <c r="DF25" s="249"/>
      <c r="DG25" s="249"/>
      <c r="DH25" s="249"/>
      <c r="DI25" s="249"/>
      <c r="DJ25" s="249"/>
      <c r="DK25" s="249"/>
      <c r="DL25" s="249"/>
      <c r="DM25" s="249"/>
      <c r="DN25" s="249"/>
      <c r="DO25" s="249"/>
      <c r="DP25" s="249"/>
      <c r="DQ25" s="249"/>
      <c r="DR25" s="249"/>
      <c r="DS25" s="249"/>
      <c r="DT25" s="249"/>
      <c r="DU25" s="249"/>
      <c r="DV25" s="249"/>
      <c r="DW25" s="249"/>
      <c r="DX25" s="249"/>
      <c r="DY25" s="249"/>
      <c r="DZ25" s="249"/>
      <c r="EA25" s="249"/>
      <c r="EB25" s="249"/>
      <c r="EC25" s="249"/>
      <c r="ED25" s="249"/>
      <c r="EE25" s="249"/>
      <c r="EF25" s="249"/>
      <c r="EG25" s="249"/>
      <c r="EH25" s="249"/>
      <c r="EI25" s="249"/>
      <c r="EJ25" s="249"/>
      <c r="EK25" s="249"/>
      <c r="EL25" s="249"/>
      <c r="EM25" s="249"/>
      <c r="EN25" s="249"/>
      <c r="EO25" s="249"/>
      <c r="EP25" s="249"/>
      <c r="EQ25" s="249"/>
      <c r="ER25" s="249"/>
      <c r="ES25" s="249"/>
      <c r="ET25" s="249"/>
      <c r="EU25" s="249"/>
      <c r="EV25" s="249"/>
      <c r="EW25" s="249"/>
      <c r="EX25" s="249"/>
      <c r="EY25" s="249"/>
      <c r="EZ25" s="249"/>
      <c r="FA25" s="249"/>
      <c r="FB25" s="249"/>
      <c r="FC25" s="249"/>
      <c r="FD25" s="249"/>
      <c r="FE25" s="249"/>
      <c r="FF25" s="249"/>
      <c r="FG25" s="249"/>
    </row>
    <row r="26" spans="1:163" s="252" customFormat="1" ht="14.15" customHeight="1" x14ac:dyDescent="0.35">
      <c r="A26" s="248"/>
      <c r="B26" s="249"/>
      <c r="C26" s="698"/>
      <c r="D26" s="275" t="s">
        <v>133</v>
      </c>
      <c r="E26" s="259">
        <f>G14</f>
        <v>0</v>
      </c>
      <c r="F26" s="263">
        <f>G11</f>
        <v>0</v>
      </c>
      <c r="G26" s="250"/>
      <c r="H26" s="250"/>
      <c r="I26" s="251"/>
      <c r="J26" s="249"/>
      <c r="K26" s="249"/>
      <c r="L26" s="708"/>
      <c r="M26" s="275" t="s">
        <v>136</v>
      </c>
      <c r="N26" s="259" t="e">
        <f>Q14</f>
        <v>#REF!</v>
      </c>
      <c r="O26" s="260" t="e">
        <f>Q11</f>
        <v>#REF!</v>
      </c>
      <c r="P26" s="261"/>
      <c r="Q26" s="261"/>
      <c r="R26" s="248"/>
      <c r="S26" s="249"/>
      <c r="T26" s="705" t="s">
        <v>54</v>
      </c>
      <c r="U26" s="275" t="s">
        <v>133</v>
      </c>
      <c r="V26" s="259" t="e">
        <f>V15</f>
        <v>#REF!</v>
      </c>
      <c r="W26" s="259" t="e">
        <f>V12</f>
        <v>#REF!</v>
      </c>
      <c r="X26" s="248"/>
      <c r="Y26" s="248"/>
      <c r="Z26" s="248"/>
      <c r="AA26" s="248"/>
      <c r="AB26" s="248"/>
      <c r="AC26" s="249"/>
      <c r="AD26" s="249"/>
      <c r="AE26" s="249"/>
      <c r="AF26" s="249"/>
      <c r="AG26" s="249"/>
      <c r="AH26" s="249"/>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9"/>
      <c r="BS26" s="249"/>
      <c r="BT26" s="249"/>
      <c r="BU26" s="249"/>
      <c r="BV26" s="249"/>
      <c r="BW26" s="249"/>
      <c r="BX26" s="249"/>
      <c r="BY26" s="249"/>
      <c r="BZ26" s="249"/>
      <c r="CA26" s="249"/>
      <c r="CB26" s="249"/>
      <c r="CC26" s="249"/>
      <c r="CD26" s="249"/>
      <c r="CE26" s="249"/>
      <c r="CF26" s="249"/>
      <c r="CG26" s="249"/>
      <c r="CH26" s="249"/>
      <c r="CI26" s="249"/>
      <c r="CJ26" s="249"/>
      <c r="CK26" s="249"/>
      <c r="CL26" s="249"/>
      <c r="CM26" s="249"/>
      <c r="CN26" s="249"/>
      <c r="CO26" s="249"/>
      <c r="CP26" s="249"/>
      <c r="CQ26" s="249"/>
      <c r="CR26" s="249"/>
      <c r="CS26" s="249"/>
      <c r="CT26" s="249"/>
      <c r="CU26" s="249"/>
      <c r="CV26" s="249"/>
      <c r="CW26" s="249"/>
      <c r="CX26" s="249"/>
      <c r="CY26" s="249"/>
      <c r="CZ26" s="249"/>
      <c r="DA26" s="249"/>
      <c r="DB26" s="249"/>
      <c r="DC26" s="249"/>
      <c r="DD26" s="249"/>
      <c r="DE26" s="249"/>
      <c r="DF26" s="249"/>
      <c r="DG26" s="249"/>
      <c r="DH26" s="249"/>
      <c r="DI26" s="249"/>
      <c r="DJ26" s="249"/>
      <c r="DK26" s="249"/>
      <c r="DL26" s="249"/>
      <c r="DM26" s="249"/>
      <c r="DN26" s="249"/>
      <c r="DO26" s="249"/>
      <c r="DP26" s="249"/>
      <c r="DQ26" s="249"/>
      <c r="DR26" s="249"/>
      <c r="DS26" s="249"/>
      <c r="DT26" s="249"/>
      <c r="DU26" s="249"/>
      <c r="DV26" s="249"/>
      <c r="DW26" s="249"/>
      <c r="DX26" s="249"/>
      <c r="DY26" s="249"/>
      <c r="DZ26" s="249"/>
      <c r="EA26" s="249"/>
      <c r="EB26" s="249"/>
      <c r="EC26" s="249"/>
      <c r="ED26" s="249"/>
      <c r="EE26" s="249"/>
      <c r="EF26" s="249"/>
      <c r="EG26" s="249"/>
      <c r="EH26" s="249"/>
      <c r="EI26" s="249"/>
      <c r="EJ26" s="249"/>
      <c r="EK26" s="249"/>
      <c r="EL26" s="249"/>
      <c r="EM26" s="249"/>
      <c r="EN26" s="249"/>
      <c r="EO26" s="249"/>
      <c r="EP26" s="249"/>
      <c r="EQ26" s="249"/>
      <c r="ER26" s="249"/>
      <c r="ES26" s="249"/>
      <c r="ET26" s="249"/>
      <c r="EU26" s="249"/>
      <c r="EV26" s="249"/>
      <c r="EW26" s="249"/>
      <c r="EX26" s="249"/>
      <c r="EY26" s="249"/>
      <c r="EZ26" s="249"/>
      <c r="FA26" s="249"/>
      <c r="FB26" s="249"/>
      <c r="FC26" s="249"/>
      <c r="FD26" s="249"/>
      <c r="FE26" s="249"/>
      <c r="FF26" s="249"/>
      <c r="FG26" s="249"/>
    </row>
    <row r="27" spans="1:163" s="252" customFormat="1" ht="14.15" customHeight="1" x14ac:dyDescent="0.35">
      <c r="A27" s="248"/>
      <c r="B27" s="249"/>
      <c r="C27" s="698"/>
      <c r="D27" s="275" t="s">
        <v>135</v>
      </c>
      <c r="E27" s="259">
        <f>H14</f>
        <v>0</v>
      </c>
      <c r="F27" s="268">
        <f>H11</f>
        <v>0</v>
      </c>
      <c r="G27" s="250"/>
      <c r="H27" s="250"/>
      <c r="I27" s="251"/>
      <c r="J27" s="249"/>
      <c r="K27" s="249"/>
      <c r="L27" s="709"/>
      <c r="M27" s="275" t="s">
        <v>137</v>
      </c>
      <c r="N27" s="259" t="e">
        <f>R14</f>
        <v>#REF!</v>
      </c>
      <c r="O27" s="260" t="e">
        <f>R11</f>
        <v>#REF!</v>
      </c>
      <c r="P27" s="261"/>
      <c r="Q27" s="261"/>
      <c r="R27" s="248"/>
      <c r="S27" s="249"/>
      <c r="T27" s="705"/>
      <c r="U27" s="275" t="s">
        <v>135</v>
      </c>
      <c r="V27" s="259" t="e">
        <f>W15</f>
        <v>#REF!</v>
      </c>
      <c r="W27" s="259" t="e">
        <f>W12</f>
        <v>#REF!</v>
      </c>
      <c r="X27" s="248"/>
      <c r="Y27" s="248"/>
      <c r="Z27" s="248"/>
      <c r="AA27" s="248"/>
      <c r="AB27" s="248"/>
      <c r="AC27" s="249"/>
      <c r="AD27" s="249"/>
      <c r="AE27" s="249"/>
      <c r="AF27" s="249"/>
      <c r="AG27" s="249"/>
      <c r="AH27" s="249"/>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9"/>
      <c r="BS27" s="249"/>
      <c r="BT27" s="249"/>
      <c r="BU27" s="249"/>
      <c r="BV27" s="249"/>
      <c r="BW27" s="249"/>
      <c r="BX27" s="249"/>
      <c r="BY27" s="249"/>
      <c r="BZ27" s="249"/>
      <c r="CA27" s="249"/>
      <c r="CB27" s="249"/>
      <c r="CC27" s="249"/>
      <c r="CD27" s="249"/>
      <c r="CE27" s="249"/>
      <c r="CF27" s="249"/>
      <c r="CG27" s="249"/>
      <c r="CH27" s="249"/>
      <c r="CI27" s="249"/>
      <c r="CJ27" s="249"/>
      <c r="CK27" s="249"/>
      <c r="CL27" s="249"/>
      <c r="CM27" s="249"/>
      <c r="CN27" s="249"/>
      <c r="CO27" s="249"/>
      <c r="CP27" s="249"/>
      <c r="CQ27" s="249"/>
      <c r="CR27" s="249"/>
      <c r="CS27" s="249"/>
      <c r="CT27" s="249"/>
      <c r="CU27" s="249"/>
      <c r="CV27" s="249"/>
      <c r="CW27" s="249"/>
      <c r="CX27" s="249"/>
      <c r="CY27" s="249"/>
      <c r="CZ27" s="249"/>
      <c r="DA27" s="249"/>
      <c r="DB27" s="249"/>
      <c r="DC27" s="249"/>
      <c r="DD27" s="249"/>
      <c r="DE27" s="249"/>
      <c r="DF27" s="249"/>
      <c r="DG27" s="249"/>
      <c r="DH27" s="249"/>
      <c r="DI27" s="249"/>
      <c r="DJ27" s="249"/>
      <c r="DK27" s="249"/>
      <c r="DL27" s="249"/>
      <c r="DM27" s="249"/>
      <c r="DN27" s="249"/>
      <c r="DO27" s="249"/>
      <c r="DP27" s="249"/>
      <c r="DQ27" s="249"/>
      <c r="DR27" s="249"/>
      <c r="DS27" s="249"/>
      <c r="DT27" s="249"/>
      <c r="DU27" s="249"/>
      <c r="DV27" s="249"/>
      <c r="DW27" s="249"/>
      <c r="DX27" s="249"/>
      <c r="DY27" s="249"/>
      <c r="DZ27" s="249"/>
      <c r="EA27" s="249"/>
      <c r="EB27" s="249"/>
      <c r="EC27" s="249"/>
      <c r="ED27" s="249"/>
      <c r="EE27" s="249"/>
      <c r="EF27" s="249"/>
      <c r="EG27" s="249"/>
      <c r="EH27" s="249"/>
      <c r="EI27" s="249"/>
      <c r="EJ27" s="249"/>
      <c r="EK27" s="249"/>
      <c r="EL27" s="249"/>
      <c r="EM27" s="249"/>
      <c r="EN27" s="249"/>
      <c r="EO27" s="249"/>
      <c r="EP27" s="249"/>
      <c r="EQ27" s="249"/>
      <c r="ER27" s="249"/>
      <c r="ES27" s="249"/>
      <c r="ET27" s="249"/>
      <c r="EU27" s="249"/>
      <c r="EV27" s="249"/>
      <c r="EW27" s="249"/>
      <c r="EX27" s="249"/>
      <c r="EY27" s="249"/>
      <c r="EZ27" s="249"/>
      <c r="FA27" s="249"/>
      <c r="FB27" s="249"/>
      <c r="FC27" s="249"/>
      <c r="FD27" s="249"/>
      <c r="FE27" s="249"/>
      <c r="FF27" s="249"/>
      <c r="FG27" s="249"/>
    </row>
    <row r="28" spans="1:163" s="252" customFormat="1" ht="14.15" customHeight="1" x14ac:dyDescent="0.35">
      <c r="A28" s="248"/>
      <c r="B28" s="249"/>
      <c r="C28" s="698"/>
      <c r="D28" s="275" t="s">
        <v>136</v>
      </c>
      <c r="E28" s="259">
        <f>I14</f>
        <v>0</v>
      </c>
      <c r="F28" s="268">
        <f>I11</f>
        <v>0</v>
      </c>
      <c r="G28" s="250"/>
      <c r="H28" s="250"/>
      <c r="I28" s="251"/>
      <c r="J28" s="249"/>
      <c r="K28" s="249"/>
      <c r="L28" s="710" t="s">
        <v>54</v>
      </c>
      <c r="M28" s="275" t="s">
        <v>138</v>
      </c>
      <c r="N28" s="262" t="e">
        <f>N15</f>
        <v>#REF!</v>
      </c>
      <c r="O28" s="263" t="e">
        <f>N12</f>
        <v>#REF!</v>
      </c>
      <c r="P28" s="261"/>
      <c r="Q28" s="261"/>
      <c r="R28" s="248"/>
      <c r="S28" s="249"/>
      <c r="T28" s="705"/>
      <c r="U28" s="275" t="s">
        <v>136</v>
      </c>
      <c r="V28" s="259" t="e">
        <f>X15</f>
        <v>#REF!</v>
      </c>
      <c r="W28" s="259" t="e">
        <f>X12</f>
        <v>#REF!</v>
      </c>
      <c r="X28" s="248"/>
      <c r="Y28" s="248"/>
      <c r="Z28" s="248"/>
      <c r="AA28" s="248"/>
      <c r="AB28" s="248"/>
      <c r="AC28" s="249"/>
      <c r="AD28" s="249"/>
      <c r="AE28" s="249"/>
      <c r="AF28" s="249"/>
      <c r="AG28" s="249"/>
      <c r="AH28" s="249"/>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9"/>
      <c r="BS28" s="249"/>
      <c r="BT28" s="249"/>
      <c r="BU28" s="249"/>
      <c r="BV28" s="249"/>
      <c r="BW28" s="249"/>
      <c r="BX28" s="249"/>
      <c r="BY28" s="249"/>
      <c r="BZ28" s="249"/>
      <c r="CA28" s="249"/>
      <c r="CB28" s="249"/>
      <c r="CC28" s="249"/>
      <c r="CD28" s="249"/>
      <c r="CE28" s="249"/>
      <c r="CF28" s="249"/>
      <c r="CG28" s="249"/>
      <c r="CH28" s="249"/>
      <c r="CI28" s="249"/>
      <c r="CJ28" s="249"/>
      <c r="CK28" s="249"/>
      <c r="CL28" s="249"/>
      <c r="CM28" s="249"/>
      <c r="CN28" s="249"/>
      <c r="CO28" s="249"/>
      <c r="CP28" s="249"/>
      <c r="CQ28" s="249"/>
      <c r="CR28" s="249"/>
      <c r="CS28" s="249"/>
      <c r="CT28" s="249"/>
      <c r="CU28" s="249"/>
      <c r="CV28" s="249"/>
      <c r="CW28" s="249"/>
      <c r="CX28" s="249"/>
      <c r="CY28" s="249"/>
      <c r="CZ28" s="249"/>
      <c r="DA28" s="249"/>
      <c r="DB28" s="249"/>
      <c r="DC28" s="249"/>
      <c r="DD28" s="249"/>
      <c r="DE28" s="249"/>
      <c r="DF28" s="249"/>
      <c r="DG28" s="249"/>
      <c r="DH28" s="249"/>
      <c r="DI28" s="249"/>
      <c r="DJ28" s="249"/>
      <c r="DK28" s="249"/>
      <c r="DL28" s="249"/>
      <c r="DM28" s="249"/>
      <c r="DN28" s="249"/>
      <c r="DO28" s="249"/>
      <c r="DP28" s="249"/>
      <c r="DQ28" s="249"/>
      <c r="DR28" s="249"/>
      <c r="DS28" s="249"/>
      <c r="DT28" s="249"/>
      <c r="DU28" s="249"/>
      <c r="DV28" s="249"/>
      <c r="DW28" s="249"/>
      <c r="DX28" s="249"/>
      <c r="DY28" s="249"/>
      <c r="DZ28" s="249"/>
      <c r="EA28" s="249"/>
      <c r="EB28" s="249"/>
      <c r="EC28" s="249"/>
      <c r="ED28" s="249"/>
      <c r="EE28" s="249"/>
      <c r="EF28" s="249"/>
      <c r="EG28" s="249"/>
      <c r="EH28" s="249"/>
      <c r="EI28" s="249"/>
      <c r="EJ28" s="249"/>
      <c r="EK28" s="249"/>
      <c r="EL28" s="249"/>
      <c r="EM28" s="249"/>
      <c r="EN28" s="249"/>
      <c r="EO28" s="249"/>
      <c r="EP28" s="249"/>
      <c r="EQ28" s="249"/>
      <c r="ER28" s="249"/>
      <c r="ES28" s="249"/>
      <c r="ET28" s="249"/>
      <c r="EU28" s="249"/>
      <c r="EV28" s="249"/>
      <c r="EW28" s="249"/>
      <c r="EX28" s="249"/>
      <c r="EY28" s="249"/>
      <c r="EZ28" s="249"/>
      <c r="FA28" s="249"/>
      <c r="FB28" s="249"/>
      <c r="FC28" s="249"/>
      <c r="FD28" s="249"/>
      <c r="FE28" s="249"/>
      <c r="FF28" s="249"/>
      <c r="FG28" s="249"/>
    </row>
    <row r="29" spans="1:163" s="252" customFormat="1" ht="14.15" customHeight="1" x14ac:dyDescent="0.35">
      <c r="A29" s="248"/>
      <c r="B29" s="249"/>
      <c r="C29" s="698"/>
      <c r="D29" s="275" t="s">
        <v>137</v>
      </c>
      <c r="E29" s="259" t="e">
        <f>J14</f>
        <v>#REF!</v>
      </c>
      <c r="F29" s="268" t="e">
        <f>J11</f>
        <v>#REF!</v>
      </c>
      <c r="G29" s="250"/>
      <c r="H29" s="250"/>
      <c r="I29" s="251"/>
      <c r="J29" s="249"/>
      <c r="K29" s="249"/>
      <c r="L29" s="708"/>
      <c r="M29" s="275" t="s">
        <v>12</v>
      </c>
      <c r="N29" s="259" t="e">
        <f>O15</f>
        <v>#REF!</v>
      </c>
      <c r="O29" s="260" t="e">
        <f>O12</f>
        <v>#REF!</v>
      </c>
      <c r="P29" s="261"/>
      <c r="Q29" s="261"/>
      <c r="R29" s="248"/>
      <c r="S29" s="249"/>
      <c r="T29" s="705"/>
      <c r="U29" s="275" t="s">
        <v>137</v>
      </c>
      <c r="V29" s="259" t="e">
        <f>Y15</f>
        <v>#REF!</v>
      </c>
      <c r="W29" s="259" t="e">
        <f>Y12</f>
        <v>#REF!</v>
      </c>
      <c r="X29" s="248"/>
      <c r="Y29" s="248"/>
      <c r="Z29" s="248"/>
      <c r="AA29" s="248"/>
      <c r="AB29" s="248"/>
      <c r="AC29" s="249"/>
      <c r="AD29" s="249"/>
      <c r="AE29" s="249"/>
      <c r="AF29" s="249"/>
      <c r="AG29" s="249"/>
      <c r="AH29" s="249"/>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9"/>
      <c r="BS29" s="249"/>
      <c r="BT29" s="249"/>
      <c r="BU29" s="249"/>
      <c r="BV29" s="249"/>
      <c r="BW29" s="249"/>
      <c r="BX29" s="249"/>
      <c r="BY29" s="249"/>
      <c r="BZ29" s="249"/>
      <c r="CA29" s="249"/>
      <c r="CB29" s="249"/>
      <c r="CC29" s="249"/>
      <c r="CD29" s="249"/>
      <c r="CE29" s="249"/>
      <c r="CF29" s="249"/>
      <c r="CG29" s="249"/>
      <c r="CH29" s="249"/>
      <c r="CI29" s="249"/>
      <c r="CJ29" s="249"/>
      <c r="CK29" s="249"/>
      <c r="CL29" s="249"/>
      <c r="CM29" s="249"/>
      <c r="CN29" s="249"/>
      <c r="CO29" s="249"/>
      <c r="CP29" s="249"/>
      <c r="CQ29" s="249"/>
      <c r="CR29" s="249"/>
      <c r="CS29" s="249"/>
      <c r="CT29" s="249"/>
      <c r="CU29" s="249"/>
      <c r="CV29" s="249"/>
      <c r="CW29" s="249"/>
      <c r="CX29" s="249"/>
      <c r="CY29" s="249"/>
      <c r="CZ29" s="249"/>
      <c r="DA29" s="249"/>
      <c r="DB29" s="249"/>
      <c r="DC29" s="249"/>
      <c r="DD29" s="249"/>
      <c r="DE29" s="249"/>
      <c r="DF29" s="249"/>
      <c r="DG29" s="249"/>
      <c r="DH29" s="249"/>
      <c r="DI29" s="249"/>
      <c r="DJ29" s="249"/>
      <c r="DK29" s="249"/>
      <c r="DL29" s="249"/>
      <c r="DM29" s="249"/>
      <c r="DN29" s="249"/>
      <c r="DO29" s="249"/>
      <c r="DP29" s="249"/>
      <c r="DQ29" s="249"/>
      <c r="DR29" s="249"/>
      <c r="DS29" s="249"/>
      <c r="DT29" s="249"/>
      <c r="DU29" s="249"/>
      <c r="DV29" s="249"/>
      <c r="DW29" s="249"/>
      <c r="DX29" s="249"/>
      <c r="DY29" s="249"/>
      <c r="DZ29" s="249"/>
      <c r="EA29" s="249"/>
      <c r="EB29" s="249"/>
      <c r="EC29" s="249"/>
      <c r="ED29" s="249"/>
      <c r="EE29" s="249"/>
      <c r="EF29" s="249"/>
      <c r="EG29" s="249"/>
      <c r="EH29" s="249"/>
      <c r="EI29" s="249"/>
      <c r="EJ29" s="249"/>
      <c r="EK29" s="249"/>
      <c r="EL29" s="249"/>
      <c r="EM29" s="249"/>
      <c r="EN29" s="249"/>
      <c r="EO29" s="249"/>
      <c r="EP29" s="249"/>
      <c r="EQ29" s="249"/>
      <c r="ER29" s="249"/>
      <c r="ES29" s="249"/>
      <c r="ET29" s="249"/>
      <c r="EU29" s="249"/>
      <c r="EV29" s="249"/>
      <c r="EW29" s="249"/>
      <c r="EX29" s="249"/>
      <c r="EY29" s="249"/>
      <c r="EZ29" s="249"/>
      <c r="FA29" s="249"/>
      <c r="FB29" s="249"/>
      <c r="FC29" s="249"/>
      <c r="FD29" s="249"/>
      <c r="FE29" s="249"/>
      <c r="FF29" s="249"/>
      <c r="FG29" s="249"/>
    </row>
    <row r="30" spans="1:163" s="252" customFormat="1" ht="14.4" customHeight="1" x14ac:dyDescent="0.35">
      <c r="A30" s="248"/>
      <c r="B30" s="249"/>
      <c r="C30" s="698" t="s">
        <v>54</v>
      </c>
      <c r="D30" s="275" t="s">
        <v>131</v>
      </c>
      <c r="E30" s="259">
        <f>E15</f>
        <v>0.30328220858895705</v>
      </c>
      <c r="F30" s="263">
        <f>E12</f>
        <v>0.30328220858895705</v>
      </c>
      <c r="G30" s="250"/>
      <c r="H30" s="250"/>
      <c r="I30" s="251"/>
      <c r="J30" s="249"/>
      <c r="K30" s="249"/>
      <c r="L30" s="708"/>
      <c r="M30" s="275" t="s">
        <v>139</v>
      </c>
      <c r="N30" s="259" t="e">
        <f>P15</f>
        <v>#REF!</v>
      </c>
      <c r="O30" s="260" t="e">
        <f>P12</f>
        <v>#REF!</v>
      </c>
      <c r="P30" s="261"/>
      <c r="Q30" s="261"/>
      <c r="R30" s="248"/>
      <c r="S30" s="249"/>
      <c r="T30"/>
      <c r="U30"/>
      <c r="V30"/>
      <c r="W30" s="248"/>
      <c r="X30" s="248"/>
      <c r="Y30" s="248"/>
      <c r="Z30" s="248"/>
      <c r="AA30" s="248"/>
      <c r="AB30" s="248"/>
      <c r="AC30" s="249"/>
      <c r="AD30" s="249"/>
      <c r="AE30" s="249"/>
      <c r="AF30" s="249"/>
      <c r="AG30" s="249"/>
      <c r="AH30" s="249"/>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9"/>
      <c r="BS30" s="249"/>
      <c r="BT30" s="249"/>
      <c r="BU30" s="249"/>
      <c r="BV30" s="249"/>
      <c r="BW30" s="249"/>
      <c r="BX30" s="249"/>
      <c r="BY30" s="249"/>
      <c r="BZ30" s="249"/>
      <c r="CA30" s="249"/>
      <c r="CB30" s="249"/>
      <c r="CC30" s="249"/>
      <c r="CD30" s="249"/>
      <c r="CE30" s="249"/>
      <c r="CF30" s="249"/>
      <c r="CG30" s="249"/>
      <c r="CH30" s="249"/>
      <c r="CI30" s="249"/>
      <c r="CJ30" s="249"/>
      <c r="CK30" s="249"/>
      <c r="CL30" s="249"/>
      <c r="CM30" s="249"/>
      <c r="CN30" s="249"/>
      <c r="CO30" s="249"/>
      <c r="CP30" s="249"/>
      <c r="CQ30" s="249"/>
      <c r="CR30" s="249"/>
      <c r="CS30" s="249"/>
      <c r="CT30" s="249"/>
      <c r="CU30" s="249"/>
      <c r="CV30" s="249"/>
      <c r="CW30" s="249"/>
      <c r="CX30" s="249"/>
      <c r="CY30" s="249"/>
      <c r="CZ30" s="249"/>
      <c r="DA30" s="249"/>
      <c r="DB30" s="249"/>
      <c r="DC30" s="249"/>
      <c r="DD30" s="249"/>
      <c r="DE30" s="249"/>
      <c r="DF30" s="249"/>
      <c r="DG30" s="249"/>
      <c r="DH30" s="249"/>
      <c r="DI30" s="249"/>
      <c r="DJ30" s="249"/>
      <c r="DK30" s="249"/>
      <c r="DL30" s="249"/>
      <c r="DM30" s="249"/>
      <c r="DN30" s="249"/>
      <c r="DO30" s="249"/>
      <c r="DP30" s="249"/>
      <c r="DQ30" s="249"/>
      <c r="DR30" s="249"/>
      <c r="DS30" s="249"/>
      <c r="DT30" s="249"/>
      <c r="DU30" s="249"/>
      <c r="DV30" s="249"/>
      <c r="DW30" s="249"/>
      <c r="DX30" s="249"/>
      <c r="DY30" s="249"/>
      <c r="DZ30" s="249"/>
      <c r="EA30" s="249"/>
      <c r="EB30" s="249"/>
      <c r="EC30" s="249"/>
      <c r="ED30" s="249"/>
      <c r="EE30" s="249"/>
      <c r="EF30" s="249"/>
      <c r="EG30" s="249"/>
      <c r="EH30" s="249"/>
      <c r="EI30" s="249"/>
      <c r="EJ30" s="249"/>
      <c r="EK30" s="249"/>
      <c r="EL30" s="249"/>
      <c r="EM30" s="249"/>
      <c r="EN30" s="249"/>
      <c r="EO30" s="249"/>
      <c r="EP30" s="249"/>
      <c r="EQ30" s="249"/>
      <c r="ER30" s="249"/>
      <c r="ES30" s="249"/>
      <c r="ET30" s="249"/>
      <c r="EU30" s="249"/>
      <c r="EV30" s="249"/>
      <c r="EW30" s="249"/>
      <c r="EX30" s="249"/>
      <c r="EY30" s="249"/>
      <c r="EZ30" s="249"/>
      <c r="FA30" s="249"/>
      <c r="FB30" s="249"/>
      <c r="FC30" s="249"/>
      <c r="FD30" s="249"/>
      <c r="FE30" s="249"/>
      <c r="FF30" s="249"/>
      <c r="FG30" s="249"/>
    </row>
    <row r="31" spans="1:163" s="252" customFormat="1" ht="15.9" customHeight="1" x14ac:dyDescent="0.35">
      <c r="A31" s="248"/>
      <c r="B31" s="249"/>
      <c r="C31" s="698"/>
      <c r="D31" s="275" t="s">
        <v>134</v>
      </c>
      <c r="E31" s="262" t="e">
        <f>F15</f>
        <v>#REF!</v>
      </c>
      <c r="F31" s="263" t="e">
        <f>F12</f>
        <v>#REF!</v>
      </c>
      <c r="G31" s="250"/>
      <c r="H31" s="250"/>
      <c r="I31" s="251"/>
      <c r="J31" s="249"/>
      <c r="K31" s="249"/>
      <c r="L31" s="708"/>
      <c r="M31" s="275" t="s">
        <v>140</v>
      </c>
      <c r="N31" s="259" t="e">
        <f>Q15</f>
        <v>#REF!</v>
      </c>
      <c r="O31" s="260" t="e">
        <f>Q12</f>
        <v>#REF!</v>
      </c>
      <c r="P31" s="261"/>
      <c r="Q31" s="261"/>
      <c r="R31" s="248"/>
      <c r="S31" s="248"/>
      <c r="T31" s="248"/>
      <c r="U31" s="248"/>
      <c r="V31" s="248"/>
      <c r="W31" s="248"/>
      <c r="X31" s="248"/>
      <c r="Y31" s="248"/>
      <c r="Z31" s="248"/>
      <c r="AA31" s="248"/>
      <c r="AB31" s="248"/>
      <c r="AC31" s="249"/>
      <c r="AD31" s="249"/>
      <c r="AE31" s="249"/>
      <c r="AF31" s="249"/>
      <c r="AG31" s="249"/>
      <c r="AH31" s="249"/>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c r="DV31" s="249"/>
      <c r="DW31" s="249"/>
      <c r="DX31" s="249"/>
      <c r="DY31" s="249"/>
      <c r="DZ31" s="249"/>
      <c r="EA31" s="249"/>
      <c r="EB31" s="249"/>
      <c r="EC31" s="249"/>
      <c r="ED31" s="249"/>
      <c r="EE31" s="249"/>
      <c r="EF31" s="249"/>
      <c r="EG31" s="249"/>
      <c r="EH31" s="249"/>
      <c r="EI31" s="249"/>
      <c r="EJ31" s="249"/>
      <c r="EK31" s="249"/>
      <c r="EL31" s="249"/>
      <c r="EM31" s="249"/>
      <c r="EN31" s="249"/>
      <c r="EO31" s="249"/>
      <c r="EP31" s="249"/>
      <c r="EQ31" s="249"/>
      <c r="ER31" s="249"/>
      <c r="ES31" s="249"/>
      <c r="ET31" s="249"/>
      <c r="EU31" s="249"/>
      <c r="EV31" s="249"/>
      <c r="EW31" s="249"/>
      <c r="EX31" s="249"/>
      <c r="EY31" s="249"/>
      <c r="EZ31" s="249"/>
      <c r="FA31" s="249"/>
      <c r="FB31" s="249"/>
      <c r="FC31" s="249"/>
      <c r="FD31" s="249"/>
      <c r="FE31" s="249"/>
      <c r="FF31" s="249"/>
      <c r="FG31" s="249"/>
    </row>
    <row r="32" spans="1:163" s="252" customFormat="1" ht="14.15" customHeight="1" x14ac:dyDescent="0.35">
      <c r="A32" s="248"/>
      <c r="B32" s="249"/>
      <c r="C32" s="698"/>
      <c r="D32" s="275" t="s">
        <v>133</v>
      </c>
      <c r="E32" s="259">
        <f>G15</f>
        <v>0.2063144276115354</v>
      </c>
      <c r="F32" s="260">
        <f>G12</f>
        <v>0.2063144276115354</v>
      </c>
      <c r="G32" s="250"/>
      <c r="H32" s="250"/>
      <c r="I32" s="251"/>
      <c r="J32" s="249"/>
      <c r="K32" s="249"/>
      <c r="L32" s="711"/>
      <c r="M32" s="244" t="s">
        <v>141</v>
      </c>
      <c r="N32" s="264" t="e">
        <f>R15</f>
        <v>#REF!</v>
      </c>
      <c r="O32" s="265" t="e">
        <f>R12</f>
        <v>#REF!</v>
      </c>
      <c r="P32" s="261"/>
      <c r="Q32" s="261"/>
      <c r="R32" s="248"/>
      <c r="S32" s="248"/>
      <c r="T32" s="248"/>
      <c r="U32" s="248"/>
      <c r="V32" s="248"/>
      <c r="W32" s="248"/>
      <c r="X32" s="248"/>
      <c r="Y32" s="248"/>
      <c r="Z32" s="248"/>
      <c r="AA32" s="248"/>
      <c r="AB32" s="248"/>
      <c r="AC32" s="249"/>
      <c r="AD32" s="249"/>
      <c r="AE32" s="249"/>
      <c r="AF32" s="249"/>
      <c r="AG32" s="249"/>
      <c r="AH32" s="249"/>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9"/>
      <c r="BS32" s="249"/>
      <c r="BT32" s="249"/>
      <c r="BU32" s="249"/>
      <c r="BV32" s="249"/>
      <c r="BW32" s="249"/>
      <c r="BX32" s="249"/>
      <c r="BY32" s="249"/>
      <c r="BZ32" s="249"/>
      <c r="CA32" s="249"/>
      <c r="CB32" s="249"/>
      <c r="CC32" s="249"/>
      <c r="CD32" s="249"/>
      <c r="CE32" s="249"/>
      <c r="CF32" s="249"/>
      <c r="CG32" s="249"/>
      <c r="CH32" s="249"/>
      <c r="CI32" s="249"/>
      <c r="CJ32" s="249"/>
      <c r="CK32" s="249"/>
      <c r="CL32" s="249"/>
      <c r="CM32" s="249"/>
      <c r="CN32" s="249"/>
      <c r="CO32" s="249"/>
      <c r="CP32" s="249"/>
      <c r="CQ32" s="249"/>
      <c r="CR32" s="249"/>
      <c r="CS32" s="249"/>
      <c r="CT32" s="249"/>
      <c r="CU32" s="249"/>
      <c r="CV32" s="249"/>
      <c r="CW32" s="249"/>
      <c r="CX32" s="249"/>
      <c r="CY32" s="249"/>
      <c r="CZ32" s="249"/>
      <c r="DA32" s="249"/>
      <c r="DB32" s="249"/>
      <c r="DC32" s="249"/>
      <c r="DD32" s="249"/>
      <c r="DE32" s="249"/>
      <c r="DF32" s="249"/>
      <c r="DG32" s="249"/>
      <c r="DH32" s="249"/>
      <c r="DI32" s="249"/>
      <c r="DJ32" s="249"/>
      <c r="DK32" s="249"/>
      <c r="DL32" s="249"/>
      <c r="DM32" s="249"/>
      <c r="DN32" s="249"/>
      <c r="DO32" s="249"/>
      <c r="DP32" s="249"/>
      <c r="DQ32" s="249"/>
      <c r="DR32" s="249"/>
      <c r="DS32" s="249"/>
      <c r="DT32" s="249"/>
      <c r="DU32" s="249"/>
      <c r="DV32" s="249"/>
      <c r="DW32" s="249"/>
      <c r="DX32" s="249"/>
      <c r="DY32" s="249"/>
      <c r="DZ32" s="249"/>
      <c r="EA32" s="249"/>
      <c r="EB32" s="249"/>
      <c r="EC32" s="249"/>
      <c r="ED32" s="249"/>
      <c r="EE32" s="249"/>
      <c r="EF32" s="249"/>
      <c r="EG32" s="249"/>
      <c r="EH32" s="249"/>
      <c r="EI32" s="249"/>
      <c r="EJ32" s="249"/>
      <c r="EK32" s="249"/>
      <c r="EL32" s="249"/>
      <c r="EM32" s="249"/>
      <c r="EN32" s="249"/>
      <c r="EO32" s="249"/>
      <c r="EP32" s="249"/>
      <c r="EQ32" s="249"/>
      <c r="ER32" s="249"/>
      <c r="ES32" s="249"/>
      <c r="ET32" s="249"/>
      <c r="EU32" s="249"/>
      <c r="EV32" s="249"/>
      <c r="EW32" s="249"/>
      <c r="EX32" s="249"/>
      <c r="EY32" s="249"/>
      <c r="EZ32" s="249"/>
      <c r="FA32" s="249"/>
      <c r="FB32" s="249"/>
      <c r="FC32" s="249"/>
      <c r="FD32" s="249"/>
      <c r="FE32" s="249"/>
      <c r="FF32" s="249"/>
      <c r="FG32" s="249"/>
    </row>
    <row r="33" spans="1:163" s="252" customFormat="1" ht="15.9" customHeight="1" x14ac:dyDescent="0.35">
      <c r="A33" s="248"/>
      <c r="B33" s="249"/>
      <c r="C33" s="698"/>
      <c r="D33" s="275" t="s">
        <v>135</v>
      </c>
      <c r="E33" s="259">
        <f>H15</f>
        <v>0.15129724691512597</v>
      </c>
      <c r="F33" s="260">
        <f>H12</f>
        <v>0.15129724691512597</v>
      </c>
      <c r="G33" s="250"/>
      <c r="H33" s="250"/>
      <c r="I33" s="251"/>
      <c r="J33" s="249"/>
      <c r="K33" s="266"/>
      <c r="P33" s="261"/>
      <c r="Q33" s="261"/>
      <c r="R33" s="248"/>
      <c r="S33" s="248"/>
      <c r="T33" s="248"/>
      <c r="U33" s="248"/>
      <c r="V33" s="248"/>
      <c r="W33" s="248"/>
      <c r="X33" s="248"/>
      <c r="Y33" s="248"/>
      <c r="Z33" s="248"/>
      <c r="AA33" s="248"/>
      <c r="AB33" s="248"/>
      <c r="AC33" s="249"/>
      <c r="AD33" s="249"/>
      <c r="AE33" s="249"/>
      <c r="AF33" s="249"/>
      <c r="AG33" s="249"/>
      <c r="AH33" s="249"/>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9"/>
      <c r="BS33" s="249"/>
      <c r="BT33" s="249"/>
      <c r="BU33" s="249"/>
      <c r="BV33" s="249"/>
      <c r="BW33" s="249"/>
      <c r="BX33" s="249"/>
      <c r="BY33" s="249"/>
      <c r="BZ33" s="249"/>
      <c r="CA33" s="249"/>
      <c r="CB33" s="249"/>
      <c r="CC33" s="249"/>
      <c r="CD33" s="249"/>
      <c r="CE33" s="249"/>
      <c r="CF33" s="249"/>
      <c r="CG33" s="249"/>
      <c r="CH33" s="249"/>
      <c r="CI33" s="249"/>
      <c r="CJ33" s="249"/>
      <c r="CK33" s="249"/>
      <c r="CL33" s="249"/>
      <c r="CM33" s="249"/>
      <c r="CN33" s="249"/>
      <c r="CO33" s="249"/>
      <c r="CP33" s="249"/>
      <c r="CQ33" s="249"/>
      <c r="CR33" s="249"/>
      <c r="CS33" s="249"/>
      <c r="CT33" s="249"/>
      <c r="CU33" s="249"/>
      <c r="CV33" s="249"/>
      <c r="CW33" s="249"/>
      <c r="CX33" s="249"/>
      <c r="CY33" s="249"/>
      <c r="CZ33" s="249"/>
      <c r="DA33" s="249"/>
      <c r="DB33" s="249"/>
      <c r="DC33" s="249"/>
      <c r="DD33" s="249"/>
      <c r="DE33" s="249"/>
      <c r="DF33" s="249"/>
      <c r="DG33" s="249"/>
      <c r="DH33" s="249"/>
      <c r="DI33" s="249"/>
      <c r="DJ33" s="249"/>
      <c r="DK33" s="249"/>
      <c r="DL33" s="249"/>
      <c r="DM33" s="249"/>
      <c r="DN33" s="249"/>
      <c r="DO33" s="249"/>
      <c r="DP33" s="249"/>
      <c r="DQ33" s="249"/>
      <c r="DR33" s="249"/>
      <c r="DS33" s="249"/>
      <c r="DT33" s="249"/>
      <c r="DU33" s="249"/>
      <c r="DV33" s="249"/>
      <c r="DW33" s="249"/>
      <c r="DX33" s="249"/>
      <c r="DY33" s="249"/>
      <c r="DZ33" s="249"/>
      <c r="EA33" s="249"/>
      <c r="EB33" s="249"/>
      <c r="EC33" s="249"/>
      <c r="ED33" s="249"/>
      <c r="EE33" s="249"/>
      <c r="EF33" s="249"/>
      <c r="EG33" s="249"/>
      <c r="EH33" s="249"/>
      <c r="EI33" s="249"/>
      <c r="EJ33" s="249"/>
      <c r="EK33" s="249"/>
      <c r="EL33" s="249"/>
      <c r="EM33" s="249"/>
      <c r="EN33" s="249"/>
      <c r="EO33" s="249"/>
      <c r="EP33" s="249"/>
      <c r="EQ33" s="249"/>
      <c r="ER33" s="249"/>
      <c r="ES33" s="249"/>
      <c r="ET33" s="249"/>
      <c r="EU33" s="249"/>
      <c r="EV33" s="249"/>
      <c r="EW33" s="249"/>
      <c r="EX33" s="249"/>
      <c r="EY33" s="249"/>
      <c r="EZ33" s="249"/>
      <c r="FA33" s="249"/>
      <c r="FB33" s="249"/>
      <c r="FC33" s="249"/>
      <c r="FD33" s="249"/>
      <c r="FE33" s="249"/>
      <c r="FF33" s="249"/>
      <c r="FG33" s="249"/>
    </row>
    <row r="34" spans="1:163" s="249" customFormat="1" ht="14.15" customHeight="1" x14ac:dyDescent="0.35">
      <c r="B34" s="266"/>
      <c r="C34" s="698"/>
      <c r="D34" s="275" t="s">
        <v>136</v>
      </c>
      <c r="E34" s="259">
        <f>I15</f>
        <v>0.14131125178872286</v>
      </c>
      <c r="F34" s="260">
        <f>I12</f>
        <v>0.14131125178872286</v>
      </c>
      <c r="P34" s="261"/>
      <c r="Q34" s="261"/>
      <c r="R34" s="248"/>
    </row>
    <row r="35" spans="1:163" s="249" customFormat="1" ht="14.15" customHeight="1" x14ac:dyDescent="0.35">
      <c r="B35" s="266"/>
      <c r="C35" s="699"/>
      <c r="D35" s="244" t="s">
        <v>137</v>
      </c>
      <c r="E35" s="264" t="e">
        <f>J15</f>
        <v>#REF!</v>
      </c>
      <c r="F35" s="265" t="e">
        <f>J12</f>
        <v>#REF!</v>
      </c>
      <c r="P35" s="261"/>
      <c r="Q35" s="261"/>
      <c r="R35" s="248"/>
    </row>
    <row r="36" spans="1:163" s="249" customFormat="1" ht="14" x14ac:dyDescent="0.35">
      <c r="B36" s="266"/>
      <c r="D36" s="267"/>
      <c r="E36" s="250"/>
      <c r="F36" s="250"/>
      <c r="L36" s="266"/>
      <c r="M36" s="261"/>
      <c r="N36" s="261"/>
      <c r="O36" s="261"/>
      <c r="P36" s="261"/>
      <c r="Q36" s="261"/>
      <c r="R36" s="248"/>
    </row>
    <row r="37" spans="1:163" s="249" customFormat="1" ht="14" x14ac:dyDescent="0.35">
      <c r="B37" s="266"/>
      <c r="D37" s="266"/>
    </row>
    <row r="38" spans="1:163" s="249" customFormat="1" ht="14" x14ac:dyDescent="0.35">
      <c r="B38" s="266"/>
      <c r="D38" s="266"/>
    </row>
    <row r="39" spans="1:163" x14ac:dyDescent="0.35">
      <c r="AD39" s="14"/>
      <c r="AE39" s="14"/>
      <c r="AF39" s="14"/>
      <c r="AG39" s="14"/>
      <c r="AH39" s="14"/>
      <c r="AI39" s="14"/>
      <c r="AJ39" s="14"/>
    </row>
    <row r="40" spans="1:163" x14ac:dyDescent="0.35">
      <c r="AD40" s="14"/>
      <c r="AE40" s="14"/>
      <c r="AF40" s="14"/>
      <c r="AG40" s="14"/>
      <c r="AH40" s="14"/>
      <c r="AI40" s="14"/>
      <c r="AJ40" s="14"/>
    </row>
    <row r="41" spans="1:163" x14ac:dyDescent="0.35">
      <c r="AD41" s="14"/>
      <c r="AE41" s="14"/>
      <c r="AF41" s="14"/>
      <c r="AG41" s="14"/>
      <c r="AH41" s="14"/>
      <c r="AI41" s="14"/>
      <c r="AJ41" s="14"/>
    </row>
    <row r="42" spans="1:163" x14ac:dyDescent="0.35">
      <c r="AD42" s="14"/>
      <c r="AE42" s="14"/>
      <c r="AF42" s="14"/>
      <c r="AG42" s="14"/>
      <c r="AH42" s="14"/>
      <c r="AI42" s="14"/>
      <c r="AJ42" s="14"/>
    </row>
    <row r="43" spans="1:163" x14ac:dyDescent="0.35">
      <c r="AD43" s="14"/>
      <c r="AE43" s="14"/>
      <c r="AF43" s="14"/>
      <c r="AG43" s="14"/>
      <c r="AH43" s="14"/>
      <c r="AI43" s="14"/>
      <c r="AJ43" s="14"/>
    </row>
    <row r="44" spans="1:163" x14ac:dyDescent="0.35">
      <c r="AD44" s="14"/>
      <c r="AE44" s="14"/>
      <c r="AF44" s="14"/>
      <c r="AG44" s="14"/>
      <c r="AH44" s="14"/>
      <c r="AI44" s="14"/>
      <c r="AJ44" s="14"/>
    </row>
  </sheetData>
  <dataConsolidate/>
  <mergeCells count="24">
    <mergeCell ref="T26:T29"/>
    <mergeCell ref="D13:D15"/>
    <mergeCell ref="T18:T21"/>
    <mergeCell ref="T22:T25"/>
    <mergeCell ref="M13:M15"/>
    <mergeCell ref="L18:L22"/>
    <mergeCell ref="L23:L27"/>
    <mergeCell ref="L28:L32"/>
    <mergeCell ref="U13:U15"/>
    <mergeCell ref="U10:U12"/>
    <mergeCell ref="F8:F9"/>
    <mergeCell ref="N8:N9"/>
    <mergeCell ref="L8:L9"/>
    <mergeCell ref="M8:M9"/>
    <mergeCell ref="T8:T9"/>
    <mergeCell ref="U8:U9"/>
    <mergeCell ref="M10:M12"/>
    <mergeCell ref="C30:C35"/>
    <mergeCell ref="C24:C29"/>
    <mergeCell ref="C18:C23"/>
    <mergeCell ref="E8:E9"/>
    <mergeCell ref="D10:D12"/>
    <mergeCell ref="C8:C9"/>
    <mergeCell ref="D8:D9"/>
  </mergeCells>
  <conditionalFormatting sqref="E10:J15">
    <cfRule type="cellIs" dxfId="89" priority="19" operator="equal">
      <formula>0</formula>
    </cfRule>
    <cfRule type="cellIs" dxfId="88" priority="20" operator="greaterThan">
      <formula>10000</formula>
    </cfRule>
    <cfRule type="cellIs" dxfId="87" priority="21" operator="between">
      <formula>10</formula>
      <formula>9999.999</formula>
    </cfRule>
    <cfRule type="cellIs" dxfId="86" priority="22" operator="between">
      <formula>1</formula>
      <formula>9.999</formula>
    </cfRule>
    <cfRule type="cellIs" dxfId="85" priority="23" operator="between">
      <formula>0.1</formula>
      <formula>0.999</formula>
    </cfRule>
    <cfRule type="cellIs" dxfId="84" priority="24" operator="lessThan">
      <formula>0.1</formula>
    </cfRule>
  </conditionalFormatting>
  <conditionalFormatting sqref="N18:N22 N23:O32">
    <cfRule type="cellIs" dxfId="83" priority="63" operator="equal">
      <formula>0</formula>
    </cfRule>
    <cfRule type="cellIs" dxfId="82" priority="64" operator="greaterThan">
      <formula>10000</formula>
    </cfRule>
    <cfRule type="cellIs" dxfId="81" priority="65" operator="between">
      <formula>10</formula>
      <formula>9999.999</formula>
    </cfRule>
    <cfRule type="cellIs" dxfId="80" priority="66" operator="between">
      <formula>1</formula>
      <formula>9.999</formula>
    </cfRule>
    <cfRule type="cellIs" dxfId="79" priority="67" operator="between">
      <formula>0.1</formula>
      <formula>0.999</formula>
    </cfRule>
    <cfRule type="cellIs" dxfId="78" priority="68" operator="lessThan">
      <formula>0.1</formula>
    </cfRule>
  </conditionalFormatting>
  <conditionalFormatting sqref="N10:R15 E18:F35">
    <cfRule type="cellIs" dxfId="77" priority="13" operator="equal">
      <formula>0</formula>
    </cfRule>
    <cfRule type="cellIs" dxfId="76" priority="14" operator="greaterThan">
      <formula>10000</formula>
    </cfRule>
    <cfRule type="cellIs" dxfId="75" priority="15" operator="between">
      <formula>10</formula>
      <formula>9999.999</formula>
    </cfRule>
    <cfRule type="cellIs" dxfId="74" priority="16" operator="between">
      <formula>1</formula>
      <formula>9.999</formula>
    </cfRule>
    <cfRule type="cellIs" dxfId="73" priority="17" operator="between">
      <formula>0.1</formula>
      <formula>0.999</formula>
    </cfRule>
    <cfRule type="cellIs" dxfId="72" priority="18" operator="lessThan">
      <formula>0.1</formula>
    </cfRule>
  </conditionalFormatting>
  <conditionalFormatting sqref="O18">
    <cfRule type="cellIs" dxfId="71" priority="7" operator="equal">
      <formula>0</formula>
    </cfRule>
    <cfRule type="cellIs" dxfId="70" priority="8" operator="greaterThan">
      <formula>10000</formula>
    </cfRule>
    <cfRule type="cellIs" dxfId="69" priority="9" operator="between">
      <formula>10</formula>
      <formula>9999.999</formula>
    </cfRule>
    <cfRule type="cellIs" dxfId="68" priority="10" operator="between">
      <formula>1</formula>
      <formula>9.999</formula>
    </cfRule>
    <cfRule type="cellIs" dxfId="67" priority="11" operator="between">
      <formula>0.1</formula>
      <formula>0.999</formula>
    </cfRule>
    <cfRule type="cellIs" dxfId="66" priority="12" operator="lessThan">
      <formula>0.1</formula>
    </cfRule>
  </conditionalFormatting>
  <conditionalFormatting sqref="V18:W29">
    <cfRule type="cellIs" dxfId="65" priority="50" operator="equal">
      <formula>0</formula>
    </cfRule>
    <cfRule type="cellIs" dxfId="64" priority="51" operator="greaterThan">
      <formula>10000</formula>
    </cfRule>
    <cfRule type="cellIs" dxfId="63" priority="52" operator="between">
      <formula>10</formula>
      <formula>9999.999</formula>
    </cfRule>
    <cfRule type="cellIs" dxfId="62" priority="53" operator="between">
      <formula>1</formula>
      <formula>9.999</formula>
    </cfRule>
    <cfRule type="cellIs" dxfId="61" priority="54" operator="between">
      <formula>0.1</formula>
      <formula>0.999</formula>
    </cfRule>
    <cfRule type="cellIs" dxfId="60" priority="55" operator="lessThan">
      <formula>0.1</formula>
    </cfRule>
  </conditionalFormatting>
  <conditionalFormatting sqref="V10:Y15">
    <cfRule type="cellIs" dxfId="59" priority="43" operator="equal">
      <formula>0</formula>
    </cfRule>
    <cfRule type="cellIs" dxfId="58" priority="44" operator="greaterThan">
      <formula>10000</formula>
    </cfRule>
    <cfRule type="cellIs" dxfId="57" priority="45" operator="between">
      <formula>10</formula>
      <formula>9999.999</formula>
    </cfRule>
    <cfRule type="cellIs" dxfId="56" priority="46" operator="between">
      <formula>1</formula>
      <formula>9.999</formula>
    </cfRule>
    <cfRule type="cellIs" dxfId="55" priority="47" operator="between">
      <formula>0.1</formula>
      <formula>0.999</formula>
    </cfRule>
    <cfRule type="cellIs" dxfId="54" priority="48" operator="lessThan">
      <formula>0.1</formula>
    </cfRule>
  </conditionalFormatting>
  <dataValidations count="1">
    <dataValidation allowBlank="1" showErrorMessage="1" sqref="T15 C8 L8 C15 T8 G16:H33 E16:F16 E36:F36 L15" xr:uid="{7B646BD4-0B99-441C-A6EA-9739A344572C}"/>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53F0F86-9AC9-4DB1-9F07-D0F627B28BB6}">
          <x14:formula1>
            <xm:f>'List Values'!$B$2:$B$21</xm:f>
          </x14:formula1>
          <xm:sqref>C4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9850F-DA4A-4D3D-97A6-3832AB231949}">
  <sheetPr codeName="Sheet4">
    <tabColor theme="1"/>
  </sheetPr>
  <dimension ref="B2:Q29"/>
  <sheetViews>
    <sheetView workbookViewId="0">
      <selection activeCell="H23" sqref="H23"/>
    </sheetView>
  </sheetViews>
  <sheetFormatPr defaultColWidth="8.90625" defaultRowHeight="13" x14ac:dyDescent="0.3"/>
  <cols>
    <col min="1" max="1" width="3.54296875" style="5" customWidth="1"/>
    <col min="2" max="2" width="24.453125" style="5" customWidth="1"/>
    <col min="3" max="3" width="21" style="5" bestFit="1" customWidth="1"/>
    <col min="4" max="5" width="18.90625" style="5" customWidth="1"/>
    <col min="6" max="6" width="13.90625" style="5" customWidth="1"/>
    <col min="7" max="7" width="11.08984375" style="5" customWidth="1"/>
    <col min="8" max="8" width="15.90625" style="5" bestFit="1" customWidth="1"/>
    <col min="9" max="9" width="14.08984375" style="5" customWidth="1"/>
    <col min="10" max="10" width="13.90625" style="5" customWidth="1"/>
    <col min="11" max="11" width="15" style="5" customWidth="1"/>
    <col min="12" max="12" width="17.08984375" style="5" customWidth="1"/>
    <col min="13" max="13" width="11.08984375" style="5" customWidth="1"/>
    <col min="14" max="14" width="20.453125" style="5" bestFit="1" customWidth="1"/>
    <col min="15" max="15" width="14.54296875" style="5" bestFit="1" customWidth="1"/>
    <col min="16" max="16" width="22.54296875" style="5" bestFit="1" customWidth="1"/>
    <col min="17" max="17" width="23.90625" style="5" customWidth="1"/>
    <col min="18" max="18" width="18" style="5" customWidth="1"/>
    <col min="19" max="19" width="20.90625" style="5" bestFit="1" customWidth="1"/>
    <col min="20" max="20" width="14.90625" style="5" customWidth="1"/>
    <col min="21" max="21" width="6.54296875" style="5" customWidth="1"/>
    <col min="22" max="16384" width="8.90625" style="5"/>
  </cols>
  <sheetData>
    <row r="2" spans="2:16" ht="15" x14ac:dyDescent="0.3">
      <c r="B2" s="157" t="s">
        <v>142</v>
      </c>
    </row>
    <row r="3" spans="2:16" x14ac:dyDescent="0.3">
      <c r="L3" s="277"/>
    </row>
    <row r="4" spans="2:16" ht="30" customHeight="1" x14ac:dyDescent="0.3">
      <c r="B4" s="83" t="s">
        <v>143</v>
      </c>
      <c r="C4" s="84"/>
      <c r="D4" s="84"/>
      <c r="E4" s="84"/>
      <c r="F4" s="716" t="s">
        <v>144</v>
      </c>
      <c r="G4" s="716"/>
      <c r="H4" s="716" t="s">
        <v>145</v>
      </c>
      <c r="I4" s="716"/>
      <c r="J4" s="716" t="s">
        <v>146</v>
      </c>
      <c r="K4" s="717"/>
      <c r="N4" s="715" t="s">
        <v>147</v>
      </c>
      <c r="O4" s="716"/>
      <c r="P4" s="717"/>
    </row>
    <row r="5" spans="2:16" ht="26" x14ac:dyDescent="0.3">
      <c r="B5" s="85" t="s">
        <v>93</v>
      </c>
      <c r="C5" s="86" t="s">
        <v>77</v>
      </c>
      <c r="D5" s="86" t="s">
        <v>78</v>
      </c>
      <c r="E5" s="86" t="s">
        <v>148</v>
      </c>
      <c r="F5" s="87" t="s">
        <v>149</v>
      </c>
      <c r="G5" s="87" t="s">
        <v>150</v>
      </c>
      <c r="H5" s="87" t="s">
        <v>151</v>
      </c>
      <c r="I5" s="87" t="s">
        <v>152</v>
      </c>
      <c r="J5" s="87" t="s">
        <v>153</v>
      </c>
      <c r="K5" s="87" t="s">
        <v>154</v>
      </c>
      <c r="N5" s="88" t="s">
        <v>155</v>
      </c>
      <c r="O5" s="89" t="s">
        <v>156</v>
      </c>
      <c r="P5" s="90" t="s">
        <v>157</v>
      </c>
    </row>
    <row r="6" spans="2:16" x14ac:dyDescent="0.3">
      <c r="B6" s="91" t="s">
        <v>158</v>
      </c>
      <c r="C6" s="92" t="s">
        <v>159</v>
      </c>
      <c r="D6" s="93" t="s">
        <v>122</v>
      </c>
      <c r="E6" s="92" t="s">
        <v>159</v>
      </c>
      <c r="F6" s="94"/>
      <c r="G6" s="95"/>
      <c r="H6" s="94"/>
      <c r="I6" s="96"/>
      <c r="J6" s="97"/>
      <c r="K6" s="98"/>
      <c r="N6" s="99"/>
      <c r="O6" s="5" t="s">
        <v>160</v>
      </c>
      <c r="P6" s="100">
        <f>0.000001</f>
        <v>9.9999999999999995E-7</v>
      </c>
    </row>
    <row r="7" spans="2:16" x14ac:dyDescent="0.3">
      <c r="B7" s="24"/>
      <c r="C7" s="21"/>
      <c r="D7" s="101"/>
      <c r="E7" s="21"/>
      <c r="F7" s="28"/>
      <c r="G7" s="61"/>
      <c r="H7" s="28"/>
      <c r="I7" s="61"/>
      <c r="J7" s="102"/>
      <c r="K7" s="103"/>
      <c r="N7" s="99"/>
      <c r="O7" s="5" t="s">
        <v>161</v>
      </c>
      <c r="P7" s="100">
        <f>0.00001</f>
        <v>1.0000000000000001E-5</v>
      </c>
    </row>
    <row r="8" spans="2:16" x14ac:dyDescent="0.3">
      <c r="M8" s="278"/>
      <c r="N8" s="99" t="s">
        <v>162</v>
      </c>
      <c r="O8" s="5" t="s">
        <v>163</v>
      </c>
      <c r="P8" s="100">
        <f>0.0001</f>
        <v>1E-4</v>
      </c>
    </row>
    <row r="9" spans="2:16" ht="15" customHeight="1" x14ac:dyDescent="0.3">
      <c r="F9" s="104"/>
      <c r="G9" s="718" t="s">
        <v>35</v>
      </c>
      <c r="H9" s="718"/>
      <c r="I9" s="104" t="s">
        <v>27</v>
      </c>
      <c r="J9" s="104"/>
      <c r="K9" s="104"/>
      <c r="M9" s="278"/>
      <c r="N9" s="99"/>
      <c r="O9" s="5" t="s">
        <v>164</v>
      </c>
      <c r="P9" s="105"/>
    </row>
    <row r="10" spans="2:16" ht="15" customHeight="1" x14ac:dyDescent="0.3">
      <c r="B10" s="83" t="s">
        <v>165</v>
      </c>
      <c r="C10" s="712" t="s">
        <v>77</v>
      </c>
      <c r="D10" s="712"/>
      <c r="E10" s="712"/>
      <c r="F10" s="106"/>
      <c r="G10" s="713" t="s">
        <v>166</v>
      </c>
      <c r="H10" s="713"/>
      <c r="I10" s="713"/>
      <c r="J10" s="713"/>
      <c r="K10" s="713" t="s">
        <v>167</v>
      </c>
      <c r="L10" s="719"/>
      <c r="M10" s="107"/>
      <c r="N10" s="99"/>
      <c r="O10" s="5" t="s">
        <v>168</v>
      </c>
      <c r="P10" s="105"/>
    </row>
    <row r="11" spans="2:16" ht="30.75" customHeight="1" x14ac:dyDescent="0.3">
      <c r="B11" s="86" t="s">
        <v>9</v>
      </c>
      <c r="C11" s="86" t="s">
        <v>169</v>
      </c>
      <c r="D11" s="86" t="s">
        <v>170</v>
      </c>
      <c r="E11" s="86" t="s">
        <v>78</v>
      </c>
      <c r="F11" s="86" t="s">
        <v>148</v>
      </c>
      <c r="G11" s="87" t="s">
        <v>171</v>
      </c>
      <c r="H11" s="87" t="s">
        <v>172</v>
      </c>
      <c r="I11" s="87" t="s">
        <v>173</v>
      </c>
      <c r="J11" s="87" t="s">
        <v>174</v>
      </c>
      <c r="K11" s="87" t="s">
        <v>175</v>
      </c>
      <c r="L11" s="87" t="s">
        <v>176</v>
      </c>
      <c r="M11" s="107"/>
      <c r="N11" s="99"/>
      <c r="O11" s="5" t="s">
        <v>177</v>
      </c>
      <c r="P11" s="105"/>
    </row>
    <row r="12" spans="2:16" x14ac:dyDescent="0.3">
      <c r="B12" s="3" t="s">
        <v>295</v>
      </c>
      <c r="C12" s="355" t="s">
        <v>338</v>
      </c>
      <c r="D12" s="355" t="s">
        <v>340</v>
      </c>
      <c r="E12" s="108" t="s">
        <v>258</v>
      </c>
      <c r="F12" s="108" t="s">
        <v>62</v>
      </c>
      <c r="G12" s="375">
        <v>107</v>
      </c>
      <c r="H12" s="375">
        <v>8.82</v>
      </c>
      <c r="I12" s="376">
        <v>394</v>
      </c>
      <c r="J12" s="113">
        <v>30</v>
      </c>
      <c r="K12" s="281" t="s">
        <v>122</v>
      </c>
      <c r="L12" s="282" t="s">
        <v>122</v>
      </c>
      <c r="N12" s="109"/>
      <c r="O12" s="104" t="s">
        <v>178</v>
      </c>
      <c r="P12" s="110"/>
    </row>
    <row r="13" spans="2:16" x14ac:dyDescent="0.3">
      <c r="B13" s="3" t="s">
        <v>296</v>
      </c>
      <c r="C13" s="355" t="s">
        <v>338</v>
      </c>
      <c r="D13" s="355" t="s">
        <v>340</v>
      </c>
      <c r="E13" s="108" t="s">
        <v>258</v>
      </c>
      <c r="F13" s="108" t="s">
        <v>67</v>
      </c>
      <c r="G13" s="375">
        <v>55.8</v>
      </c>
      <c r="H13" s="375">
        <v>4.5999999999999996</v>
      </c>
      <c r="I13" s="375">
        <v>326</v>
      </c>
      <c r="J13" s="108">
        <v>30</v>
      </c>
      <c r="K13" s="281" t="s">
        <v>122</v>
      </c>
      <c r="L13" s="283" t="s">
        <v>122</v>
      </c>
    </row>
    <row r="14" spans="2:16" x14ac:dyDescent="0.3">
      <c r="B14" s="327" t="s">
        <v>297</v>
      </c>
      <c r="C14" s="355" t="s">
        <v>338</v>
      </c>
      <c r="D14" s="355" t="s">
        <v>340</v>
      </c>
      <c r="E14" s="108" t="s">
        <v>258</v>
      </c>
      <c r="F14" s="108" t="s">
        <v>72</v>
      </c>
      <c r="G14" s="375">
        <v>55.8</v>
      </c>
      <c r="H14" s="375">
        <v>4.5999999999999996</v>
      </c>
      <c r="I14" s="375">
        <v>326</v>
      </c>
      <c r="J14" s="108">
        <v>30</v>
      </c>
      <c r="K14" s="281" t="s">
        <v>122</v>
      </c>
      <c r="L14" s="283" t="s">
        <v>122</v>
      </c>
      <c r="N14" s="111" t="s">
        <v>179</v>
      </c>
    </row>
    <row r="15" spans="2:16" ht="15.5" x14ac:dyDescent="0.3">
      <c r="B15" s="112"/>
      <c r="C15" s="355"/>
      <c r="D15" s="355"/>
      <c r="E15" s="108"/>
      <c r="F15" s="108"/>
      <c r="G15" s="108"/>
      <c r="H15" s="108"/>
      <c r="I15" s="108"/>
      <c r="J15" s="108"/>
      <c r="K15" s="281"/>
      <c r="L15" s="283"/>
      <c r="N15" s="114">
        <f>24.45/O16</f>
        <v>8.2431475675128957E-2</v>
      </c>
      <c r="O15" s="115" t="s">
        <v>180</v>
      </c>
    </row>
    <row r="16" spans="2:16" ht="30" customHeight="1" x14ac:dyDescent="0.3">
      <c r="N16" s="114" t="s">
        <v>259</v>
      </c>
      <c r="O16" s="317">
        <v>296.61</v>
      </c>
      <c r="P16" s="5" t="s">
        <v>181</v>
      </c>
    </row>
    <row r="18" spans="16:17" ht="45" customHeight="1" x14ac:dyDescent="0.3"/>
    <row r="20" spans="16:17" ht="45" customHeight="1" x14ac:dyDescent="0.3"/>
    <row r="21" spans="16:17" ht="45" customHeight="1" x14ac:dyDescent="0.3"/>
    <row r="22" spans="16:17" ht="45" customHeight="1" x14ac:dyDescent="0.3"/>
    <row r="24" spans="16:17" ht="45" customHeight="1" x14ac:dyDescent="0.3"/>
    <row r="25" spans="16:17" x14ac:dyDescent="0.3">
      <c r="P25" s="714"/>
      <c r="Q25" s="714"/>
    </row>
    <row r="26" spans="16:17" x14ac:dyDescent="0.3">
      <c r="P26" s="28"/>
      <c r="Q26" s="68"/>
    </row>
    <row r="27" spans="16:17" x14ac:dyDescent="0.3">
      <c r="P27" s="17"/>
      <c r="Q27" s="116"/>
    </row>
    <row r="28" spans="16:17" x14ac:dyDescent="0.3">
      <c r="P28" s="17"/>
      <c r="Q28" s="116"/>
    </row>
    <row r="29" spans="16:17" ht="15" customHeight="1" x14ac:dyDescent="0.3">
      <c r="P29" s="101"/>
      <c r="Q29" s="15"/>
    </row>
  </sheetData>
  <sheetProtection algorithmName="SHA-512" hashValue="Q8qmwKU3MkG01io5SUj3G/iRb/15wZnVxjT5q22P9NQN0SSRONhOeE2jXmQ5Qf2wSGuf7A/sH+gApXq5zsyY3Q==" saltValue="zNV9sFPpjHJxDrsSLVb5zA==" spinCount="100000" sheet="1"/>
  <mergeCells count="9">
    <mergeCell ref="C10:E10"/>
    <mergeCell ref="G10:J10"/>
    <mergeCell ref="P25:Q25"/>
    <mergeCell ref="N4:P4"/>
    <mergeCell ref="G9:H9"/>
    <mergeCell ref="K10:L10"/>
    <mergeCell ref="F4:G4"/>
    <mergeCell ref="H4:I4"/>
    <mergeCell ref="J4:K4"/>
  </mergeCells>
  <phoneticPr fontId="2" type="noConversion"/>
  <pageMargins left="0.7" right="0.7" top="0.75" bottom="0.75" header="0.3" footer="0.3"/>
  <pageSetup orientation="portrait" horizontalDpi="1200" verticalDpi="1200" r:id="rId1"/>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2DC-4EE0-4CF0-B381-0DF510B873A9}">
  <sheetPr codeName="Sheet9">
    <tabColor theme="1"/>
  </sheetPr>
  <dimension ref="A1:AY57"/>
  <sheetViews>
    <sheetView workbookViewId="0">
      <selection activeCell="J30" sqref="J30"/>
    </sheetView>
  </sheetViews>
  <sheetFormatPr defaultColWidth="9.08984375" defaultRowHeight="13" x14ac:dyDescent="0.3"/>
  <cols>
    <col min="1" max="1" width="9.08984375" style="1"/>
    <col min="2" max="2" width="88.90625" style="1" bestFit="1" customWidth="1"/>
    <col min="3" max="3" width="9.08984375" style="1"/>
    <col min="4" max="4" width="38.90625" style="1" customWidth="1"/>
    <col min="5" max="5" width="21" style="1" customWidth="1"/>
    <col min="6" max="6" width="37.08984375" style="1" customWidth="1"/>
    <col min="7" max="7" width="25" style="1" customWidth="1"/>
    <col min="8" max="9" width="9.08984375" style="1"/>
    <col min="10" max="10" width="48.08984375" style="1" customWidth="1"/>
    <col min="11" max="11" width="8.90625" style="1" customWidth="1"/>
    <col min="12" max="13" width="22.90625" style="1" customWidth="1"/>
    <col min="14" max="14" width="23.08984375" style="1" customWidth="1"/>
    <col min="15" max="15" width="32.08984375" style="1" customWidth="1"/>
    <col min="16" max="17" width="52.08984375" style="1" customWidth="1"/>
    <col min="18" max="18" width="54.08984375" style="1" customWidth="1"/>
    <col min="19" max="19" width="32.453125" style="1" customWidth="1"/>
    <col min="20" max="20" width="35.90625" style="1" customWidth="1"/>
    <col min="21" max="21" width="27" style="1" customWidth="1"/>
    <col min="22" max="23" width="22.90625" style="1" customWidth="1"/>
    <col min="24" max="24" width="50.08984375" style="1" customWidth="1"/>
    <col min="25" max="26" width="30.08984375" style="1" customWidth="1"/>
    <col min="27" max="27" width="42.90625" style="1" customWidth="1"/>
    <col min="28" max="28" width="47.54296875" style="1" customWidth="1"/>
    <col min="29" max="29" width="31.453125" style="1" customWidth="1"/>
    <col min="30" max="30" width="47.08984375" style="1" customWidth="1"/>
    <col min="31" max="31" width="22.90625" style="1" customWidth="1"/>
    <col min="32" max="32" width="23.54296875" style="1" customWidth="1"/>
    <col min="33" max="33" width="35" style="1" customWidth="1"/>
    <col min="34" max="34" width="32.90625" style="1" customWidth="1"/>
    <col min="35" max="35" width="26.90625" style="1" customWidth="1"/>
    <col min="36" max="36" width="36.90625" style="1" customWidth="1"/>
    <col min="37" max="37" width="9.08984375" style="1"/>
    <col min="38" max="38" width="13.54296875" style="1" bestFit="1" customWidth="1"/>
    <col min="39" max="43" width="23" style="1" bestFit="1" customWidth="1"/>
    <col min="44" max="44" width="25" style="1" bestFit="1" customWidth="1"/>
    <col min="45" max="45" width="23" style="1" bestFit="1" customWidth="1"/>
    <col min="46" max="46" width="5.08984375" style="1" bestFit="1" customWidth="1"/>
    <col min="47" max="47" width="32.453125" style="1" bestFit="1" customWidth="1"/>
    <col min="48" max="48" width="41.90625" style="1" bestFit="1" customWidth="1"/>
    <col min="49" max="51" width="23" style="1" bestFit="1" customWidth="1"/>
    <col min="52" max="16384" width="9.08984375" style="1"/>
  </cols>
  <sheetData>
    <row r="1" spans="1:51" ht="13.5" thickBot="1" x14ac:dyDescent="0.35">
      <c r="A1" s="134"/>
      <c r="B1" s="135" t="s">
        <v>182</v>
      </c>
      <c r="C1" s="134"/>
      <c r="D1" s="136" t="s">
        <v>183</v>
      </c>
      <c r="E1" s="134"/>
      <c r="F1" s="136" t="s">
        <v>9</v>
      </c>
      <c r="G1" s="134"/>
      <c r="H1" s="134"/>
      <c r="I1" s="134"/>
      <c r="J1" s="134"/>
    </row>
    <row r="2" spans="1:51" ht="15.65" customHeight="1" thickTop="1" thickBot="1" x14ac:dyDescent="0.35">
      <c r="A2" s="137"/>
      <c r="B2" s="320" t="s">
        <v>33</v>
      </c>
      <c r="C2" s="134"/>
      <c r="D2" s="138" t="s">
        <v>184</v>
      </c>
      <c r="E2" s="134"/>
      <c r="F2" s="139" t="s">
        <v>73</v>
      </c>
      <c r="G2" s="134"/>
      <c r="H2" s="134"/>
      <c r="I2" s="134"/>
      <c r="J2" s="134"/>
      <c r="L2" s="720" t="s">
        <v>305</v>
      </c>
      <c r="M2" s="721"/>
      <c r="N2" s="721"/>
      <c r="O2" s="721"/>
      <c r="P2" s="721"/>
      <c r="Q2" s="721"/>
      <c r="R2" s="721"/>
      <c r="S2" s="721"/>
      <c r="T2" s="721"/>
      <c r="U2" s="721"/>
      <c r="V2" s="721"/>
      <c r="W2" s="721"/>
      <c r="X2" s="721"/>
      <c r="Y2" s="721"/>
      <c r="Z2" s="721"/>
      <c r="AA2" s="721"/>
      <c r="AB2" s="721"/>
      <c r="AC2" s="721"/>
      <c r="AD2" s="721"/>
      <c r="AE2" s="721"/>
      <c r="AF2" s="721"/>
      <c r="AG2" s="721"/>
      <c r="AH2" s="721"/>
      <c r="AI2" s="721"/>
      <c r="AJ2" s="722"/>
      <c r="AL2" s="723" t="s">
        <v>336</v>
      </c>
      <c r="AM2" s="724"/>
      <c r="AN2" s="724"/>
      <c r="AO2" s="724"/>
      <c r="AP2" s="724"/>
      <c r="AQ2" s="724"/>
      <c r="AR2" s="724"/>
      <c r="AS2" s="724"/>
      <c r="AT2" s="724"/>
      <c r="AU2" s="724"/>
      <c r="AV2" s="724"/>
      <c r="AW2" s="724"/>
      <c r="AX2" s="724"/>
      <c r="AY2" s="725"/>
    </row>
    <row r="3" spans="1:51" ht="13.5" thickBot="1" x14ac:dyDescent="0.35">
      <c r="A3" s="137"/>
      <c r="B3" s="321" t="s">
        <v>243</v>
      </c>
      <c r="C3" s="134"/>
      <c r="D3" s="140" t="s">
        <v>108</v>
      </c>
      <c r="E3" s="134"/>
      <c r="F3" s="141" t="s">
        <v>54</v>
      </c>
      <c r="G3" s="134"/>
      <c r="H3" s="134"/>
      <c r="I3" s="134"/>
      <c r="J3" s="134"/>
      <c r="L3" s="340" t="s">
        <v>33</v>
      </c>
      <c r="M3" s="340" t="s">
        <v>243</v>
      </c>
      <c r="N3" s="340" t="s">
        <v>244</v>
      </c>
      <c r="O3" s="340" t="s">
        <v>246</v>
      </c>
      <c r="P3" s="340" t="s">
        <v>277</v>
      </c>
      <c r="Q3" s="340" t="s">
        <v>278</v>
      </c>
      <c r="R3" s="340" t="s">
        <v>279</v>
      </c>
      <c r="S3" s="340" t="s">
        <v>291</v>
      </c>
      <c r="T3" s="340" t="s">
        <v>292</v>
      </c>
      <c r="U3" s="340" t="s">
        <v>245</v>
      </c>
      <c r="V3" s="340" t="s">
        <v>247</v>
      </c>
      <c r="W3" s="340" t="s">
        <v>248</v>
      </c>
      <c r="X3" s="340" t="s">
        <v>282</v>
      </c>
      <c r="Y3" s="340" t="s">
        <v>249</v>
      </c>
      <c r="Z3" s="340" t="s">
        <v>285</v>
      </c>
      <c r="AA3" s="340" t="s">
        <v>283</v>
      </c>
      <c r="AB3" s="340" t="s">
        <v>284</v>
      </c>
      <c r="AC3" s="340" t="s">
        <v>250</v>
      </c>
      <c r="AD3" s="340" t="s">
        <v>286</v>
      </c>
      <c r="AE3" s="340" t="s">
        <v>251</v>
      </c>
      <c r="AF3" s="340" t="s">
        <v>252</v>
      </c>
      <c r="AG3" s="340" t="s">
        <v>287</v>
      </c>
      <c r="AH3" s="340" t="s">
        <v>288</v>
      </c>
      <c r="AI3" s="340" t="s">
        <v>257</v>
      </c>
      <c r="AJ3" s="340" t="s">
        <v>289</v>
      </c>
      <c r="AL3" s="351" t="s">
        <v>263</v>
      </c>
      <c r="AM3" s="351" t="s">
        <v>264</v>
      </c>
      <c r="AN3" s="351" t="s">
        <v>265</v>
      </c>
      <c r="AO3" s="351" t="s">
        <v>266</v>
      </c>
      <c r="AP3" s="351" t="s">
        <v>267</v>
      </c>
      <c r="AQ3" s="351" t="s">
        <v>268</v>
      </c>
      <c r="AR3" s="351" t="s">
        <v>337</v>
      </c>
      <c r="AS3" s="351" t="s">
        <v>73</v>
      </c>
      <c r="AT3" s="351" t="s">
        <v>54</v>
      </c>
      <c r="AU3" s="351" t="s">
        <v>298</v>
      </c>
      <c r="AV3" s="351" t="s">
        <v>299</v>
      </c>
      <c r="AW3" s="351" t="s">
        <v>300</v>
      </c>
      <c r="AX3" s="351" t="s">
        <v>301</v>
      </c>
      <c r="AY3" s="351" t="s">
        <v>302</v>
      </c>
    </row>
    <row r="4" spans="1:51" ht="14" thickTop="1" thickBot="1" x14ac:dyDescent="0.35">
      <c r="A4" s="137"/>
      <c r="B4" s="321" t="s">
        <v>244</v>
      </c>
      <c r="C4" s="134"/>
      <c r="D4" s="134"/>
      <c r="E4" s="134"/>
      <c r="F4" s="117"/>
      <c r="G4" s="134"/>
      <c r="H4" s="134"/>
      <c r="I4" s="134"/>
      <c r="J4" s="134"/>
      <c r="L4" s="343" t="s">
        <v>263</v>
      </c>
      <c r="M4" s="343" t="s">
        <v>263</v>
      </c>
      <c r="N4" s="343" t="s">
        <v>263</v>
      </c>
      <c r="O4" s="343" t="s">
        <v>263</v>
      </c>
      <c r="P4" s="342" t="s">
        <v>73</v>
      </c>
      <c r="Q4" s="342" t="s">
        <v>73</v>
      </c>
      <c r="R4" s="342" t="s">
        <v>73</v>
      </c>
      <c r="S4" s="343" t="s">
        <v>263</v>
      </c>
      <c r="T4" s="343" t="s">
        <v>263</v>
      </c>
      <c r="U4" s="342" t="s">
        <v>73</v>
      </c>
      <c r="V4" s="343" t="s">
        <v>263</v>
      </c>
      <c r="W4" s="343" t="s">
        <v>263</v>
      </c>
      <c r="X4" s="343" t="s">
        <v>263</v>
      </c>
      <c r="Y4" s="343" t="s">
        <v>263</v>
      </c>
      <c r="Z4" s="342" t="s">
        <v>73</v>
      </c>
      <c r="AA4" s="342" t="s">
        <v>73</v>
      </c>
      <c r="AB4" s="342" t="s">
        <v>73</v>
      </c>
      <c r="AC4" s="342" t="s">
        <v>73</v>
      </c>
      <c r="AD4" s="343" t="s">
        <v>263</v>
      </c>
      <c r="AE4" s="342" t="s">
        <v>73</v>
      </c>
      <c r="AF4" s="342" t="s">
        <v>73</v>
      </c>
      <c r="AG4" s="342" t="s">
        <v>73</v>
      </c>
      <c r="AH4" s="342" t="s">
        <v>73</v>
      </c>
      <c r="AI4" s="342" t="s">
        <v>73</v>
      </c>
      <c r="AJ4" s="341" t="s">
        <v>298</v>
      </c>
      <c r="AL4" s="352" t="s">
        <v>107</v>
      </c>
      <c r="AM4" s="352" t="s">
        <v>107</v>
      </c>
      <c r="AN4" s="352" t="s">
        <v>107</v>
      </c>
      <c r="AO4" s="352" t="s">
        <v>269</v>
      </c>
      <c r="AP4" s="352" t="s">
        <v>107</v>
      </c>
      <c r="AQ4" s="352" t="s">
        <v>107</v>
      </c>
      <c r="AR4" s="352" t="s">
        <v>107</v>
      </c>
      <c r="AS4" s="352" t="s">
        <v>107</v>
      </c>
      <c r="AT4" s="352" t="s">
        <v>107</v>
      </c>
      <c r="AU4" s="352" t="s">
        <v>107</v>
      </c>
      <c r="AV4" s="352" t="s">
        <v>107</v>
      </c>
      <c r="AW4" s="352" t="s">
        <v>107</v>
      </c>
      <c r="AX4" s="352" t="s">
        <v>107</v>
      </c>
      <c r="AY4" s="352" t="s">
        <v>107</v>
      </c>
    </row>
    <row r="5" spans="1:51" ht="26.5" thickBot="1" x14ac:dyDescent="0.35">
      <c r="A5" s="137"/>
      <c r="B5" s="321" t="s">
        <v>246</v>
      </c>
      <c r="C5" s="134"/>
      <c r="D5" s="136" t="s">
        <v>87</v>
      </c>
      <c r="E5" s="134"/>
      <c r="F5" s="136"/>
      <c r="G5" s="142" t="s">
        <v>185</v>
      </c>
      <c r="H5" s="142" t="s">
        <v>186</v>
      </c>
      <c r="I5" s="118"/>
      <c r="J5" s="119"/>
      <c r="L5" s="345" t="s">
        <v>264</v>
      </c>
      <c r="M5" s="345" t="s">
        <v>264</v>
      </c>
      <c r="N5" s="345" t="s">
        <v>264</v>
      </c>
      <c r="O5" s="345" t="s">
        <v>264</v>
      </c>
      <c r="P5" s="317" t="s">
        <v>54</v>
      </c>
      <c r="Q5" s="317" t="s">
        <v>54</v>
      </c>
      <c r="R5" s="317" t="s">
        <v>54</v>
      </c>
      <c r="S5" s="345" t="s">
        <v>264</v>
      </c>
      <c r="T5" s="347" t="s">
        <v>264</v>
      </c>
      <c r="U5" s="317" t="s">
        <v>54</v>
      </c>
      <c r="V5" s="345" t="s">
        <v>264</v>
      </c>
      <c r="W5" s="345" t="s">
        <v>264</v>
      </c>
      <c r="X5" s="345" t="s">
        <v>264</v>
      </c>
      <c r="Y5" s="347" t="s">
        <v>264</v>
      </c>
      <c r="Z5" s="317" t="s">
        <v>54</v>
      </c>
      <c r="AA5" s="317" t="s">
        <v>54</v>
      </c>
      <c r="AB5" s="317" t="s">
        <v>54</v>
      </c>
      <c r="AC5" s="317" t="s">
        <v>54</v>
      </c>
      <c r="AD5" s="345" t="s">
        <v>264</v>
      </c>
      <c r="AE5" s="317" t="s">
        <v>54</v>
      </c>
      <c r="AF5" s="317" t="s">
        <v>54</v>
      </c>
      <c r="AG5" s="317" t="s">
        <v>54</v>
      </c>
      <c r="AH5" s="317" t="s">
        <v>54</v>
      </c>
      <c r="AI5" s="317" t="s">
        <v>54</v>
      </c>
      <c r="AJ5" s="330" t="s">
        <v>299</v>
      </c>
      <c r="AL5" s="330"/>
      <c r="AM5" s="330"/>
      <c r="AN5" s="330"/>
      <c r="AO5" s="330"/>
      <c r="AP5" s="330"/>
      <c r="AQ5" s="330" t="s">
        <v>270</v>
      </c>
      <c r="AR5" s="330"/>
      <c r="AS5" s="330"/>
      <c r="AT5" s="330"/>
      <c r="AU5" s="330"/>
      <c r="AV5" s="330"/>
      <c r="AW5" s="330"/>
      <c r="AX5" s="330"/>
      <c r="AY5" s="330"/>
    </row>
    <row r="6" spans="1:51" ht="13.5" thickTop="1" x14ac:dyDescent="0.3">
      <c r="A6" s="137"/>
      <c r="B6" s="321" t="s">
        <v>277</v>
      </c>
      <c r="C6" s="134"/>
      <c r="D6" s="143" t="s">
        <v>34</v>
      </c>
      <c r="E6" s="134"/>
      <c r="F6" s="120" t="s">
        <v>187</v>
      </c>
      <c r="G6" s="318">
        <v>296.61</v>
      </c>
      <c r="H6" s="121" t="s">
        <v>181</v>
      </c>
      <c r="I6" s="118"/>
      <c r="J6" s="134"/>
      <c r="L6" s="317" t="s">
        <v>265</v>
      </c>
      <c r="M6" s="317" t="s">
        <v>265</v>
      </c>
      <c r="N6" s="317" t="s">
        <v>265</v>
      </c>
      <c r="O6" s="317" t="s">
        <v>265</v>
      </c>
      <c r="P6" s="344"/>
      <c r="S6" s="317" t="s">
        <v>265</v>
      </c>
      <c r="T6" s="346" t="s">
        <v>265</v>
      </c>
      <c r="U6" s="348"/>
      <c r="V6" s="317" t="s">
        <v>265</v>
      </c>
      <c r="W6" s="317" t="s">
        <v>265</v>
      </c>
      <c r="X6" s="317" t="s">
        <v>265</v>
      </c>
      <c r="Y6" s="346" t="s">
        <v>265</v>
      </c>
      <c r="Z6" s="344"/>
      <c r="AD6" s="317" t="s">
        <v>265</v>
      </c>
      <c r="AE6" s="344"/>
      <c r="AJ6" s="330" t="s">
        <v>300</v>
      </c>
      <c r="AL6" s="353"/>
      <c r="AM6" s="353"/>
      <c r="AN6" s="353"/>
      <c r="AO6" s="353"/>
      <c r="AP6" s="353"/>
      <c r="AQ6" s="353" t="s">
        <v>269</v>
      </c>
      <c r="AR6" s="353"/>
      <c r="AS6" s="353"/>
      <c r="AT6" s="353"/>
      <c r="AU6" s="353"/>
      <c r="AV6" s="353"/>
      <c r="AW6" s="353"/>
      <c r="AX6" s="353"/>
      <c r="AY6" s="353"/>
    </row>
    <row r="7" spans="1:51" ht="13.5" thickBot="1" x14ac:dyDescent="0.35">
      <c r="A7" s="137"/>
      <c r="B7" s="321" t="s">
        <v>278</v>
      </c>
      <c r="C7" s="134"/>
      <c r="D7" s="196" t="s">
        <v>73</v>
      </c>
      <c r="E7" s="134"/>
      <c r="F7" s="122" t="s">
        <v>188</v>
      </c>
      <c r="G7" s="319">
        <f>(MW*0.001)/0.95603</f>
        <v>0.31025177034193491</v>
      </c>
      <c r="H7" s="124" t="s">
        <v>189</v>
      </c>
      <c r="I7" s="118"/>
      <c r="J7" s="134"/>
      <c r="L7" s="317" t="s">
        <v>266</v>
      </c>
      <c r="M7" s="317" t="s">
        <v>266</v>
      </c>
      <c r="N7" s="317" t="s">
        <v>266</v>
      </c>
      <c r="O7" s="317" t="s">
        <v>266</v>
      </c>
      <c r="P7" s="344"/>
      <c r="S7" s="317" t="s">
        <v>266</v>
      </c>
      <c r="T7" s="346" t="s">
        <v>266</v>
      </c>
      <c r="U7" s="348"/>
      <c r="V7" s="317" t="s">
        <v>266</v>
      </c>
      <c r="W7" s="317" t="s">
        <v>266</v>
      </c>
      <c r="X7" s="317" t="s">
        <v>266</v>
      </c>
      <c r="Y7" s="346" t="s">
        <v>266</v>
      </c>
      <c r="Z7" s="344"/>
      <c r="AD7" s="317" t="s">
        <v>266</v>
      </c>
      <c r="AE7" s="344"/>
      <c r="AJ7" s="330" t="s">
        <v>301</v>
      </c>
      <c r="AL7" s="354"/>
      <c r="AM7" s="354"/>
      <c r="AN7" s="354"/>
      <c r="AO7" s="354"/>
      <c r="AP7" s="354"/>
      <c r="AQ7" s="354"/>
      <c r="AR7" s="354"/>
      <c r="AS7" s="354"/>
      <c r="AT7" s="354"/>
      <c r="AU7" s="354"/>
      <c r="AV7" s="354"/>
      <c r="AW7" s="354"/>
      <c r="AX7" s="354"/>
      <c r="AY7" s="354"/>
    </row>
    <row r="8" spans="1:51" ht="13.5" thickBot="1" x14ac:dyDescent="0.35">
      <c r="A8" s="137"/>
      <c r="B8" s="321" t="s">
        <v>279</v>
      </c>
      <c r="C8" s="134"/>
      <c r="D8" s="144" t="s">
        <v>54</v>
      </c>
      <c r="E8" s="134"/>
      <c r="F8" s="118"/>
      <c r="G8" s="118"/>
      <c r="H8" s="118"/>
      <c r="I8" s="118"/>
      <c r="J8" s="117"/>
      <c r="L8" s="317" t="s">
        <v>267</v>
      </c>
      <c r="M8" s="317" t="s">
        <v>267</v>
      </c>
      <c r="N8" s="317" t="s">
        <v>267</v>
      </c>
      <c r="O8" s="317" t="s">
        <v>267</v>
      </c>
      <c r="P8" s="344"/>
      <c r="S8" s="317" t="s">
        <v>267</v>
      </c>
      <c r="T8" s="317" t="s">
        <v>267</v>
      </c>
      <c r="U8" s="329"/>
      <c r="V8" s="317" t="s">
        <v>267</v>
      </c>
      <c r="W8" s="317" t="s">
        <v>267</v>
      </c>
      <c r="X8" s="317" t="s">
        <v>267</v>
      </c>
      <c r="Y8" s="317" t="s">
        <v>267</v>
      </c>
      <c r="AD8" s="317" t="s">
        <v>267</v>
      </c>
      <c r="AE8" s="344"/>
      <c r="AJ8" s="330" t="s">
        <v>302</v>
      </c>
      <c r="AL8" s="354"/>
      <c r="AM8" s="354"/>
      <c r="AN8" s="354"/>
      <c r="AO8" s="354"/>
      <c r="AP8" s="354"/>
      <c r="AQ8" s="354"/>
      <c r="AR8" s="354"/>
      <c r="AS8" s="354"/>
      <c r="AT8" s="354"/>
      <c r="AU8" s="354"/>
      <c r="AV8" s="354"/>
      <c r="AW8" s="354"/>
      <c r="AX8" s="354"/>
      <c r="AY8" s="354"/>
    </row>
    <row r="9" spans="1:51" ht="13.5" thickBot="1" x14ac:dyDescent="0.35">
      <c r="A9" s="137"/>
      <c r="B9" s="321" t="s">
        <v>291</v>
      </c>
      <c r="C9" s="134"/>
      <c r="D9" s="134"/>
      <c r="E9" s="134"/>
      <c r="F9" s="136" t="s">
        <v>190</v>
      </c>
      <c r="G9" s="142" t="s">
        <v>191</v>
      </c>
      <c r="H9" s="142" t="s">
        <v>185</v>
      </c>
      <c r="I9" s="142" t="s">
        <v>186</v>
      </c>
      <c r="J9" s="134"/>
      <c r="L9" s="317" t="s">
        <v>268</v>
      </c>
      <c r="M9" s="317" t="s">
        <v>268</v>
      </c>
      <c r="N9" s="317" t="s">
        <v>268</v>
      </c>
      <c r="O9" s="317" t="s">
        <v>268</v>
      </c>
      <c r="P9" s="344"/>
      <c r="S9" s="317" t="s">
        <v>268</v>
      </c>
      <c r="T9" s="317" t="s">
        <v>268</v>
      </c>
      <c r="V9" s="317" t="s">
        <v>268</v>
      </c>
      <c r="W9" s="317" t="s">
        <v>268</v>
      </c>
      <c r="X9" s="317" t="s">
        <v>268</v>
      </c>
      <c r="Y9" s="317" t="s">
        <v>268</v>
      </c>
      <c r="AD9" s="317" t="s">
        <v>268</v>
      </c>
      <c r="AL9" s="1" t="s">
        <v>54</v>
      </c>
      <c r="AM9" s="1" t="s">
        <v>73</v>
      </c>
      <c r="AN9" s="1" t="s">
        <v>73</v>
      </c>
      <c r="AO9" s="1" t="s">
        <v>73</v>
      </c>
      <c r="AP9" s="1" t="s">
        <v>73</v>
      </c>
      <c r="AQ9" s="1" t="s">
        <v>73</v>
      </c>
      <c r="AR9" s="1" t="s">
        <v>73</v>
      </c>
      <c r="AS9" s="1" t="s">
        <v>73</v>
      </c>
      <c r="AT9" s="1" t="s">
        <v>54</v>
      </c>
      <c r="AU9" s="1" t="s">
        <v>73</v>
      </c>
      <c r="AV9" s="1" t="s">
        <v>73</v>
      </c>
      <c r="AW9" s="1" t="s">
        <v>73</v>
      </c>
      <c r="AX9" s="1" t="s">
        <v>73</v>
      </c>
      <c r="AY9" s="1" t="s">
        <v>73</v>
      </c>
    </row>
    <row r="10" spans="1:51" ht="14" thickTop="1" thickBot="1" x14ac:dyDescent="0.35">
      <c r="A10" s="137"/>
      <c r="B10" s="321" t="s">
        <v>292</v>
      </c>
      <c r="C10" s="134"/>
      <c r="D10" s="136" t="s">
        <v>293</v>
      </c>
      <c r="E10" s="134"/>
      <c r="F10" s="125" t="s">
        <v>193</v>
      </c>
      <c r="G10" s="126" t="s">
        <v>194</v>
      </c>
      <c r="H10" s="126">
        <v>8</v>
      </c>
      <c r="I10" s="127" t="s">
        <v>195</v>
      </c>
      <c r="J10" s="134"/>
      <c r="N10" s="349" t="s">
        <v>275</v>
      </c>
      <c r="AW10" s="1" t="s">
        <v>54</v>
      </c>
      <c r="AX10" s="1" t="s">
        <v>54</v>
      </c>
      <c r="AY10" s="1" t="s">
        <v>54</v>
      </c>
    </row>
    <row r="11" spans="1:51" ht="13.5" thickTop="1" x14ac:dyDescent="0.3">
      <c r="A11" s="137"/>
      <c r="B11" s="321" t="s">
        <v>245</v>
      </c>
      <c r="C11" s="134"/>
      <c r="D11" s="143" t="s">
        <v>263</v>
      </c>
      <c r="E11" s="134"/>
      <c r="F11" s="128" t="s">
        <v>196</v>
      </c>
      <c r="G11" s="129" t="s">
        <v>197</v>
      </c>
      <c r="H11" s="129">
        <v>10</v>
      </c>
      <c r="I11" s="130" t="s">
        <v>195</v>
      </c>
      <c r="J11" s="134"/>
    </row>
    <row r="12" spans="1:51" x14ac:dyDescent="0.3">
      <c r="A12" s="137"/>
      <c r="B12" s="322" t="s">
        <v>247</v>
      </c>
      <c r="C12" s="134"/>
      <c r="D12" s="196" t="s">
        <v>264</v>
      </c>
      <c r="E12" s="134"/>
      <c r="F12" s="128" t="s">
        <v>255</v>
      </c>
      <c r="G12" s="129" t="s">
        <v>256</v>
      </c>
      <c r="H12" s="129">
        <v>12</v>
      </c>
      <c r="I12" s="130" t="s">
        <v>195</v>
      </c>
      <c r="J12" s="134"/>
    </row>
    <row r="13" spans="1:51" x14ac:dyDescent="0.3">
      <c r="A13" s="137"/>
      <c r="B13" s="321" t="s">
        <v>248</v>
      </c>
      <c r="C13" s="134"/>
      <c r="D13" s="138" t="s">
        <v>265</v>
      </c>
      <c r="E13" s="134"/>
      <c r="F13" s="128" t="s">
        <v>198</v>
      </c>
      <c r="G13" s="129" t="s">
        <v>199</v>
      </c>
      <c r="H13" s="129">
        <v>24</v>
      </c>
      <c r="I13" s="130" t="s">
        <v>195</v>
      </c>
      <c r="J13" s="134"/>
      <c r="L13" s="1" t="s">
        <v>4</v>
      </c>
      <c r="M13" s="1" t="s">
        <v>5</v>
      </c>
      <c r="N13" s="1" t="s">
        <v>6</v>
      </c>
      <c r="AL13" s="1" t="s">
        <v>4</v>
      </c>
      <c r="AM13" s="1" t="s">
        <v>5</v>
      </c>
      <c r="AN13" s="1" t="s">
        <v>6</v>
      </c>
      <c r="AP13" s="1" t="s">
        <v>4</v>
      </c>
      <c r="AQ13" s="1" t="s">
        <v>5</v>
      </c>
      <c r="AR13" s="1" t="s">
        <v>6</v>
      </c>
    </row>
    <row r="14" spans="1:51" x14ac:dyDescent="0.3">
      <c r="A14" s="134"/>
      <c r="B14" s="321" t="s">
        <v>282</v>
      </c>
      <c r="C14" s="134"/>
      <c r="D14" s="138" t="s">
        <v>266</v>
      </c>
      <c r="E14" s="134"/>
      <c r="F14" s="128" t="s">
        <v>200</v>
      </c>
      <c r="G14" s="129" t="s">
        <v>201</v>
      </c>
      <c r="H14" s="129">
        <v>250</v>
      </c>
      <c r="I14" s="130" t="s">
        <v>202</v>
      </c>
      <c r="J14" s="134"/>
      <c r="L14" s="1" t="str" cm="1">
        <f t="array" ref="L14:L19">_xlfn._xlws.SORT(_xlfn.UNIQUE(_xlfn.XLOOKUP(Dashboard!$C$4,Table5[#Headers],$L$4:$AJ$12),,TRUE))</f>
        <v>Administrative</v>
      </c>
      <c r="M14" s="1" t="str" cm="1">
        <f t="array" ref="M14:M19">_xlfn._xlws.SORT(_xlfn.UNIQUE(_xlfn.XLOOKUP(RR!$H$4,Table5[#Headers],$L$4:$AJ$12),,TRUE))</f>
        <v>Administrative</v>
      </c>
      <c r="N14" s="1" t="str" cm="1">
        <f t="array" ref="N14:N20">_xlfn._xlws.SORT(_xlfn.UNIQUE(_xlfn.XLOOKUP('Aggregate RR'!$C$4,Table5[#Headers],$L$4:$AJ$12),,TRUE))</f>
        <v>Administrative</v>
      </c>
      <c r="AL14" s="1" t="str" cm="1">
        <f t="array" ref="AL14">IF(Dashboard!$C$4='List Values'!B23,"12-hr",IF(Dashboard!$C$4='List Values'!B24,"12-hr",_xlfn.UNIQUE(_xlfn.XLOOKUP(Dashboard!$D$4,$AL$3:$AY$3,$AL$4:$AY$8),,TRUE)))</f>
        <v>8-hr</v>
      </c>
      <c r="AM14" s="1" t="str" cm="1">
        <f t="array" ref="AM14">IF(RR!$H$4=B23,"12-hr",IF(RR!$H$4=B24,"12-hr",_xlfn.UNIQUE(_xlfn.XLOOKUP(RR!$I$4,$AL$3:$AY$3,$AL$4:$AY$8),,TRUE)))</f>
        <v>8-hr</v>
      </c>
      <c r="AN14" s="1" t="str" cm="1">
        <f t="array" ref="AN14">IF('Aggregate RR'!C4=B23,"12-hr",IF('Aggregate RR'!C4=B24,"12-hr",_xlfn.UNIQUE(_xlfn.XLOOKUP('Aggregate RR'!$D$4,$AL$3:$AY$3,$AL$4:$AY$8),,TRUE)))</f>
        <v>8-hr</v>
      </c>
      <c r="AP14" s="1" t="str" cm="1">
        <f t="array" ref="AP14">_xlfn.UNIQUE(_xlfn.XLOOKUP(Dashboard!$D$4,$AL$3:$AY$3,$AL$9:$AY$12),,TRUE)</f>
        <v>Worker</v>
      </c>
      <c r="AQ14" s="1" t="str" cm="1">
        <f t="array" ref="AQ14">_xlfn.UNIQUE(_xlfn.XLOOKUP(RR!$I$4,$AL$3:$AY$3,$AL$9:$AY$12),,TRUE)</f>
        <v>Worker</v>
      </c>
      <c r="AR14" s="1" t="str" cm="1">
        <f t="array" ref="AR14">_xlfn.UNIQUE(_xlfn.XLOOKUP('Aggregate RR'!$D$4,$AL$3:$AY$3,$AL$9:$AY$12),,TRUE)</f>
        <v>Worker</v>
      </c>
    </row>
    <row r="15" spans="1:51" ht="15" x14ac:dyDescent="0.3">
      <c r="A15" s="137"/>
      <c r="B15" s="321" t="s">
        <v>249</v>
      </c>
      <c r="C15" s="134"/>
      <c r="D15" s="138" t="s">
        <v>267</v>
      </c>
      <c r="E15" s="134"/>
      <c r="F15" s="128" t="s">
        <v>204</v>
      </c>
      <c r="G15" s="129" t="s">
        <v>253</v>
      </c>
      <c r="H15" s="129">
        <v>22</v>
      </c>
      <c r="I15" s="130" t="s">
        <v>202</v>
      </c>
      <c r="J15" s="134"/>
      <c r="L15" s="1" t="str">
        <v>Chemical Operator</v>
      </c>
      <c r="M15" s="1" t="str">
        <v>Chemical Operator</v>
      </c>
      <c r="N15" s="1" t="str">
        <v>Chemical Operator</v>
      </c>
    </row>
    <row r="16" spans="1:51" x14ac:dyDescent="0.3">
      <c r="A16" s="137"/>
      <c r="B16" s="321" t="s">
        <v>285</v>
      </c>
      <c r="C16" s="134"/>
      <c r="D16" s="138" t="s">
        <v>268</v>
      </c>
      <c r="E16" s="134"/>
      <c r="F16" s="128" t="s">
        <v>205</v>
      </c>
      <c r="G16" s="129" t="s">
        <v>206</v>
      </c>
      <c r="H16" s="129">
        <v>30</v>
      </c>
      <c r="I16" s="130" t="s">
        <v>202</v>
      </c>
      <c r="J16" s="134"/>
      <c r="L16" s="1" t="str">
        <v>Laboratory Technician</v>
      </c>
      <c r="M16" s="1" t="str">
        <v>Laboratory Technician</v>
      </c>
      <c r="N16" s="1" t="str">
        <v>Laboratory Technician</v>
      </c>
    </row>
    <row r="17" spans="1:14" x14ac:dyDescent="0.3">
      <c r="A17" s="137"/>
      <c r="B17" s="321" t="s">
        <v>283</v>
      </c>
      <c r="C17" s="134"/>
      <c r="D17" s="138" t="s">
        <v>275</v>
      </c>
      <c r="E17" s="134"/>
      <c r="F17" s="128" t="s">
        <v>207</v>
      </c>
      <c r="G17" s="129" t="s">
        <v>208</v>
      </c>
      <c r="H17" s="129">
        <v>31</v>
      </c>
      <c r="I17" s="130" t="s">
        <v>209</v>
      </c>
      <c r="J17" s="134"/>
      <c r="L17" s="1" t="str">
        <v>Logistic Technician</v>
      </c>
      <c r="M17" s="1" t="str">
        <v>Logistic Technician</v>
      </c>
      <c r="N17" s="1" t="str">
        <v>Logistic Technician</v>
      </c>
    </row>
    <row r="18" spans="1:14" x14ac:dyDescent="0.3">
      <c r="A18" s="137"/>
      <c r="B18" s="321" t="s">
        <v>284</v>
      </c>
      <c r="C18" s="134"/>
      <c r="D18" s="310" t="s">
        <v>298</v>
      </c>
      <c r="E18" s="134"/>
      <c r="F18" s="128" t="s">
        <v>210</v>
      </c>
      <c r="G18" s="129" t="s">
        <v>211</v>
      </c>
      <c r="H18" s="129">
        <v>40</v>
      </c>
      <c r="I18" s="130" t="s">
        <v>209</v>
      </c>
      <c r="J18" s="119"/>
      <c r="L18" s="1" t="str">
        <v>Material Handler</v>
      </c>
      <c r="M18" s="1" t="str">
        <v>Material Handler</v>
      </c>
      <c r="N18" s="1" t="str">
        <v>Material Handler</v>
      </c>
    </row>
    <row r="19" spans="1:14" ht="26" x14ac:dyDescent="0.3">
      <c r="A19" s="137"/>
      <c r="B19" s="321" t="s">
        <v>250</v>
      </c>
      <c r="C19" s="134"/>
      <c r="D19" s="310" t="s">
        <v>299</v>
      </c>
      <c r="E19" s="134"/>
      <c r="F19" s="128" t="s">
        <v>316</v>
      </c>
      <c r="G19" s="129" t="s">
        <v>212</v>
      </c>
      <c r="H19" s="129">
        <v>78</v>
      </c>
      <c r="I19" s="130" t="s">
        <v>209</v>
      </c>
      <c r="J19" s="119"/>
      <c r="L19" s="1" t="str">
        <v>Production Operator</v>
      </c>
      <c r="M19" s="1" t="str">
        <v>Production Operator</v>
      </c>
      <c r="N19" s="1" t="str">
        <v>Operators at polymer plants</v>
      </c>
    </row>
    <row r="20" spans="1:14" x14ac:dyDescent="0.3">
      <c r="A20" s="137"/>
      <c r="B20" s="321" t="s">
        <v>286</v>
      </c>
      <c r="C20" s="134"/>
      <c r="D20" s="310" t="s">
        <v>300</v>
      </c>
      <c r="E20" s="134"/>
      <c r="F20" s="128" t="s">
        <v>318</v>
      </c>
      <c r="G20" s="129" t="s">
        <v>213</v>
      </c>
      <c r="H20" s="131">
        <f>WY_mid*365</f>
        <v>11315</v>
      </c>
      <c r="I20" s="130" t="s">
        <v>403</v>
      </c>
      <c r="J20" s="134"/>
      <c r="N20" s="1" t="str">
        <v>Production Operator</v>
      </c>
    </row>
    <row r="21" spans="1:14" x14ac:dyDescent="0.3">
      <c r="A21" s="137"/>
      <c r="B21" s="321" t="s">
        <v>251</v>
      </c>
      <c r="C21" s="134"/>
      <c r="D21" s="310" t="s">
        <v>301</v>
      </c>
      <c r="E21" s="134"/>
      <c r="F21" s="128" t="s">
        <v>319</v>
      </c>
      <c r="G21" s="129" t="s">
        <v>214</v>
      </c>
      <c r="H21" s="131">
        <f>WY_high*365</f>
        <v>14600</v>
      </c>
      <c r="I21" s="130" t="s">
        <v>403</v>
      </c>
      <c r="J21" s="134"/>
    </row>
    <row r="22" spans="1:14" ht="15.5" thickBot="1" x14ac:dyDescent="0.35">
      <c r="A22" s="134"/>
      <c r="B22" s="323" t="s">
        <v>252</v>
      </c>
      <c r="C22" s="134"/>
      <c r="D22" s="310" t="s">
        <v>302</v>
      </c>
      <c r="E22" s="134"/>
      <c r="F22" s="122" t="s">
        <v>317</v>
      </c>
      <c r="G22" s="123" t="s">
        <v>254</v>
      </c>
      <c r="H22" s="133">
        <f>LT*365</f>
        <v>28470</v>
      </c>
      <c r="I22" s="124" t="s">
        <v>403</v>
      </c>
      <c r="J22" s="134"/>
    </row>
    <row r="23" spans="1:14" ht="13.5" thickBot="1" x14ac:dyDescent="0.35">
      <c r="A23" s="134"/>
      <c r="B23" s="323" t="s">
        <v>287</v>
      </c>
      <c r="C23" s="134"/>
      <c r="D23" s="138" t="s">
        <v>73</v>
      </c>
      <c r="E23" s="134"/>
      <c r="F23" s="134"/>
      <c r="G23" s="134"/>
      <c r="H23" s="134"/>
      <c r="I23" s="134"/>
      <c r="J23" s="134"/>
    </row>
    <row r="24" spans="1:14" ht="13.5" thickBot="1" x14ac:dyDescent="0.35">
      <c r="A24" s="134"/>
      <c r="B24" s="323" t="s">
        <v>288</v>
      </c>
      <c r="C24" s="134"/>
      <c r="D24" s="325" t="s">
        <v>54</v>
      </c>
      <c r="E24" s="134"/>
      <c r="F24" s="136" t="s">
        <v>262</v>
      </c>
      <c r="G24" s="134"/>
      <c r="H24" s="134"/>
      <c r="I24" s="134"/>
      <c r="J24" s="134"/>
    </row>
    <row r="25" spans="1:14" ht="13.5" thickBot="1" x14ac:dyDescent="0.35">
      <c r="A25" s="134"/>
      <c r="B25" s="323" t="s">
        <v>257</v>
      </c>
      <c r="C25" s="134"/>
      <c r="D25" s="134"/>
      <c r="E25" s="134"/>
      <c r="F25" s="338" t="s">
        <v>107</v>
      </c>
      <c r="G25" s="134"/>
      <c r="H25" s="134"/>
      <c r="I25" s="134"/>
      <c r="J25" s="134"/>
    </row>
    <row r="26" spans="1:14" ht="13.5" thickBot="1" x14ac:dyDescent="0.35">
      <c r="A26" s="134"/>
      <c r="B26" s="324" t="s">
        <v>289</v>
      </c>
      <c r="C26" s="134"/>
      <c r="D26" s="136" t="s">
        <v>192</v>
      </c>
      <c r="E26" s="134"/>
      <c r="F26" s="338" t="s">
        <v>270</v>
      </c>
      <c r="G26" s="134"/>
      <c r="H26" s="134"/>
      <c r="I26" s="134"/>
      <c r="J26" s="134"/>
    </row>
    <row r="27" spans="1:14" ht="13.5" thickBot="1" x14ac:dyDescent="0.35">
      <c r="A27" s="134"/>
      <c r="B27" s="134"/>
      <c r="C27" s="134"/>
      <c r="D27" s="145">
        <v>0.5</v>
      </c>
      <c r="E27" s="134"/>
      <c r="F27" s="339" t="s">
        <v>269</v>
      </c>
      <c r="G27" s="134"/>
      <c r="H27" s="134"/>
      <c r="I27" s="134"/>
      <c r="J27" s="134"/>
    </row>
    <row r="28" spans="1:14" ht="13.5" thickBot="1" x14ac:dyDescent="0.35">
      <c r="A28" s="134"/>
      <c r="B28" s="135" t="s">
        <v>303</v>
      </c>
      <c r="C28" s="134"/>
      <c r="D28" s="146">
        <v>0.99</v>
      </c>
      <c r="E28" s="134"/>
      <c r="F28" s="134"/>
      <c r="G28" s="134"/>
      <c r="H28" s="134"/>
      <c r="I28" s="134"/>
      <c r="J28" s="134"/>
    </row>
    <row r="29" spans="1:14" ht="13.5" thickBot="1" x14ac:dyDescent="0.35">
      <c r="A29" s="134"/>
      <c r="B29" s="320" t="s">
        <v>33</v>
      </c>
      <c r="C29" s="134"/>
      <c r="D29" s="134"/>
      <c r="E29" s="134"/>
      <c r="F29" s="134"/>
      <c r="G29" s="134"/>
      <c r="H29" s="134"/>
      <c r="I29" s="134"/>
      <c r="J29" s="134"/>
    </row>
    <row r="30" spans="1:14" ht="13.5" thickBot="1" x14ac:dyDescent="0.35">
      <c r="A30" s="134"/>
      <c r="B30" s="321" t="s">
        <v>243</v>
      </c>
      <c r="C30" s="134"/>
      <c r="D30" s="136" t="s">
        <v>203</v>
      </c>
      <c r="E30" s="134"/>
      <c r="F30" s="134"/>
      <c r="G30" s="134"/>
      <c r="H30" s="134"/>
      <c r="I30" s="134"/>
      <c r="J30" s="134"/>
    </row>
    <row r="31" spans="1:14" ht="13.5" thickTop="1" x14ac:dyDescent="0.3">
      <c r="A31" s="134"/>
      <c r="B31" s="321" t="s">
        <v>246</v>
      </c>
      <c r="C31" s="134"/>
      <c r="D31" s="138">
        <v>10</v>
      </c>
      <c r="E31" s="134"/>
      <c r="F31" s="134"/>
      <c r="G31" s="134"/>
      <c r="H31" s="134"/>
      <c r="I31" s="134"/>
      <c r="J31" s="134"/>
    </row>
    <row r="32" spans="1:14" x14ac:dyDescent="0.3">
      <c r="A32" s="134"/>
      <c r="B32" s="321" t="s">
        <v>291</v>
      </c>
      <c r="C32" s="134"/>
      <c r="D32" s="138">
        <v>25</v>
      </c>
      <c r="E32" s="134"/>
      <c r="F32" s="134"/>
      <c r="G32" s="134"/>
      <c r="H32" s="134"/>
      <c r="I32" s="134"/>
      <c r="J32" s="134"/>
    </row>
    <row r="33" spans="1:10" x14ac:dyDescent="0.3">
      <c r="A33" s="134"/>
      <c r="B33" s="321" t="s">
        <v>292</v>
      </c>
      <c r="C33" s="134"/>
      <c r="D33" s="138">
        <v>50</v>
      </c>
      <c r="E33" s="134"/>
      <c r="F33" s="134"/>
      <c r="G33" s="134"/>
      <c r="H33" s="134"/>
      <c r="I33" s="134"/>
      <c r="J33" s="134"/>
    </row>
    <row r="34" spans="1:10" x14ac:dyDescent="0.3">
      <c r="A34" s="134"/>
      <c r="B34" s="322" t="s">
        <v>247</v>
      </c>
      <c r="C34" s="134"/>
      <c r="D34" s="138">
        <v>1000</v>
      </c>
      <c r="E34" s="134"/>
      <c r="F34" s="134"/>
      <c r="G34" s="134"/>
      <c r="H34" s="134"/>
      <c r="I34" s="134"/>
      <c r="J34" s="134"/>
    </row>
    <row r="35" spans="1:10" ht="13.5" thickBot="1" x14ac:dyDescent="0.35">
      <c r="A35" s="134"/>
      <c r="B35" s="321" t="s">
        <v>248</v>
      </c>
      <c r="C35" s="134"/>
      <c r="D35" s="140">
        <v>10000</v>
      </c>
      <c r="E35" s="134"/>
      <c r="F35" s="134"/>
      <c r="G35" s="134"/>
      <c r="H35" s="134"/>
      <c r="I35" s="134"/>
      <c r="J35" s="134"/>
    </row>
    <row r="36" spans="1:10" ht="13.5" thickBot="1" x14ac:dyDescent="0.35">
      <c r="A36" s="134"/>
      <c r="B36" s="321" t="s">
        <v>282</v>
      </c>
      <c r="C36" s="134"/>
      <c r="D36" s="134"/>
      <c r="E36" s="134"/>
      <c r="F36" s="134"/>
      <c r="G36" s="134"/>
      <c r="H36" s="134"/>
      <c r="I36" s="134"/>
      <c r="J36" s="134"/>
    </row>
    <row r="37" spans="1:10" ht="13.5" thickBot="1" x14ac:dyDescent="0.35">
      <c r="A37" s="134"/>
      <c r="B37" s="321" t="s">
        <v>249</v>
      </c>
      <c r="C37" s="134"/>
      <c r="D37" s="136" t="s">
        <v>215</v>
      </c>
      <c r="E37" s="134"/>
      <c r="F37" s="134"/>
      <c r="G37" s="134"/>
      <c r="H37" s="134"/>
      <c r="I37" s="134"/>
      <c r="J37" s="134"/>
    </row>
    <row r="38" spans="1:10" ht="13.5" thickTop="1" x14ac:dyDescent="0.3">
      <c r="A38" s="134"/>
      <c r="B38" s="321" t="s">
        <v>286</v>
      </c>
      <c r="C38" s="134"/>
      <c r="D38" s="147">
        <v>5</v>
      </c>
      <c r="E38" s="132" t="s">
        <v>216</v>
      </c>
      <c r="F38" s="134"/>
      <c r="G38" s="134"/>
      <c r="H38" s="134"/>
      <c r="I38" s="134"/>
      <c r="J38" s="134"/>
    </row>
    <row r="39" spans="1:10" x14ac:dyDescent="0.3">
      <c r="A39" s="134"/>
      <c r="B39" s="321" t="s">
        <v>244</v>
      </c>
      <c r="C39" s="134"/>
      <c r="D39" s="138">
        <v>10</v>
      </c>
      <c r="E39" s="132" t="s">
        <v>217</v>
      </c>
      <c r="F39" s="134"/>
      <c r="G39" s="134"/>
      <c r="H39" s="134"/>
      <c r="I39" s="134"/>
      <c r="J39" s="134"/>
    </row>
    <row r="40" spans="1:10" ht="13.5" thickBot="1" x14ac:dyDescent="0.35">
      <c r="A40" s="134"/>
      <c r="B40" s="324" t="s">
        <v>289</v>
      </c>
      <c r="C40" s="134"/>
      <c r="D40" s="140">
        <v>20</v>
      </c>
      <c r="E40" s="132" t="s">
        <v>218</v>
      </c>
      <c r="F40" s="134"/>
      <c r="G40" s="134"/>
      <c r="H40" s="134"/>
      <c r="I40" s="134"/>
      <c r="J40" s="134"/>
    </row>
    <row r="41" spans="1:10" ht="13.5" thickBot="1" x14ac:dyDescent="0.35">
      <c r="A41" s="134"/>
      <c r="B41" s="134"/>
      <c r="C41" s="134"/>
      <c r="D41" s="134"/>
      <c r="E41" s="134"/>
      <c r="F41" s="134"/>
      <c r="G41" s="134"/>
      <c r="H41" s="134"/>
      <c r="I41" s="134"/>
      <c r="J41" s="134"/>
    </row>
    <row r="42" spans="1:10" x14ac:dyDescent="0.3">
      <c r="A42" s="134"/>
      <c r="B42" s="135" t="s">
        <v>304</v>
      </c>
      <c r="C42" s="134"/>
      <c r="D42" s="134"/>
      <c r="E42" s="134"/>
      <c r="F42" s="134"/>
      <c r="G42" s="134"/>
      <c r="H42" s="134"/>
      <c r="I42" s="134"/>
      <c r="J42" s="134"/>
    </row>
    <row r="43" spans="1:10" x14ac:dyDescent="0.3">
      <c r="A43" s="134"/>
      <c r="B43" s="321" t="s">
        <v>277</v>
      </c>
      <c r="C43" s="134"/>
      <c r="D43" s="134"/>
      <c r="E43" s="134"/>
      <c r="F43" s="134"/>
      <c r="G43" s="134"/>
      <c r="H43" s="134"/>
      <c r="I43" s="134"/>
      <c r="J43" s="134"/>
    </row>
    <row r="44" spans="1:10" x14ac:dyDescent="0.3">
      <c r="A44" s="134"/>
      <c r="B44" s="321" t="s">
        <v>278</v>
      </c>
      <c r="C44" s="134"/>
      <c r="D44" s="134"/>
      <c r="E44" s="134"/>
      <c r="F44" s="134"/>
      <c r="G44" s="134"/>
      <c r="H44" s="134"/>
      <c r="I44" s="134"/>
      <c r="J44" s="134"/>
    </row>
    <row r="45" spans="1:10" x14ac:dyDescent="0.3">
      <c r="A45" s="134"/>
      <c r="B45" s="321" t="s">
        <v>279</v>
      </c>
      <c r="C45" s="134"/>
      <c r="D45" s="134"/>
      <c r="E45" s="134"/>
      <c r="F45" s="134"/>
      <c r="G45" s="134"/>
      <c r="H45" s="134"/>
      <c r="I45" s="134"/>
      <c r="J45" s="134"/>
    </row>
    <row r="46" spans="1:10" x14ac:dyDescent="0.3">
      <c r="A46" s="134"/>
      <c r="B46" s="321" t="s">
        <v>245</v>
      </c>
      <c r="C46" s="134"/>
      <c r="D46" s="134"/>
      <c r="E46" s="134"/>
      <c r="F46" s="134"/>
      <c r="G46" s="134"/>
      <c r="H46" s="134"/>
      <c r="I46" s="134"/>
      <c r="J46" s="134"/>
    </row>
    <row r="47" spans="1:10" x14ac:dyDescent="0.3">
      <c r="A47" s="134"/>
      <c r="B47" s="321" t="s">
        <v>285</v>
      </c>
      <c r="C47" s="134"/>
      <c r="D47" s="134"/>
      <c r="E47" s="134"/>
      <c r="F47" s="134"/>
      <c r="G47" s="134"/>
      <c r="H47" s="134"/>
      <c r="I47" s="134"/>
      <c r="J47" s="134"/>
    </row>
    <row r="48" spans="1:10" x14ac:dyDescent="0.3">
      <c r="A48" s="134"/>
      <c r="B48" s="321" t="s">
        <v>283</v>
      </c>
      <c r="C48" s="134"/>
      <c r="D48" s="134"/>
      <c r="E48" s="134"/>
      <c r="F48" s="134"/>
      <c r="G48" s="134"/>
      <c r="H48" s="134"/>
      <c r="I48" s="134"/>
      <c r="J48" s="134"/>
    </row>
    <row r="49" spans="1:10" x14ac:dyDescent="0.3">
      <c r="A49" s="134"/>
      <c r="B49" s="321" t="s">
        <v>284</v>
      </c>
      <c r="C49" s="134"/>
      <c r="D49" s="134"/>
      <c r="E49" s="134"/>
      <c r="F49" s="134"/>
      <c r="G49" s="134"/>
      <c r="H49" s="134"/>
      <c r="I49" s="134"/>
      <c r="J49" s="134"/>
    </row>
    <row r="50" spans="1:10" x14ac:dyDescent="0.3">
      <c r="A50" s="134"/>
      <c r="B50" s="321" t="s">
        <v>250</v>
      </c>
      <c r="C50" s="134"/>
      <c r="D50" s="134"/>
      <c r="E50" s="134"/>
      <c r="F50" s="134"/>
      <c r="G50" s="134"/>
      <c r="H50" s="134"/>
      <c r="I50" s="134"/>
      <c r="J50" s="134"/>
    </row>
    <row r="51" spans="1:10" x14ac:dyDescent="0.3">
      <c r="A51" s="134"/>
      <c r="B51" s="321" t="s">
        <v>251</v>
      </c>
      <c r="C51" s="134"/>
      <c r="D51" s="134"/>
      <c r="E51" s="134"/>
      <c r="F51" s="134"/>
      <c r="G51" s="134"/>
      <c r="H51" s="134"/>
      <c r="I51" s="134"/>
      <c r="J51" s="134"/>
    </row>
    <row r="52" spans="1:10" x14ac:dyDescent="0.3">
      <c r="A52" s="134"/>
      <c r="B52" s="323" t="s">
        <v>252</v>
      </c>
      <c r="C52" s="134"/>
      <c r="D52" s="134"/>
      <c r="E52" s="134"/>
      <c r="F52" s="134"/>
      <c r="G52" s="134"/>
      <c r="H52" s="134"/>
      <c r="I52" s="134"/>
      <c r="J52" s="134"/>
    </row>
    <row r="53" spans="1:10" x14ac:dyDescent="0.3">
      <c r="A53" s="134"/>
      <c r="B53" s="323" t="s">
        <v>287</v>
      </c>
      <c r="C53" s="134"/>
      <c r="D53" s="134"/>
      <c r="E53" s="134"/>
      <c r="F53" s="134"/>
      <c r="G53" s="134"/>
      <c r="H53" s="134"/>
      <c r="I53" s="134"/>
      <c r="J53" s="134"/>
    </row>
    <row r="54" spans="1:10" x14ac:dyDescent="0.3">
      <c r="A54" s="134"/>
      <c r="B54" s="323" t="s">
        <v>288</v>
      </c>
      <c r="C54" s="134"/>
      <c r="D54" s="134"/>
      <c r="E54" s="134"/>
      <c r="F54" s="134"/>
      <c r="G54" s="134"/>
      <c r="H54" s="134"/>
      <c r="I54" s="134"/>
      <c r="J54" s="134"/>
    </row>
    <row r="55" spans="1:10" ht="13.5" thickBot="1" x14ac:dyDescent="0.35">
      <c r="A55" s="134"/>
      <c r="B55" s="324" t="s">
        <v>257</v>
      </c>
      <c r="C55" s="134"/>
      <c r="D55" s="134"/>
      <c r="E55" s="134"/>
      <c r="F55" s="134"/>
      <c r="G55" s="134"/>
      <c r="H55" s="134"/>
      <c r="I55" s="134"/>
      <c r="J55" s="134"/>
    </row>
    <row r="56" spans="1:10" x14ac:dyDescent="0.3">
      <c r="A56" s="134"/>
      <c r="B56" s="134"/>
      <c r="C56" s="134"/>
      <c r="D56" s="134"/>
      <c r="E56" s="134"/>
      <c r="F56" s="134"/>
      <c r="G56" s="134"/>
      <c r="H56" s="134"/>
      <c r="I56" s="134"/>
      <c r="J56" s="134"/>
    </row>
    <row r="57" spans="1:10" x14ac:dyDescent="0.3">
      <c r="A57" s="134"/>
      <c r="B57" s="134"/>
      <c r="C57" s="134"/>
      <c r="D57" s="134"/>
      <c r="E57" s="134"/>
      <c r="F57" s="134"/>
      <c r="G57" s="134"/>
      <c r="H57" s="134"/>
      <c r="I57" s="134"/>
      <c r="J57" s="134"/>
    </row>
  </sheetData>
  <sheetProtection algorithmName="SHA-512" hashValue="eFFpAk41D7rGgZt7W+Zg0CaaEUSjtGANUhFdL6HmG5rlmHjppES939yzGX55HsK4fIqyOp63ZBOeRPeI6j2Lzw==" saltValue="J1jj/3iO9mE6m0u/R/TlsA==" spinCount="100000" sheet="1" objects="1" scenarios="1"/>
  <mergeCells count="2">
    <mergeCell ref="L2:AJ2"/>
    <mergeCell ref="AL2:AY2"/>
  </mergeCells>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41240-2A0D-4766-9250-85744E11E255}">
  <sheetPr codeName="Sheet8">
    <tabColor theme="1"/>
  </sheetPr>
  <dimension ref="B1:F23"/>
  <sheetViews>
    <sheetView workbookViewId="0">
      <selection activeCell="C13" sqref="C13"/>
    </sheetView>
  </sheetViews>
  <sheetFormatPr defaultColWidth="9.08984375" defaultRowHeight="13" x14ac:dyDescent="0.3"/>
  <cols>
    <col min="1" max="1" width="4.90625" style="5" customWidth="1"/>
    <col min="2" max="2" width="35.54296875" style="5" customWidth="1"/>
    <col min="3" max="3" width="10.453125" style="5" customWidth="1"/>
    <col min="4" max="4" width="13.08984375" style="5" customWidth="1"/>
    <col min="5" max="5" width="16.54296875" style="5" bestFit="1" customWidth="1"/>
    <col min="6" max="6" width="62" style="5" customWidth="1"/>
    <col min="7" max="7" width="10.90625" style="5" customWidth="1"/>
    <col min="8" max="16384" width="9.08984375" style="5"/>
  </cols>
  <sheetData>
    <row r="1" spans="2:6" ht="15" x14ac:dyDescent="0.3">
      <c r="B1" s="157" t="s">
        <v>219</v>
      </c>
    </row>
    <row r="3" spans="2:6" ht="39.5" thickBot="1" x14ac:dyDescent="0.35">
      <c r="C3" s="148" t="s">
        <v>34</v>
      </c>
      <c r="D3" s="149" t="s">
        <v>73</v>
      </c>
      <c r="E3" s="149" t="s">
        <v>220</v>
      </c>
      <c r="F3" s="192" t="s">
        <v>221</v>
      </c>
    </row>
    <row r="4" spans="2:6" ht="39" x14ac:dyDescent="0.3">
      <c r="B4" s="520" t="s">
        <v>222</v>
      </c>
      <c r="C4" s="409">
        <v>80</v>
      </c>
      <c r="D4" s="387">
        <v>80</v>
      </c>
      <c r="E4" s="519" t="s">
        <v>306</v>
      </c>
      <c r="F4" s="382" t="s">
        <v>307</v>
      </c>
    </row>
    <row r="5" spans="2:6" ht="15" x14ac:dyDescent="0.3">
      <c r="B5" s="150" t="s">
        <v>223</v>
      </c>
      <c r="C5" s="151">
        <f>C6/2</f>
        <v>535</v>
      </c>
      <c r="D5" s="152">
        <v>535</v>
      </c>
      <c r="E5" s="190" t="s">
        <v>53</v>
      </c>
      <c r="F5" s="726" t="s">
        <v>224</v>
      </c>
    </row>
    <row r="6" spans="2:6" ht="15" x14ac:dyDescent="0.3">
      <c r="B6" s="150" t="s">
        <v>225</v>
      </c>
      <c r="C6" s="153">
        <v>1070</v>
      </c>
      <c r="D6" s="154">
        <v>1070</v>
      </c>
      <c r="E6" s="190" t="s">
        <v>52</v>
      </c>
      <c r="F6" s="727"/>
    </row>
    <row r="7" spans="2:6" x14ac:dyDescent="0.3">
      <c r="B7" s="150" t="s">
        <v>226</v>
      </c>
      <c r="C7" s="151">
        <v>40</v>
      </c>
      <c r="D7" s="152">
        <v>40</v>
      </c>
      <c r="E7" s="190" t="s">
        <v>52</v>
      </c>
      <c r="F7" s="193"/>
    </row>
    <row r="8" spans="2:6" x14ac:dyDescent="0.3">
      <c r="B8" s="150" t="s">
        <v>227</v>
      </c>
      <c r="C8" s="151">
        <v>31</v>
      </c>
      <c r="D8" s="152">
        <v>31</v>
      </c>
      <c r="E8" s="190" t="s">
        <v>53</v>
      </c>
      <c r="F8" s="193"/>
    </row>
    <row r="9" spans="2:6" x14ac:dyDescent="0.3">
      <c r="B9" s="150" t="s">
        <v>228</v>
      </c>
      <c r="C9" s="151">
        <v>78</v>
      </c>
      <c r="D9" s="152">
        <v>78</v>
      </c>
      <c r="E9" s="190"/>
      <c r="F9" s="193"/>
    </row>
    <row r="10" spans="2:6" ht="15.5" x14ac:dyDescent="0.3">
      <c r="B10" s="150" t="s">
        <v>229</v>
      </c>
      <c r="C10" s="733">
        <v>1.25</v>
      </c>
      <c r="D10" s="734"/>
      <c r="E10" s="190" t="s">
        <v>230</v>
      </c>
      <c r="F10" s="193" t="s">
        <v>231</v>
      </c>
    </row>
    <row r="11" spans="2:6" ht="15.9" customHeight="1" thickBot="1" x14ac:dyDescent="0.35">
      <c r="B11" s="155" t="s">
        <v>232</v>
      </c>
      <c r="C11" s="731">
        <v>0.61250000000000004</v>
      </c>
      <c r="D11" s="732"/>
      <c r="E11" s="191" t="s">
        <v>230</v>
      </c>
      <c r="F11" s="194"/>
    </row>
    <row r="12" spans="2:6" x14ac:dyDescent="0.3">
      <c r="B12" s="729"/>
      <c r="C12" s="729"/>
      <c r="D12" s="729"/>
      <c r="E12" s="729"/>
    </row>
    <row r="13" spans="2:6" x14ac:dyDescent="0.3">
      <c r="B13" s="82" t="s">
        <v>233</v>
      </c>
    </row>
    <row r="14" spans="2:6" x14ac:dyDescent="0.3">
      <c r="B14" s="156" t="s">
        <v>234</v>
      </c>
    </row>
    <row r="15" spans="2:6" x14ac:dyDescent="0.3">
      <c r="B15" s="5" t="s">
        <v>235</v>
      </c>
    </row>
    <row r="16" spans="2:6" x14ac:dyDescent="0.3">
      <c r="B16" s="5" t="s">
        <v>236</v>
      </c>
    </row>
    <row r="17" spans="2:5" x14ac:dyDescent="0.3">
      <c r="B17" s="5" t="s">
        <v>237</v>
      </c>
    </row>
    <row r="18" spans="2:5" x14ac:dyDescent="0.3">
      <c r="B18" s="5" t="s">
        <v>238</v>
      </c>
    </row>
    <row r="19" spans="2:5" x14ac:dyDescent="0.3">
      <c r="B19" s="5" t="s">
        <v>239</v>
      </c>
    </row>
    <row r="21" spans="2:5" x14ac:dyDescent="0.3">
      <c r="B21" s="728" t="s">
        <v>240</v>
      </c>
      <c r="C21" s="728"/>
      <c r="D21" s="728"/>
      <c r="E21" s="728"/>
    </row>
    <row r="22" spans="2:5" x14ac:dyDescent="0.3">
      <c r="B22" s="730" t="s">
        <v>241</v>
      </c>
      <c r="C22" s="730"/>
      <c r="D22" s="730"/>
      <c r="E22" s="730"/>
    </row>
    <row r="23" spans="2:5" x14ac:dyDescent="0.3">
      <c r="B23" s="730" t="s">
        <v>242</v>
      </c>
      <c r="C23" s="730"/>
      <c r="D23" s="730"/>
      <c r="E23" s="730"/>
    </row>
  </sheetData>
  <sheetProtection algorithmName="SHA-512" hashValue="71rIoIDizyGQHNQrpW6iPLVPz7J8w2hcJ7PUenMOOrCLOQdi6zZmnV61b+w4vlf7Wm+JzzVLwioSahfo5E6JAQ==" saltValue="RVfm8qSVIsu5bA3nGWeMCg==" spinCount="100000" sheet="1" formatCells="0" formatColumns="0" formatRows="0"/>
  <mergeCells count="7">
    <mergeCell ref="F5:F6"/>
    <mergeCell ref="B21:E21"/>
    <mergeCell ref="B12:E12"/>
    <mergeCell ref="B22:E22"/>
    <mergeCell ref="B23:E23"/>
    <mergeCell ref="C11:D11"/>
    <mergeCell ref="C10:D10"/>
  </mergeCells>
  <dataValidations count="3">
    <dataValidation type="list" allowBlank="1" showInputMessage="1" showErrorMessage="1" sqref="D4" xr:uid="{96F890FD-B8DE-4DED-8249-78ED1AC4FE7E}">
      <formula1>"80, 72.4"</formula1>
    </dataValidation>
    <dataValidation type="list" allowBlank="1" showInputMessage="1" showErrorMessage="1" sqref="D5" xr:uid="{8CE9291D-675A-4BFB-819A-F1A18010B2DF}">
      <formula1>"535, 445"</formula1>
    </dataValidation>
    <dataValidation type="list" allowBlank="1" showInputMessage="1" showErrorMessage="1" sqref="D6" xr:uid="{2CBE5E59-18D8-4DDF-B41E-9D3DBD46C910}">
      <formula1>"1070, 890"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73E7E-60EB-4022-BE19-E14BB305BE60}">
  <sheetPr codeName="Sheet2"/>
  <dimension ref="A1:B13"/>
  <sheetViews>
    <sheetView zoomScale="90" zoomScaleNormal="90" workbookViewId="0">
      <selection activeCell="C7" sqref="C7"/>
    </sheetView>
  </sheetViews>
  <sheetFormatPr defaultColWidth="9.08984375" defaultRowHeight="13" x14ac:dyDescent="0.3"/>
  <cols>
    <col min="1" max="1" width="18.08984375" style="1" customWidth="1"/>
    <col min="2" max="2" width="176.90625" style="1" customWidth="1"/>
    <col min="3" max="16384" width="9.08984375" style="1"/>
  </cols>
  <sheetData>
    <row r="1" spans="1:2" ht="15" x14ac:dyDescent="0.3">
      <c r="A1" s="162" t="s">
        <v>0</v>
      </c>
      <c r="B1" s="81"/>
    </row>
    <row r="2" spans="1:2" ht="31.75" customHeight="1" x14ac:dyDescent="0.3">
      <c r="A2" s="529" t="s">
        <v>397</v>
      </c>
      <c r="B2" s="529"/>
    </row>
    <row r="3" spans="1:2" x14ac:dyDescent="0.3">
      <c r="A3" s="81"/>
      <c r="B3" s="81"/>
    </row>
    <row r="4" spans="1:2" ht="13.5" thickBot="1" x14ac:dyDescent="0.35">
      <c r="A4" s="404" t="s">
        <v>1</v>
      </c>
      <c r="B4" s="404" t="s">
        <v>2</v>
      </c>
    </row>
    <row r="5" spans="1:2" ht="13.5" thickTop="1" x14ac:dyDescent="0.3">
      <c r="A5" s="298" t="s">
        <v>3</v>
      </c>
      <c r="B5" s="298" t="s">
        <v>457</v>
      </c>
    </row>
    <row r="6" spans="1:2" ht="78" x14ac:dyDescent="0.3">
      <c r="A6" s="9" t="s">
        <v>4</v>
      </c>
      <c r="B6" s="9" t="s">
        <v>458</v>
      </c>
    </row>
    <row r="7" spans="1:2" ht="39" x14ac:dyDescent="0.3">
      <c r="A7" s="9" t="s">
        <v>5</v>
      </c>
      <c r="B7" s="9" t="s">
        <v>459</v>
      </c>
    </row>
    <row r="8" spans="1:2" ht="42.65" customHeight="1" x14ac:dyDescent="0.3">
      <c r="A8" s="9" t="s">
        <v>6</v>
      </c>
      <c r="B8" s="9" t="s">
        <v>460</v>
      </c>
    </row>
    <row r="9" spans="1:2" ht="70.75" customHeight="1" x14ac:dyDescent="0.3">
      <c r="A9" s="9" t="s">
        <v>370</v>
      </c>
      <c r="B9" s="9" t="s">
        <v>7</v>
      </c>
    </row>
    <row r="10" spans="1:2" ht="27" customHeight="1" x14ac:dyDescent="0.3"/>
    <row r="11" spans="1:2" ht="27" customHeight="1" x14ac:dyDescent="0.3"/>
    <row r="12" spans="1:2" ht="27" customHeight="1" x14ac:dyDescent="0.3"/>
    <row r="13" spans="1:2" ht="27" customHeight="1" x14ac:dyDescent="0.3"/>
  </sheetData>
  <sheetProtection algorithmName="SHA-512" hashValue="q7PUSOQvxO1BWow4Gkem8vrflNb9/eYITi6YGbjuCB4jRbkNSQJb0VGsmPV1jLhwJtJ14/f/4+qU+EE1TdS7MA==" saltValue="WCHv48GwGMUfIqbNp/ixVQ==" spinCount="100000" sheet="1"/>
  <mergeCells count="1">
    <mergeCell ref="A2:B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C1A0-D2AE-4E8C-83FD-637F8818DD82}">
  <sheetPr codeName="Sheet10"/>
  <dimension ref="A1:F39"/>
  <sheetViews>
    <sheetView zoomScale="90" zoomScaleNormal="90" workbookViewId="0">
      <selection activeCell="B30" sqref="B30"/>
    </sheetView>
  </sheetViews>
  <sheetFormatPr defaultColWidth="9.08984375" defaultRowHeight="13" x14ac:dyDescent="0.3"/>
  <cols>
    <col min="1" max="1" width="54.08984375" style="1" bestFit="1" customWidth="1"/>
    <col min="2" max="2" width="77" style="1" bestFit="1" customWidth="1"/>
    <col min="3" max="3" width="94.90625" style="1" customWidth="1"/>
    <col min="4" max="4" width="29.08984375" style="1" customWidth="1"/>
    <col min="5" max="16384" width="9.08984375" style="1"/>
  </cols>
  <sheetData>
    <row r="1" spans="1:6" ht="15" x14ac:dyDescent="0.3">
      <c r="A1" s="157" t="s">
        <v>8</v>
      </c>
      <c r="B1" s="5"/>
      <c r="C1" s="5"/>
      <c r="D1" s="5"/>
      <c r="E1" s="5"/>
      <c r="F1" s="5"/>
    </row>
    <row r="2" spans="1:6" x14ac:dyDescent="0.3">
      <c r="A2" s="170" t="s">
        <v>9</v>
      </c>
      <c r="B2" s="170" t="s">
        <v>10</v>
      </c>
      <c r="C2" s="170" t="s">
        <v>11</v>
      </c>
      <c r="D2" s="5"/>
      <c r="E2" s="5"/>
      <c r="F2" s="5"/>
    </row>
    <row r="3" spans="1:6" x14ac:dyDescent="0.3">
      <c r="A3" s="530" t="s">
        <v>373</v>
      </c>
      <c r="B3" s="530"/>
      <c r="C3" s="530"/>
      <c r="D3" s="5"/>
      <c r="E3" s="5"/>
      <c r="F3" s="5"/>
    </row>
    <row r="4" spans="1:6" ht="65.400000000000006" customHeight="1" x14ac:dyDescent="0.4">
      <c r="A4" s="163" t="s">
        <v>371</v>
      </c>
      <c r="B4" s="175" t="s">
        <v>372</v>
      </c>
      <c r="C4" s="174" t="s">
        <v>461</v>
      </c>
      <c r="D4" s="5"/>
      <c r="E4" s="5"/>
      <c r="F4" s="5"/>
    </row>
    <row r="5" spans="1:6" ht="132" customHeight="1" x14ac:dyDescent="0.4">
      <c r="A5" s="163" t="s">
        <v>374</v>
      </c>
      <c r="B5" s="370" t="s">
        <v>407</v>
      </c>
      <c r="C5" s="174" t="s">
        <v>409</v>
      </c>
      <c r="D5" s="5"/>
      <c r="E5" s="5"/>
      <c r="F5" s="5"/>
    </row>
    <row r="6" spans="1:6" ht="72" x14ac:dyDescent="0.4">
      <c r="A6" s="163" t="s">
        <v>375</v>
      </c>
      <c r="B6" s="371" t="s">
        <v>408</v>
      </c>
      <c r="C6" s="372" t="s">
        <v>410</v>
      </c>
      <c r="D6" s="5"/>
      <c r="E6" s="5"/>
      <c r="F6" s="5"/>
    </row>
    <row r="7" spans="1:6" ht="85" x14ac:dyDescent="0.4">
      <c r="A7" s="163" t="s">
        <v>402</v>
      </c>
      <c r="B7" s="371" t="s">
        <v>411</v>
      </c>
      <c r="C7" s="372" t="s">
        <v>412</v>
      </c>
      <c r="D7" s="5"/>
      <c r="E7" s="5"/>
      <c r="F7" s="5"/>
    </row>
    <row r="8" spans="1:6" x14ac:dyDescent="0.3">
      <c r="A8" s="531" t="s">
        <v>13</v>
      </c>
      <c r="B8" s="532"/>
      <c r="C8" s="533"/>
      <c r="D8" s="5"/>
      <c r="E8" s="5"/>
      <c r="F8" s="5"/>
    </row>
    <row r="9" spans="1:6" x14ac:dyDescent="0.3">
      <c r="A9" s="367" t="s">
        <v>379</v>
      </c>
      <c r="B9" s="368" t="s">
        <v>380</v>
      </c>
      <c r="C9" s="172"/>
      <c r="D9" s="5"/>
      <c r="E9" s="5"/>
      <c r="F9" s="5"/>
    </row>
    <row r="10" spans="1:6" x14ac:dyDescent="0.3">
      <c r="A10" s="367" t="s">
        <v>16</v>
      </c>
      <c r="B10" s="368" t="s">
        <v>380</v>
      </c>
      <c r="C10" s="173"/>
      <c r="D10" s="5"/>
      <c r="E10" s="5"/>
      <c r="F10" s="5"/>
    </row>
    <row r="11" spans="1:6" ht="26" x14ac:dyDescent="0.3">
      <c r="A11" s="368" t="s">
        <v>17</v>
      </c>
      <c r="B11" s="368" t="s">
        <v>376</v>
      </c>
      <c r="C11" s="171" t="s">
        <v>18</v>
      </c>
      <c r="D11" s="5"/>
      <c r="E11" s="5"/>
      <c r="F11" s="5"/>
    </row>
    <row r="12" spans="1:6" ht="26" x14ac:dyDescent="0.3">
      <c r="A12" s="368" t="s">
        <v>19</v>
      </c>
      <c r="B12" s="368" t="s">
        <v>377</v>
      </c>
      <c r="C12" s="171" t="s">
        <v>18</v>
      </c>
      <c r="D12" s="5"/>
      <c r="E12" s="5"/>
      <c r="F12" s="5"/>
    </row>
    <row r="13" spans="1:6" ht="26" x14ac:dyDescent="0.3">
      <c r="A13" s="368" t="s">
        <v>21</v>
      </c>
      <c r="B13" s="368" t="s">
        <v>378</v>
      </c>
      <c r="C13" s="171" t="s">
        <v>18</v>
      </c>
      <c r="D13" s="5"/>
      <c r="E13" s="5"/>
      <c r="F13" s="5"/>
    </row>
    <row r="14" spans="1:6" x14ac:dyDescent="0.3">
      <c r="A14" s="530" t="s">
        <v>22</v>
      </c>
      <c r="B14" s="530"/>
      <c r="C14" s="530"/>
      <c r="D14" s="5"/>
      <c r="E14" s="5"/>
      <c r="F14" s="5"/>
    </row>
    <row r="15" spans="1:6" ht="148" x14ac:dyDescent="0.3">
      <c r="A15" s="163" t="s">
        <v>381</v>
      </c>
      <c r="B15" s="521" t="s">
        <v>469</v>
      </c>
      <c r="C15" s="372" t="s">
        <v>413</v>
      </c>
      <c r="D15" s="5"/>
      <c r="E15" s="5"/>
      <c r="F15" s="5"/>
    </row>
    <row r="16" spans="1:6" ht="39" x14ac:dyDescent="0.3">
      <c r="A16" s="163" t="s">
        <v>382</v>
      </c>
      <c r="B16" s="368" t="s">
        <v>383</v>
      </c>
      <c r="C16" s="174" t="s">
        <v>431</v>
      </c>
      <c r="D16" s="5"/>
      <c r="E16" s="5"/>
      <c r="F16" s="5"/>
    </row>
    <row r="17" spans="1:6" ht="117" x14ac:dyDescent="0.3">
      <c r="A17" s="163" t="s">
        <v>384</v>
      </c>
      <c r="B17" s="368" t="s">
        <v>23</v>
      </c>
      <c r="C17" s="205" t="s">
        <v>432</v>
      </c>
      <c r="D17" s="5"/>
      <c r="E17" s="5"/>
      <c r="F17" s="5"/>
    </row>
    <row r="18" spans="1:6" ht="65" x14ac:dyDescent="0.3">
      <c r="A18" s="163" t="s">
        <v>386</v>
      </c>
      <c r="B18" s="522" t="s">
        <v>406</v>
      </c>
      <c r="C18" s="174" t="s">
        <v>433</v>
      </c>
      <c r="D18" s="5"/>
      <c r="E18" s="5"/>
      <c r="F18" s="5"/>
    </row>
    <row r="19" spans="1:6" ht="78" x14ac:dyDescent="0.3">
      <c r="A19" s="163" t="s">
        <v>404</v>
      </c>
      <c r="B19" s="522" t="s">
        <v>405</v>
      </c>
      <c r="C19" s="174" t="s">
        <v>434</v>
      </c>
      <c r="D19" s="5"/>
      <c r="E19" s="5"/>
      <c r="F19" s="5"/>
    </row>
    <row r="20" spans="1:6" x14ac:dyDescent="0.3">
      <c r="A20" s="531" t="s">
        <v>24</v>
      </c>
      <c r="B20" s="532"/>
      <c r="C20" s="533"/>
      <c r="D20" s="5"/>
      <c r="E20" s="5"/>
      <c r="F20" s="5"/>
    </row>
    <row r="21" spans="1:6" s="3" customFormat="1" ht="39" x14ac:dyDescent="0.35">
      <c r="A21" s="367" t="s">
        <v>14</v>
      </c>
      <c r="B21" s="368" t="s">
        <v>15</v>
      </c>
      <c r="C21" s="367" t="s">
        <v>387</v>
      </c>
      <c r="D21" s="14"/>
      <c r="E21" s="14"/>
      <c r="F21" s="14"/>
    </row>
    <row r="22" spans="1:6" s="3" customFormat="1" x14ac:dyDescent="0.35">
      <c r="A22" s="367" t="s">
        <v>16</v>
      </c>
      <c r="B22" s="368" t="s">
        <v>15</v>
      </c>
      <c r="C22" s="523"/>
      <c r="D22" s="14"/>
      <c r="E22" s="14"/>
      <c r="F22" s="14"/>
    </row>
    <row r="23" spans="1:6" s="3" customFormat="1" ht="26" x14ac:dyDescent="0.35">
      <c r="A23" s="368" t="s">
        <v>17</v>
      </c>
      <c r="B23" s="368" t="s">
        <v>388</v>
      </c>
      <c r="C23" s="367" t="s">
        <v>18</v>
      </c>
      <c r="D23" s="14"/>
      <c r="E23" s="14"/>
      <c r="F23" s="14"/>
    </row>
    <row r="24" spans="1:6" s="3" customFormat="1" ht="26" x14ac:dyDescent="0.35">
      <c r="A24" s="368" t="s">
        <v>19</v>
      </c>
      <c r="B24" s="368" t="s">
        <v>20</v>
      </c>
      <c r="C24" s="367" t="s">
        <v>18</v>
      </c>
      <c r="D24" s="14"/>
      <c r="E24" s="14"/>
      <c r="F24" s="14"/>
    </row>
    <row r="25" spans="1:6" s="3" customFormat="1" ht="26" x14ac:dyDescent="0.35">
      <c r="A25" s="368" t="s">
        <v>21</v>
      </c>
      <c r="B25" s="368" t="s">
        <v>389</v>
      </c>
      <c r="C25" s="367" t="s">
        <v>18</v>
      </c>
      <c r="D25" s="14"/>
      <c r="E25" s="14"/>
      <c r="F25" s="14"/>
    </row>
    <row r="26" spans="1:6" x14ac:dyDescent="0.3">
      <c r="A26" s="531" t="s">
        <v>390</v>
      </c>
      <c r="B26" s="532"/>
      <c r="C26" s="533"/>
      <c r="D26" s="5"/>
      <c r="E26" s="5"/>
      <c r="F26" s="5"/>
    </row>
    <row r="27" spans="1:6" s="3" customFormat="1" ht="26" x14ac:dyDescent="0.35">
      <c r="A27" s="163" t="s">
        <v>391</v>
      </c>
      <c r="B27" s="163" t="s">
        <v>393</v>
      </c>
      <c r="C27" s="524" t="s">
        <v>394</v>
      </c>
      <c r="D27" s="14"/>
      <c r="E27" s="14"/>
      <c r="F27" s="14"/>
    </row>
    <row r="28" spans="1:6" s="3" customFormat="1" ht="26" x14ac:dyDescent="0.35">
      <c r="A28" s="163" t="s">
        <v>392</v>
      </c>
      <c r="B28" s="163" t="s">
        <v>395</v>
      </c>
      <c r="C28" s="524" t="s">
        <v>394</v>
      </c>
      <c r="D28" s="14"/>
      <c r="E28" s="14"/>
      <c r="F28" s="14"/>
    </row>
    <row r="29" spans="1:6" s="3" customFormat="1" ht="26" x14ac:dyDescent="0.35">
      <c r="A29" s="163" t="s">
        <v>21</v>
      </c>
      <c r="B29" s="163" t="s">
        <v>396</v>
      </c>
      <c r="C29" s="524" t="s">
        <v>394</v>
      </c>
      <c r="D29" s="14"/>
      <c r="E29" s="14"/>
      <c r="F29" s="14"/>
    </row>
    <row r="30" spans="1:6" s="405" customFormat="1" x14ac:dyDescent="0.3"/>
    <row r="31" spans="1:6" s="405" customFormat="1" x14ac:dyDescent="0.3"/>
    <row r="32" spans="1:6" s="405" customFormat="1" x14ac:dyDescent="0.3"/>
    <row r="33" s="405" customFormat="1" x14ac:dyDescent="0.3"/>
    <row r="34" s="405" customFormat="1" x14ac:dyDescent="0.3"/>
    <row r="35" s="405" customFormat="1" x14ac:dyDescent="0.3"/>
    <row r="36" s="405" customFormat="1" x14ac:dyDescent="0.3"/>
    <row r="37" s="405" customFormat="1" x14ac:dyDescent="0.3"/>
    <row r="38" s="405" customFormat="1" x14ac:dyDescent="0.3"/>
    <row r="39" s="405" customFormat="1" x14ac:dyDescent="0.3"/>
  </sheetData>
  <sheetProtection algorithmName="SHA-512" hashValue="apqiqJVcFWJj4jduUSZGRmkIFnw+Trhj3lVp/HHUbvOpxXNBxo/imX47Dd8LM402kN7YWExOIKSV2v/8nCHhBQ==" saltValue="1hYkN4foWm5CicRph/Czmw==" spinCount="100000" sheet="1" objects="1" scenarios="1"/>
  <mergeCells count="5">
    <mergeCell ref="A3:C3"/>
    <mergeCell ref="A8:C8"/>
    <mergeCell ref="A20:C20"/>
    <mergeCell ref="A14:C14"/>
    <mergeCell ref="A26:C2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2D050"/>
  </sheetPr>
  <dimension ref="A1:FD76"/>
  <sheetViews>
    <sheetView zoomScale="80" zoomScaleNormal="80" workbookViewId="0">
      <selection activeCell="C3" sqref="C3"/>
    </sheetView>
  </sheetViews>
  <sheetFormatPr defaultColWidth="8.90625" defaultRowHeight="13" x14ac:dyDescent="0.35"/>
  <cols>
    <col min="1" max="1" width="4.54296875" style="14" customWidth="1"/>
    <col min="2" max="2" width="5.08984375" style="11" customWidth="1"/>
    <col min="3" max="3" width="28" style="14" customWidth="1"/>
    <col min="4" max="4" width="21.453125" style="11" customWidth="1"/>
    <col min="5" max="5" width="19.90625" style="14" bestFit="1" customWidth="1"/>
    <col min="6" max="6" width="24.08984375" style="14" customWidth="1"/>
    <col min="7" max="7" width="27.453125" style="14" customWidth="1"/>
    <col min="8" max="8" width="22.54296875" style="14" customWidth="1"/>
    <col min="9" max="9" width="18.08984375" style="14" customWidth="1"/>
    <col min="10" max="10" width="3.90625" style="14" customWidth="1"/>
    <col min="11" max="11" width="28.54296875" style="14" customWidth="1"/>
    <col min="12" max="12" width="19" style="14" customWidth="1"/>
    <col min="13" max="13" width="16.54296875" style="14" customWidth="1"/>
    <col min="14" max="14" width="24.90625" style="14" customWidth="1"/>
    <col min="15" max="15" width="25.54296875" style="14" customWidth="1"/>
    <col min="16" max="16" width="19.08984375" style="14" customWidth="1"/>
    <col min="17" max="17" width="17" style="14" customWidth="1"/>
    <col min="18" max="18" width="3.08984375" style="14" customWidth="1"/>
    <col min="19" max="19" width="26.54296875" style="14" customWidth="1"/>
    <col min="20" max="20" width="16.90625" style="14" customWidth="1"/>
    <col min="21" max="21" width="18.90625" style="14" customWidth="1"/>
    <col min="22" max="22" width="22.453125" style="14" bestFit="1" customWidth="1"/>
    <col min="23" max="23" width="23.453125" style="14" bestFit="1" customWidth="1"/>
    <col min="24" max="24" width="20.453125" style="14" customWidth="1"/>
    <col min="25" max="25" width="22.453125" style="14" bestFit="1" customWidth="1"/>
    <col min="26" max="27" width="20.453125" style="14" customWidth="1"/>
    <col min="28" max="29" width="18.90625" style="14" customWidth="1"/>
    <col min="30" max="30" width="28.453125" style="3" customWidth="1"/>
    <col min="31" max="31" width="26.90625" style="3" customWidth="1"/>
    <col min="32" max="32" width="15.08984375" style="3" customWidth="1"/>
    <col min="33" max="33" width="17.90625" style="3" customWidth="1"/>
    <col min="34" max="34" width="22.453125" style="3" customWidth="1"/>
    <col min="35" max="35" width="21.90625" style="3" customWidth="1"/>
    <col min="36" max="36" width="17.453125" style="3" customWidth="1"/>
    <col min="37" max="37" width="14.54296875" style="14" customWidth="1"/>
    <col min="38" max="38" width="17.08984375" style="14" customWidth="1"/>
    <col min="39" max="39" width="16" style="14" customWidth="1"/>
    <col min="40" max="40" width="24.08984375" style="14" customWidth="1"/>
    <col min="41" max="41" width="15.54296875" style="14" customWidth="1"/>
    <col min="42" max="42" width="14.08984375" style="14" customWidth="1"/>
    <col min="43" max="44" width="8.90625" style="14"/>
    <col min="45" max="45" width="18.453125" style="14" customWidth="1"/>
    <col min="46" max="46" width="15" style="14" customWidth="1"/>
    <col min="47" max="47" width="21.453125" style="14" customWidth="1"/>
    <col min="48" max="48" width="15.453125" style="14" customWidth="1"/>
    <col min="49" max="49" width="16.54296875" style="14" customWidth="1"/>
    <col min="50" max="51" width="8.90625" style="14"/>
    <col min="52" max="52" width="17.90625" style="14" customWidth="1"/>
    <col min="53" max="53" width="14.453125" style="14" customWidth="1"/>
    <col min="54" max="54" width="18.54296875" style="14" customWidth="1"/>
    <col min="55" max="55" width="13.54296875" style="14" customWidth="1"/>
    <col min="56" max="56" width="15.08984375" style="14" customWidth="1"/>
    <col min="57" max="58" width="8.90625" style="14"/>
    <col min="59" max="59" width="16.08984375" style="14" customWidth="1"/>
    <col min="60" max="60" width="12" style="14" customWidth="1"/>
    <col min="61" max="61" width="18" style="14" customWidth="1"/>
    <col min="62" max="62" width="16.08984375" style="14" customWidth="1"/>
    <col min="63" max="63" width="14.08984375" style="14" customWidth="1"/>
    <col min="64" max="64" width="10.08984375" style="14" customWidth="1"/>
    <col min="65" max="16384" width="8.90625" style="14"/>
  </cols>
  <sheetData>
    <row r="1" spans="1:160" ht="13.5" thickBot="1" x14ac:dyDescent="0.4">
      <c r="J1" s="15"/>
      <c r="K1" s="15"/>
      <c r="L1" s="15"/>
      <c r="AD1" s="14"/>
      <c r="AE1" s="14"/>
      <c r="AF1" s="14"/>
      <c r="AG1" s="14"/>
      <c r="AH1" s="14"/>
      <c r="AI1" s="14"/>
      <c r="AJ1" s="14"/>
    </row>
    <row r="2" spans="1:160" s="15" customFormat="1" ht="14.4" customHeight="1" thickBot="1" x14ac:dyDescent="0.35">
      <c r="B2" s="24"/>
      <c r="C2" s="357" t="s">
        <v>25</v>
      </c>
      <c r="D2" s="567" t="s">
        <v>339</v>
      </c>
      <c r="E2" s="568"/>
      <c r="F2" s="569"/>
      <c r="G2" s="565" t="s">
        <v>26</v>
      </c>
      <c r="H2" s="566"/>
      <c r="L2" s="85"/>
    </row>
    <row r="3" spans="1:160" s="15" customFormat="1" ht="26" x14ac:dyDescent="0.3">
      <c r="B3" s="24"/>
      <c r="C3" s="358" t="s">
        <v>346</v>
      </c>
      <c r="D3" s="332" t="s">
        <v>294</v>
      </c>
      <c r="E3" s="326" t="s">
        <v>344</v>
      </c>
      <c r="F3" s="72" t="s">
        <v>345</v>
      </c>
      <c r="G3" s="71" t="s">
        <v>30</v>
      </c>
      <c r="H3" s="72" t="s">
        <v>31</v>
      </c>
      <c r="L3" s="85"/>
    </row>
    <row r="4" spans="1:160" s="15" customFormat="1" ht="30.75" customHeight="1" thickBot="1" x14ac:dyDescent="0.35">
      <c r="B4" s="24"/>
      <c r="C4" s="73" t="s">
        <v>243</v>
      </c>
      <c r="D4" s="19" t="s">
        <v>264</v>
      </c>
      <c r="E4" s="337" t="s">
        <v>107</v>
      </c>
      <c r="F4" s="74" t="s">
        <v>73</v>
      </c>
      <c r="G4" s="73">
        <v>50</v>
      </c>
      <c r="H4" s="359">
        <v>5</v>
      </c>
      <c r="L4" s="85"/>
    </row>
    <row r="5" spans="1:160" s="15" customFormat="1" ht="30" customHeight="1" x14ac:dyDescent="0.35">
      <c r="B5" s="24"/>
      <c r="C5" s="28"/>
      <c r="D5" s="570" t="s">
        <v>401</v>
      </c>
      <c r="E5" s="570"/>
      <c r="F5" s="570"/>
      <c r="H5" s="17"/>
      <c r="I5" s="75"/>
      <c r="L5" s="28"/>
    </row>
    <row r="6" spans="1:160" ht="13.5" x14ac:dyDescent="0.35">
      <c r="A6" s="15"/>
      <c r="C6" s="16" t="s">
        <v>341</v>
      </c>
      <c r="D6" s="24"/>
      <c r="E6" s="17"/>
      <c r="F6" s="17"/>
      <c r="G6" s="17"/>
      <c r="H6" s="17"/>
      <c r="I6" s="17"/>
      <c r="K6" s="16" t="s">
        <v>22</v>
      </c>
      <c r="M6" s="15"/>
      <c r="N6" s="15"/>
      <c r="O6" s="17"/>
      <c r="P6" s="17"/>
      <c r="R6" s="15"/>
      <c r="S6" s="16"/>
      <c r="T6" s="24"/>
      <c r="U6" s="17"/>
      <c r="V6" s="17"/>
      <c r="W6" s="17"/>
      <c r="X6" s="17"/>
      <c r="Y6" s="15"/>
      <c r="Z6" s="15"/>
      <c r="AA6" s="15"/>
      <c r="AB6" s="15"/>
      <c r="AD6" s="14"/>
      <c r="AE6" s="14"/>
      <c r="AF6" s="14"/>
      <c r="AG6" s="14"/>
      <c r="AH6" s="14"/>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row>
    <row r="7" spans="1:160" ht="13.5" thickBot="1" x14ac:dyDescent="0.4">
      <c r="A7" s="15"/>
      <c r="C7" s="18" t="s">
        <v>37</v>
      </c>
      <c r="G7" s="76"/>
      <c r="H7" s="77"/>
      <c r="I7" s="77"/>
      <c r="K7" s="18" t="s">
        <v>37</v>
      </c>
      <c r="N7" s="12"/>
      <c r="O7" s="17"/>
      <c r="P7" s="17"/>
      <c r="S7" s="18"/>
      <c r="T7" s="11"/>
      <c r="V7" s="77"/>
      <c r="W7" s="77"/>
      <c r="X7" s="77"/>
      <c r="AD7" s="14"/>
      <c r="AE7" s="14"/>
      <c r="AF7" s="14"/>
      <c r="AG7" s="14"/>
      <c r="AH7" s="14"/>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row>
    <row r="8" spans="1:160" ht="25.5" customHeight="1" x14ac:dyDescent="0.35">
      <c r="A8" s="15"/>
      <c r="C8" s="549" t="s">
        <v>38</v>
      </c>
      <c r="D8" s="538" t="s">
        <v>39</v>
      </c>
      <c r="E8" s="269" t="s">
        <v>308</v>
      </c>
      <c r="F8" s="269" t="s">
        <v>367</v>
      </c>
      <c r="G8" s="20" t="s">
        <v>368</v>
      </c>
      <c r="H8" s="27"/>
      <c r="I8" s="27"/>
      <c r="K8" s="549" t="s">
        <v>38</v>
      </c>
      <c r="L8" s="538" t="s">
        <v>39</v>
      </c>
      <c r="M8" s="269" t="s">
        <v>331</v>
      </c>
      <c r="N8" s="269" t="s">
        <v>365</v>
      </c>
      <c r="O8" s="20" t="s">
        <v>366</v>
      </c>
      <c r="S8" s="15"/>
      <c r="T8" s="15"/>
      <c r="U8" s="15"/>
      <c r="V8" s="15"/>
      <c r="W8" s="15"/>
      <c r="X8" s="15"/>
      <c r="Y8" s="27"/>
      <c r="Z8" s="27"/>
      <c r="AA8" s="27"/>
      <c r="AB8" s="27"/>
      <c r="AC8" s="27"/>
      <c r="AD8" s="14"/>
      <c r="AE8" s="14"/>
      <c r="AF8" s="14"/>
      <c r="AG8" s="14"/>
      <c r="AH8" s="14"/>
      <c r="AI8" s="14"/>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row>
    <row r="9" spans="1:160" ht="27.75" customHeight="1" thickBot="1" x14ac:dyDescent="0.4">
      <c r="A9" s="15"/>
      <c r="C9" s="550"/>
      <c r="D9" s="539"/>
      <c r="E9" s="22" t="s">
        <v>320</v>
      </c>
      <c r="F9" s="22" t="s">
        <v>310</v>
      </c>
      <c r="G9" s="23" t="s">
        <v>311</v>
      </c>
      <c r="H9" s="27"/>
      <c r="I9" s="27"/>
      <c r="K9" s="551"/>
      <c r="L9" s="548"/>
      <c r="M9" s="22" t="s">
        <v>364</v>
      </c>
      <c r="N9" s="22" t="s">
        <v>46</v>
      </c>
      <c r="O9" s="23" t="s">
        <v>362</v>
      </c>
      <c r="S9" s="15"/>
      <c r="T9" s="15"/>
      <c r="U9" s="15"/>
      <c r="V9" s="15"/>
      <c r="W9" s="15"/>
      <c r="X9" s="15"/>
      <c r="Y9" s="27"/>
      <c r="Z9" s="27"/>
      <c r="AA9" s="27"/>
      <c r="AB9" s="27"/>
      <c r="AC9" s="27"/>
      <c r="AD9" s="14"/>
      <c r="AE9" s="14"/>
      <c r="AF9" s="14"/>
      <c r="AG9" s="14"/>
      <c r="AH9" s="14"/>
      <c r="AI9" s="14"/>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row>
    <row r="10" spans="1:160" ht="15" customHeight="1" x14ac:dyDescent="0.35">
      <c r="A10" s="15"/>
      <c r="C10" s="554" t="str">
        <f>$F$4</f>
        <v>Worker</v>
      </c>
      <c r="D10" s="406" t="s">
        <v>52</v>
      </c>
      <c r="E10" s="187">
        <f>IF(SUMIFS(Inhalation_Exp[24hr_High-End],Inhalation_Exp[OES],$C$4,Inhalation_Exp[Similar Exposure Group (SEG)],$D$4,Inhalation_Exp[Worker Type],$F$4,Inhalation_Exp[Exposure Scenario],$E$4)=0,"Update Parameters",SUMIFS(Inhalation_Exp[24hr_High-End],Inhalation_Exp[OES],$C$4,Inhalation_Exp[Similar Exposure Group (SEG)],$D$4,Inhalation_Exp[Worker Type],$F$4,Inhalation_Exp[Exposure Scenario],$E$4))</f>
        <v>6.602061683569131</v>
      </c>
      <c r="F10" s="335">
        <f>IF(SUMIFS(Inhalation_Exp[Int_High-End],Inhalation_Exp[OES],$C$4,Inhalation_Exp[Similar Exposure Group (SEG)],$D$4,Inhalation_Exp[Worker Type],$F$4,Inhalation_Exp[Exposure Scenario],$E$4)=0,"Update Parameters",SUMIFS(Inhalation_Exp[Int_High-End],Inhalation_Exp[OES],$C$4,Inhalation_Exp[Similar Exposure Group (SEG)],$D$4,Inhalation_Exp[Worker Type],$F$4,Inhalation_Exp[Exposure Scenario],$E$4))</f>
        <v>4.8415119012840302</v>
      </c>
      <c r="G10" s="185">
        <f>IF(SUMIFS(Inhalation_Exp[ADC_High-End],Inhalation_Exp[OES],$C$4,Inhalation_Exp[Similar Exposure Group (SEG)],$D$4,Inhalation_Exp[Worker Type],$F$4,Inhalation_Exp[Exposure Scenario],$E$4)=0,"Update Parameters",SUMIFS(Inhalation_Exp[ADC_High-End],Inhalation_Exp[OES],$C$4,Inhalation_Exp[Similar Exposure Group (SEG)],$D$4,Inhalation_Exp[Worker Type],$F$4,Inhalation_Exp[Exposure Scenario],$E$4))</f>
        <v>4.5219600572391307</v>
      </c>
      <c r="H10" s="27"/>
      <c r="I10" s="49"/>
      <c r="K10" s="552" t="str">
        <f>$F$4</f>
        <v>Worker</v>
      </c>
      <c r="L10" s="406" t="s">
        <v>52</v>
      </c>
      <c r="M10" s="296">
        <f>IF(E10="Update Parameters","Update Parameters",IF(SUMIFS(Dermal_Exp[AAD_High-End],Dermal_Exp[OES],$C$4,Dermal_Exp[Similar Exposure Group (SEG)],$D$4,Dermal_Exp[Worker Type],$F$4)=0,"Not Applicable",SUMIFS(Dermal_Exp[AAD_High-End],Dermal_Exp[OES],$C$4,Dermal_Exp[Similar Exposure Group (SEG)],$D$4,Dermal_Exp[Worker Type],$F$4)))</f>
        <v>28.087499999999999</v>
      </c>
      <c r="N10" s="296">
        <f>IF($E$10="Update Parameters","Update Parameters",IF(SUMIFS(Dermal_Exp[IADD_High-End],Dermal_Exp[OES],$C$4,Dermal_Exp[Similar Exposure Group (SEG)],$D$4,Dermal_Exp[Worker Type],$F$4)=0,"Not Applicable",SUMIFS(Dermal_Exp[IADD_High-End],Dermal_Exp[OES],$C$4,Dermal_Exp[Similar Exposure Group (SEG)],$D$4,Dermal_Exp[Worker Type],$F$4)))</f>
        <v>20.5975</v>
      </c>
      <c r="O10" s="360">
        <f>IF($E$10="Update Parameters","Update Parameters",IF(SUMIFS(Dermal_Exp[AADD_High-End],Dermal_Exp[OES],$C$4,Dermal_Exp[Similar Exposure Group (SEG)],$D$4,Dermal_Exp[Worker Type],$F$4)=0,"Not Applicable",SUMIFS(Dermal_Exp[AADD_High-End],Dermal_Exp[OES],$C$4,Dermal_Exp[Similar Exposure Group (SEG)],$D$4,Dermal_Exp[Worker Type],$F$4)))</f>
        <v>19.238013698630137</v>
      </c>
      <c r="S10" s="15"/>
      <c r="T10" s="15"/>
      <c r="U10" s="15"/>
      <c r="V10" s="15"/>
      <c r="W10" s="15"/>
      <c r="X10" s="15"/>
      <c r="Y10" s="49"/>
      <c r="Z10" s="49"/>
      <c r="AA10" s="49"/>
      <c r="AB10" s="49"/>
      <c r="AC10" s="49"/>
      <c r="AD10" s="14"/>
      <c r="AE10" s="14"/>
      <c r="AF10" s="14"/>
      <c r="AG10" s="14"/>
      <c r="AH10" s="14"/>
      <c r="AI10" s="14"/>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row>
    <row r="11" spans="1:160" ht="15.75" customHeight="1" thickBot="1" x14ac:dyDescent="0.4">
      <c r="A11" s="15"/>
      <c r="C11" s="553"/>
      <c r="D11" s="398" t="s">
        <v>53</v>
      </c>
      <c r="E11" s="328">
        <f>IF(SUMIFS(Inhalation_Exp[24hr_Central Tendency],Inhalation_Exp[OES],$C$4,Inhalation_Exp[Similar Exposure Group (SEG)],$D$4,Inhalation_Exp[Worker Type],$F$4,Inhalation_Exp[Exposure Scenario],$E$4)=0,"Update Parameters",SUMIFS(Inhalation_Exp[24hr_Central Tendency],Inhalation_Exp[OES],$C$4,Inhalation_Exp[Similar Exposure Group (SEG)],$D$4,Inhalation_Exp[Worker Type],$F$4,Inhalation_Exp[Exposure Scenario],$E$4))</f>
        <v>1.9806185050707401</v>
      </c>
      <c r="F11" s="336">
        <f>IF(SUMIFS(Inhalation_Exp[Int_Central Tendency],Inhalation_Exp[OES],$C$4,Inhalation_Exp[Similar Exposure Group (SEG)],$D$4,Inhalation_Exp[Worker Type],$F$4,Inhalation_Exp[Exposure Scenario],$E$4)=0,"Update Parameters",SUMIFS(Inhalation_Exp[Int_Central Tendency],Inhalation_Exp[OES],$C$4,Inhalation_Exp[Similar Exposure Group (SEG)],$D$4,Inhalation_Exp[Worker Type],$F$4,Inhalation_Exp[Exposure Scenario],$E$4))</f>
        <v>1.4524535703852095</v>
      </c>
      <c r="G11" s="334">
        <f>IF(SUMIFS(Inhalation_Exp[ADC_Central Tendency],Inhalation_Exp[OES],$C$4,Inhalation_Exp[Similar Exposure Group (SEG)],$D$4,Inhalation_Exp[Worker Type],$F$4,Inhalation_Exp[Exposure Scenario],$E$4)=0,"Update Parameters",SUMIFS(Inhalation_Exp[ADC_Central Tendency],Inhalation_Exp[OES],$C$4,Inhalation_Exp[Similar Exposure Group (SEG)],$D$4,Inhalation_Exp[Worker Type],$F$4,Inhalation_Exp[Exposure Scenario],$E$4))</f>
        <v>1.2751927361414352</v>
      </c>
      <c r="H11" s="27"/>
      <c r="I11" s="49"/>
      <c r="K11" s="553"/>
      <c r="L11" s="398" t="s">
        <v>53</v>
      </c>
      <c r="M11" s="188">
        <f>IF($E$10="Update Parameters","Update Parameters",IF(SUMIFS(Dermal_Exp[AAD_Central Tendency],Dermal_Exp[OES],$C$4,Dermal_Exp[Similar Exposure Group (SEG)],$D$4,Dermal_Exp[Worker Type],$F$4)=0,"Not Applicable",SUMIFS(Dermal_Exp[AAD_Central Tendency],Dermal_Exp[OES],$C$4,Dermal_Exp[Similar Exposure Group (SEG)],$D$4,Dermal_Exp[Worker Type],$F$4)))</f>
        <v>9.3625000000000007</v>
      </c>
      <c r="N11" s="188">
        <f>IF($E$10="Update Parameters","Update Parameters",IF(SUMIFS(Dermal_Exp[IADD_Central Tendency],Dermal_Exp[OES],$C$4,Dermal_Exp[Similar Exposure Group (SEG)],$D$4,Dermal_Exp[Worker Type],$F$4)=0,"Not Applicable",SUMIFS(Dermal_Exp[IADD_Central Tendency],Dermal_Exp[OES],$C$4,Dermal_Exp[Similar Exposure Group (SEG)],$D$4,Dermal_Exp[Worker Type],$F$4)))</f>
        <v>6.8658333333333337</v>
      </c>
      <c r="O11" s="186">
        <f>IF($E$10="Update Parameters","Update Parameters",IF(SUMIFS(Dermal_Exp[AADD_Central Tendency],Dermal_Exp[OES],$C$4,Dermal_Exp[Similar Exposure Group (SEG)],$D$4,Dermal_Exp[Worker Type],$F$4)=0,"Not Applicable",SUMIFS(Dermal_Exp[AADD_Central Tendency],Dermal_Exp[OES],$C$4,Dermal_Exp[Similar Exposure Group (SEG)],$D$4,Dermal_Exp[Worker Type],$F$4)))</f>
        <v>6.0279109589041093</v>
      </c>
      <c r="S11" s="15"/>
      <c r="T11" s="15"/>
      <c r="U11" s="15"/>
      <c r="V11" s="15"/>
      <c r="W11" s="15"/>
      <c r="X11" s="15"/>
      <c r="Y11" s="49"/>
      <c r="Z11" s="49"/>
      <c r="AA11" s="49"/>
      <c r="AB11" s="49"/>
      <c r="AC11" s="49"/>
      <c r="AD11" s="14"/>
      <c r="AE11" s="14"/>
      <c r="AF11" s="14"/>
      <c r="AG11" s="14"/>
      <c r="AH11" s="14"/>
      <c r="AI11" s="14"/>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row>
    <row r="12" spans="1:160" ht="15" customHeight="1" x14ac:dyDescent="0.35">
      <c r="A12" s="15"/>
      <c r="B12" s="14"/>
      <c r="C12" s="29"/>
      <c r="D12" s="29"/>
      <c r="E12" s="3"/>
      <c r="F12" s="27"/>
      <c r="G12" s="27"/>
      <c r="H12" s="27"/>
      <c r="I12" s="75"/>
      <c r="K12" s="11"/>
      <c r="L12" s="50"/>
      <c r="M12" s="50"/>
      <c r="N12" s="50"/>
      <c r="O12" s="50"/>
      <c r="P12" s="50"/>
      <c r="Q12" s="15"/>
      <c r="R12" s="15"/>
      <c r="S12" s="16" t="s">
        <v>36</v>
      </c>
      <c r="T12" s="15"/>
      <c r="U12" s="15"/>
      <c r="V12" s="15"/>
      <c r="W12" s="15"/>
      <c r="X12" s="15"/>
      <c r="Y12" s="15"/>
      <c r="Z12" s="15"/>
      <c r="AA12" s="15"/>
      <c r="AB12" s="49"/>
      <c r="AC12" s="49"/>
      <c r="AD12" s="14"/>
      <c r="AE12" s="14"/>
      <c r="AF12" s="14"/>
      <c r="AG12" s="14"/>
      <c r="AH12" s="14"/>
      <c r="AI12" s="14"/>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row>
    <row r="13" spans="1:160" ht="15.75" customHeight="1" thickBot="1" x14ac:dyDescent="0.4">
      <c r="A13" s="15"/>
      <c r="B13" s="24"/>
      <c r="C13" s="30" t="s">
        <v>55</v>
      </c>
      <c r="D13" s="28"/>
      <c r="E13" s="17"/>
      <c r="F13" s="15"/>
      <c r="G13" s="28"/>
      <c r="H13" s="15"/>
      <c r="I13" s="15"/>
      <c r="K13" s="542" t="s">
        <v>56</v>
      </c>
      <c r="L13" s="542"/>
      <c r="M13" s="542"/>
      <c r="N13" s="543"/>
      <c r="O13" s="15"/>
      <c r="P13" s="15"/>
      <c r="Q13" s="15"/>
      <c r="S13" s="542" t="s">
        <v>57</v>
      </c>
      <c r="T13" s="542"/>
      <c r="U13" s="542"/>
      <c r="V13" s="543"/>
      <c r="W13" s="15"/>
      <c r="X13" s="15"/>
      <c r="Y13" s="15"/>
      <c r="Z13" s="15"/>
      <c r="AA13" s="15"/>
      <c r="AD13" s="14"/>
      <c r="AE13" s="14"/>
      <c r="AF13" s="14"/>
      <c r="AG13" s="14"/>
      <c r="AH13" s="14"/>
      <c r="AI13" s="14"/>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row>
    <row r="14" spans="1:160" s="3" customFormat="1" ht="26" x14ac:dyDescent="0.35">
      <c r="A14" s="15"/>
      <c r="B14" s="24"/>
      <c r="C14" s="555" t="s">
        <v>58</v>
      </c>
      <c r="D14" s="557" t="s">
        <v>343</v>
      </c>
      <c r="E14" s="536" t="s">
        <v>39</v>
      </c>
      <c r="F14" s="559" t="s">
        <v>59</v>
      </c>
      <c r="G14" s="269" t="s">
        <v>60</v>
      </c>
      <c r="H14" s="51" t="str">
        <f>_xlfn.CONCAT("Respirator Scenario: APF of ",$G$4)</f>
        <v>Respirator Scenario: APF of 50</v>
      </c>
      <c r="I14" s="14"/>
      <c r="J14" s="11"/>
      <c r="K14" s="555" t="s">
        <v>58</v>
      </c>
      <c r="L14" s="557" t="s">
        <v>342</v>
      </c>
      <c r="M14" s="536" t="s">
        <v>39</v>
      </c>
      <c r="N14" s="559" t="s">
        <v>59</v>
      </c>
      <c r="O14" s="331" t="s">
        <v>60</v>
      </c>
      <c r="P14" s="51" t="str">
        <f>_xlfn.CONCAT("Gloved Scenarios: GPF of ",$H$4)</f>
        <v>Gloved Scenarios: GPF of 5</v>
      </c>
      <c r="Q14" s="14"/>
      <c r="R14" s="14"/>
      <c r="S14" s="544" t="s">
        <v>58</v>
      </c>
      <c r="T14" s="536" t="s">
        <v>39</v>
      </c>
      <c r="U14" s="538" t="s">
        <v>59</v>
      </c>
      <c r="V14" s="269" t="s">
        <v>60</v>
      </c>
      <c r="W14" s="361" t="str">
        <f>_xlfn.CONCAT("Respirator-Only Scenario: APF of ",$G$4)</f>
        <v>Respirator-Only Scenario: APF of 50</v>
      </c>
      <c r="X14" s="52" t="str">
        <f>_xlfn.CONCAT("Gloved-only Scenario: APF of ",$H$4)</f>
        <v>Gloved-only Scenario: APF of 5</v>
      </c>
      <c r="Y14" s="51" t="s">
        <v>61</v>
      </c>
      <c r="Z14" s="15"/>
      <c r="AA14" s="24"/>
      <c r="AB14" s="24"/>
      <c r="AC14" s="24"/>
      <c r="AD14" s="14"/>
      <c r="AE14" s="14"/>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row>
    <row r="15" spans="1:160" s="24" customFormat="1" ht="30" customHeight="1" thickBot="1" x14ac:dyDescent="0.4">
      <c r="A15" s="15"/>
      <c r="C15" s="556"/>
      <c r="D15" s="558"/>
      <c r="E15" s="537"/>
      <c r="F15" s="560"/>
      <c r="G15" s="270" t="str">
        <f>IF($F$4="ONU","ONU MOE, No Respirator","Worker MOE, No Respirator")</f>
        <v>Worker MOE, No Respirator</v>
      </c>
      <c r="H15" s="25" t="str">
        <f>IF($F$4="ONU","ONU MOE, Respirator","Worker MOE, Respirator")</f>
        <v>Worker MOE, Respirator</v>
      </c>
      <c r="I15" s="14"/>
      <c r="J15" s="15"/>
      <c r="K15" s="556"/>
      <c r="L15" s="558"/>
      <c r="M15" s="537"/>
      <c r="N15" s="560"/>
      <c r="O15" s="270" t="str">
        <f>IF($F$4="ONU","ONU ","Worker ")&amp;"MOE, No Gloves"</f>
        <v>Worker MOE, No Gloves</v>
      </c>
      <c r="P15" s="53" t="str">
        <f>IF($F$4="ONU","ONU MOE, Gloves","Worker MOE, Gloves ")</f>
        <v xml:space="preserve">Worker MOE, Gloves </v>
      </c>
      <c r="Q15" s="14"/>
      <c r="R15" s="14"/>
      <c r="S15" s="545"/>
      <c r="T15" s="537"/>
      <c r="U15" s="539"/>
      <c r="V15" s="270" t="str">
        <f>IF($F$4="ONU","ONU ","Worker ")&amp;"MOE"</f>
        <v>Worker MOE</v>
      </c>
      <c r="W15" s="333" t="str">
        <f>IF($F$4="ONU","ONU MOE, Respirator","Worker MOE, Respirator")</f>
        <v>Worker MOE, Respirator</v>
      </c>
      <c r="X15" s="363" t="str">
        <f>IF($F$4="ONU","ONU MOE, Gloves","Worker MOE, Gloves ")</f>
        <v xml:space="preserve">Worker MOE, Gloves </v>
      </c>
      <c r="Y15" s="362" t="str">
        <f>IF($F$4="ONU","ONU MOE, Respirator &amp; Gloves","Worker MOE, Respirator &amp; Gloves")</f>
        <v>Worker MOE, Respirator &amp; Gloves</v>
      </c>
      <c r="Z15" s="27"/>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5"/>
      <c r="BL15" s="15"/>
      <c r="BM15" s="15"/>
      <c r="BN15" s="15"/>
      <c r="BO15" s="14"/>
      <c r="BP15" s="14"/>
      <c r="BQ15" s="14"/>
      <c r="BR15" s="14"/>
      <c r="BS15" s="14"/>
      <c r="BT15" s="14"/>
      <c r="BU15" s="14"/>
      <c r="BV15" s="14"/>
      <c r="BW15" s="14"/>
    </row>
    <row r="16" spans="1:160" s="24" customFormat="1" x14ac:dyDescent="0.35">
      <c r="A16" s="15"/>
      <c r="B16" s="24" t="s">
        <v>62</v>
      </c>
      <c r="C16" s="534" t="str">
        <f>_xlfn.CONCAT(_xlfn.XLOOKUP($B16,Tox_Table[Code],Tox_Table[Health Effect],"",0,1),"
",_xlfn.XLOOKUP($B16,Tox_Table[Code],Tox_Table[Endpoint],"",0,1),"
",_xlfn.XLOOKUP($B16,Tox_Table[Code],Tox_Table[Study],"",0,1))</f>
        <v>Reproductive Toxicity
Reproductive Organs
PBPK Model</v>
      </c>
      <c r="D16" s="561">
        <f>_xlfn.XLOOKUP($B16, Tox_Table[Code],Tox_Table[HEC (mg/m3)], FALSE)</f>
        <v>107</v>
      </c>
      <c r="E16" s="392" t="s">
        <v>52</v>
      </c>
      <c r="F16" s="274">
        <f>_xlfn.XLOOKUP($B16,Tox_Table[Code],Tox_Table[Benchmark MOE])</f>
        <v>30</v>
      </c>
      <c r="G16" s="54">
        <f>IFERROR(D16/$E$10,"Update Parameters")</f>
        <v>16.207058511176296</v>
      </c>
      <c r="H16" s="55">
        <f>IFERROR(G16*$G$4,"Update Parameters")</f>
        <v>810.35292555881483</v>
      </c>
      <c r="I16" s="14"/>
      <c r="J16" s="27"/>
      <c r="K16" s="534" t="str">
        <f>_xlfn.CONCAT(_xlfn.XLOOKUP($B16,Tox_Table[Code],Tox_Table[Health Effect],"",0,1),"
",_xlfn.XLOOKUP($B16,Tox_Table[Code],Tox_Table[Endpoint],"",0,1),"
",_xlfn.XLOOKUP($B16,Tox_Table[Code],Tox_Table[Study],"",0,1))</f>
        <v>Reproductive Toxicity
Reproductive Organs
PBPK Model</v>
      </c>
      <c r="L16" s="561">
        <f>_xlfn.XLOOKUP($B16, Tox_Table[Code],Tox_Table[HED / POD (mg/kg/day)], FALSE)</f>
        <v>394</v>
      </c>
      <c r="M16" s="392" t="s">
        <v>52</v>
      </c>
      <c r="N16" s="274">
        <f>_xlfn.XLOOKUP($B16,Tox_Table[Code],Tox_Table[Benchmark MOE])</f>
        <v>30</v>
      </c>
      <c r="O16" s="201">
        <f>IF($E$10="Update Parameters","Update Parameters",IFERROR(L16/$M$10, "Not Applicable"))</f>
        <v>14.027592345349355</v>
      </c>
      <c r="P16" s="55">
        <f>IF($E$10="Update Parameters","Update Parameters",IFERROR(L16/($M$10/$H$4), "Not Applicable"))</f>
        <v>70.137961726746781</v>
      </c>
      <c r="Q16" s="14"/>
      <c r="R16" s="14"/>
      <c r="S16" s="540" t="str">
        <f>_xlfn.CONCAT(_xlfn.XLOOKUP($B16,Tox_Table[Code],Tox_Table[Health Effect],"",0,1),"
",_xlfn.XLOOKUP($B16,Tox_Table[Code],Tox_Table[Endpoint],"",0,1),"
",_xlfn.XLOOKUP($B16,Tox_Table[Code],Tox_Table[Study],"",0,1))</f>
        <v>Reproductive Toxicity
Reproductive Organs
PBPK Model</v>
      </c>
      <c r="T16" s="41" t="s">
        <v>52</v>
      </c>
      <c r="U16" s="274">
        <f>_xlfn.XLOOKUP($B16,Tox_Table[Code],Tox_Table[Benchmark MOE])</f>
        <v>30</v>
      </c>
      <c r="V16" s="54">
        <f>IFERROR(1/((1/G16)+(1/O16)),"Aggregate Not Applicable")</f>
        <v>7.5193859850025966</v>
      </c>
      <c r="W16" s="54">
        <f>IFERROR(1/((1/H16)+(1/O16)),"Aggregate Not Applicable")</f>
        <v>13.788899966364509</v>
      </c>
      <c r="X16" s="54">
        <f>IFERROR(1/((1/G16)+(1/P16)),"Aggregate Not Applicable")</f>
        <v>13.164975194027139</v>
      </c>
      <c r="Y16" s="203">
        <f>IFERROR(1/((1/H16)+(1/P16)),"Aggregate Not Applicable")</f>
        <v>64.550926419262495</v>
      </c>
      <c r="Z16" s="27"/>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row>
    <row r="17" spans="1:77" s="24" customFormat="1" ht="30" customHeight="1" thickBot="1" x14ac:dyDescent="0.4">
      <c r="A17" s="15"/>
      <c r="B17" s="24" t="s">
        <v>62</v>
      </c>
      <c r="C17" s="535"/>
      <c r="D17" s="562"/>
      <c r="E17" s="391" t="s">
        <v>53</v>
      </c>
      <c r="F17" s="273">
        <f>_xlfn.XLOOKUP($B17,Tox_Table[Code],Tox_Table[Benchmark MOE])</f>
        <v>30</v>
      </c>
      <c r="G17" s="56">
        <f>IFERROR(D16/$E$11,"Update Parameters")</f>
        <v>54.023528370587634</v>
      </c>
      <c r="H17" s="57">
        <f>IFERROR(G17*$G$4,"Update Parameters")</f>
        <v>2701.1764185293819</v>
      </c>
      <c r="I17" s="234"/>
      <c r="J17" s="27"/>
      <c r="K17" s="535"/>
      <c r="L17" s="562"/>
      <c r="M17" s="391" t="s">
        <v>53</v>
      </c>
      <c r="N17" s="273">
        <f>_xlfn.XLOOKUP($B17,Tox_Table[Code],Tox_Table[Benchmark MOE])</f>
        <v>30</v>
      </c>
      <c r="O17" s="202">
        <f>IF($E$10="Update Parameters","Update Parameters",IFERROR(L16/$M$11, "Not Applicable"))</f>
        <v>42.082777036048064</v>
      </c>
      <c r="P17" s="57">
        <f>IF($E$10="Update Parameters","Update Parameters",IFERROR(L16/($M$11/$H$4), "Not Applicable"))</f>
        <v>210.41388518024033</v>
      </c>
      <c r="Q17" s="14"/>
      <c r="R17" s="14"/>
      <c r="S17" s="541"/>
      <c r="T17" s="38" t="s">
        <v>53</v>
      </c>
      <c r="U17" s="273">
        <f>_xlfn.XLOOKUP($B17,Tox_Table[Code],Tox_Table[Benchmark MOE])</f>
        <v>30</v>
      </c>
      <c r="V17" s="56">
        <f>IFERROR(1/((1/G17)+(1/O17)),"Aggregate Not Applicable")</f>
        <v>23.655680961835042</v>
      </c>
      <c r="W17" s="56">
        <f>IFERROR(1/((1/H17)+(1/O17)),"Aggregate Not Applicable")</f>
        <v>41.437209119633692</v>
      </c>
      <c r="X17" s="56">
        <f>IFERROR(1/((1/G17)+(1/P17)),"Aggregate Not Applicable")</f>
        <v>42.986733015429962</v>
      </c>
      <c r="Y17" s="204">
        <f>IFERROR(1/((1/H17)+(1/P17)),"Aggregate Not Applicable")</f>
        <v>195.20776122102998</v>
      </c>
      <c r="Z17" s="27"/>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row>
    <row r="18" spans="1:77" s="24" customFormat="1" ht="34.5" customHeight="1" thickBot="1" x14ac:dyDescent="0.4">
      <c r="A18" s="15"/>
      <c r="C18" s="30" t="s">
        <v>63</v>
      </c>
      <c r="D18" s="28"/>
      <c r="E18" s="17"/>
      <c r="F18" s="15"/>
      <c r="G18" s="28"/>
      <c r="H18" s="15"/>
      <c r="I18" s="15"/>
      <c r="J18" s="27"/>
      <c r="K18" s="542" t="s">
        <v>64</v>
      </c>
      <c r="L18" s="542"/>
      <c r="M18" s="542"/>
      <c r="N18" s="543"/>
      <c r="O18" s="17"/>
      <c r="P18" s="17"/>
      <c r="Q18" s="15"/>
      <c r="R18" s="14"/>
      <c r="S18" s="542" t="s">
        <v>65</v>
      </c>
      <c r="T18" s="542"/>
      <c r="U18" s="542"/>
      <c r="V18" s="543"/>
      <c r="W18" s="15"/>
      <c r="X18" s="15"/>
      <c r="Y18" s="15"/>
      <c r="Z18" s="232"/>
      <c r="AA18" s="232"/>
      <c r="AB18" s="27"/>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spans="1:77" s="24" customFormat="1" ht="34.5" customHeight="1" x14ac:dyDescent="0.35">
      <c r="A19" s="15"/>
      <c r="C19" s="555" t="s">
        <v>58</v>
      </c>
      <c r="D19" s="557" t="s">
        <v>343</v>
      </c>
      <c r="E19" s="536" t="s">
        <v>39</v>
      </c>
      <c r="F19" s="559" t="s">
        <v>59</v>
      </c>
      <c r="G19" s="269" t="s">
        <v>66</v>
      </c>
      <c r="H19" s="51" t="str">
        <f>_xlfn.CONCAT("Respirator Scenario: APF of ",$G$4)</f>
        <v>Respirator Scenario: APF of 50</v>
      </c>
      <c r="I19" s="14"/>
      <c r="J19" s="27"/>
      <c r="K19" s="544" t="s">
        <v>58</v>
      </c>
      <c r="L19" s="557" t="s">
        <v>342</v>
      </c>
      <c r="M19" s="536" t="s">
        <v>39</v>
      </c>
      <c r="N19" s="538" t="s">
        <v>59</v>
      </c>
      <c r="O19" s="331" t="s">
        <v>66</v>
      </c>
      <c r="P19" s="51" t="str">
        <f>_xlfn.CONCAT("Gloved Scenarios: GPF of ",$H$4)</f>
        <v>Gloved Scenarios: GPF of 5</v>
      </c>
      <c r="Q19" s="14"/>
      <c r="R19" s="14"/>
      <c r="S19" s="544" t="s">
        <v>58</v>
      </c>
      <c r="T19" s="536" t="s">
        <v>39</v>
      </c>
      <c r="U19" s="538" t="s">
        <v>59</v>
      </c>
      <c r="V19" s="269" t="s">
        <v>66</v>
      </c>
      <c r="W19" s="361" t="str">
        <f>_xlfn.CONCAT("Respirator-Only Scenario: APF of ",$G$4)</f>
        <v>Respirator-Only Scenario: APF of 50</v>
      </c>
      <c r="X19" s="52" t="str">
        <f>_xlfn.CONCAT("Gloved-only Scenario: APF of ",$H$4)</f>
        <v>Gloved-only Scenario: APF of 5</v>
      </c>
      <c r="Y19" s="51" t="s">
        <v>61</v>
      </c>
      <c r="Z19" s="27"/>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row>
    <row r="20" spans="1:77" s="24" customFormat="1" ht="30" customHeight="1" thickBot="1" x14ac:dyDescent="0.4">
      <c r="A20" s="15"/>
      <c r="C20" s="556"/>
      <c r="D20" s="558"/>
      <c r="E20" s="537"/>
      <c r="F20" s="560"/>
      <c r="G20" s="270" t="str">
        <f>IF($F$4="ONU","ONU MOE, No Respirator","Worker MOE, No Respirator")</f>
        <v>Worker MOE, No Respirator</v>
      </c>
      <c r="H20" s="25" t="str">
        <f>IF($F$4="ONU","ONU MOE, Respirator","Worker MOE, Respirator")</f>
        <v>Worker MOE, Respirator</v>
      </c>
      <c r="I20" s="14"/>
      <c r="J20" s="15"/>
      <c r="K20" s="546"/>
      <c r="L20" s="558"/>
      <c r="M20" s="547"/>
      <c r="N20" s="548"/>
      <c r="O20" s="270" t="str">
        <f>IF($F$4="ONU","ONU ","Worker ")&amp;"MOE, No Gloves"</f>
        <v>Worker MOE, No Gloves</v>
      </c>
      <c r="P20" s="53" t="str">
        <f>IF($F$4="ONU","ONU MOE, Gloves","Worker MOE, Gloves ")</f>
        <v xml:space="preserve">Worker MOE, Gloves </v>
      </c>
      <c r="Q20" s="14"/>
      <c r="R20" s="14"/>
      <c r="S20" s="545"/>
      <c r="T20" s="537"/>
      <c r="U20" s="539"/>
      <c r="V20" s="270" t="str">
        <f>IF($F$4="ONU","ONU ","Worker ")&amp;"MOE"</f>
        <v>Worker MOE</v>
      </c>
      <c r="W20" s="333" t="str">
        <f>IF($F$4="ONU","ONU MOE, Respirator","Worker MOE, Respirator")</f>
        <v>Worker MOE, Respirator</v>
      </c>
      <c r="X20" s="363" t="str">
        <f>IF($F$4="ONU","ONU MOE, Gloves","Worker MOE, Gloves ")</f>
        <v xml:space="preserve">Worker MOE, Gloves </v>
      </c>
      <c r="Y20" s="362" t="str">
        <f>IF($F$4="ONU","ONU MOE, Respirator &amp; Gloves","Worker MOE, Respirator &amp; Gloves")</f>
        <v>Worker MOE, Respirator &amp; Gloves</v>
      </c>
      <c r="Z20" s="27"/>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row>
    <row r="21" spans="1:77" s="24" customFormat="1" ht="30" customHeight="1" x14ac:dyDescent="0.35">
      <c r="A21" s="15"/>
      <c r="B21" s="28" t="s">
        <v>67</v>
      </c>
      <c r="C21" s="534" t="str">
        <f>_xlfn.CONCAT(_xlfn.XLOOKUP($B21,Tox_Table[Code],Tox_Table[Health Effect],"",0,1),"
",_xlfn.XLOOKUP($B21,Tox_Table[Code],Tox_Table[Endpoint],"",0,1),"
",_xlfn.XLOOKUP($B21,Tox_Table[Code],Tox_Table[Study],"",0,1))</f>
        <v>Reproductive Toxicity
Reproductive Organs
PBPK Model</v>
      </c>
      <c r="D21" s="561">
        <f>_xlfn.XLOOKUP($B21, Tox_Table[Code],Tox_Table[HEC (mg/m3)], FALSE)</f>
        <v>55.8</v>
      </c>
      <c r="E21" s="392" t="s">
        <v>52</v>
      </c>
      <c r="F21" s="274">
        <f>_xlfn.XLOOKUP($B21,Tox_Table[Code],Tox_Table[Benchmark MOE])</f>
        <v>30</v>
      </c>
      <c r="G21" s="54">
        <f>IFERROR(D21/$F$10,"Update Parameters")</f>
        <v>11.525325381354765</v>
      </c>
      <c r="H21" s="55">
        <f>IFERROR(G21*$G$4,"Update Parameters")</f>
        <v>576.26626906773822</v>
      </c>
      <c r="I21" s="14"/>
      <c r="J21" s="27"/>
      <c r="K21" s="534" t="str">
        <f>_xlfn.CONCAT(_xlfn.XLOOKUP($B21,Tox_Table[Code],Tox_Table[Health Effect],"",0,1),"
",_xlfn.XLOOKUP($B21,Tox_Table[Code],Tox_Table[Endpoint],"",0,1),"
",_xlfn.XLOOKUP($B21,Tox_Table[Code],Tox_Table[Study],"",0,1))</f>
        <v>Reproductive Toxicity
Reproductive Organs
PBPK Model</v>
      </c>
      <c r="L21" s="561">
        <f>_xlfn.XLOOKUP($B21, Tox_Table[Code],Tox_Table[HED / POD (mg/kg/day)], FALSE)</f>
        <v>326</v>
      </c>
      <c r="M21" s="392" t="s">
        <v>52</v>
      </c>
      <c r="N21" s="274">
        <f>_xlfn.XLOOKUP($B21,Tox_Table[Code],Tox_Table[Benchmark MOE])</f>
        <v>30</v>
      </c>
      <c r="O21" s="201">
        <f>IF($E$10="Update Parameters","Update Parameters",IFERROR(L21/$N$10, "Not Applicable"))</f>
        <v>15.827163490714893</v>
      </c>
      <c r="P21" s="55">
        <f>IF($E$10="Update Parameters","Update Parameters",IFERROR(L21/($N$10/$H$4), "Not Applicable"))</f>
        <v>79.135817453574461</v>
      </c>
      <c r="Q21" s="14"/>
      <c r="R21" s="14"/>
      <c r="S21" s="540" t="str">
        <f>_xlfn.CONCAT(_xlfn.XLOOKUP($B21,Tox_Table[Code],Tox_Table[Health Effect],"",0,1),"
",_xlfn.XLOOKUP($B21,Tox_Table[Code],Tox_Table[Endpoint],"",0,1),"
",_xlfn.XLOOKUP($B21,Tox_Table[Code],Tox_Table[Study],"",0,1))</f>
        <v>Reproductive Toxicity
Reproductive Organs
PBPK Model</v>
      </c>
      <c r="T21" s="41" t="s">
        <v>52</v>
      </c>
      <c r="U21" s="274">
        <f>_xlfn.XLOOKUP($B21,Tox_Table[Code],Tox_Table[Benchmark MOE])</f>
        <v>30</v>
      </c>
      <c r="V21" s="54">
        <f>IFERROR(1/((1/G21)+(1/O21)),"Aggregate Not Applicable")</f>
        <v>6.6689802872255157</v>
      </c>
      <c r="W21" s="54">
        <f>IFERROR(1/((1/H21)+(1/O21)),"Aggregate Not Applicable")</f>
        <v>15.404089883768428</v>
      </c>
      <c r="X21" s="54">
        <f>IFERROR(1/((1/G21)+(1/P21)),"Aggregate Not Applicable")</f>
        <v>10.060164883786854</v>
      </c>
      <c r="Y21" s="203">
        <f>IFERROR(1/((1/H21)+(1/P21)),"Aggregate Not Applicable")</f>
        <v>69.58064859946704</v>
      </c>
      <c r="Z21" s="27"/>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row>
    <row r="22" spans="1:77" s="24" customFormat="1" ht="30" customHeight="1" thickBot="1" x14ac:dyDescent="0.4">
      <c r="A22" s="15"/>
      <c r="B22" s="28" t="s">
        <v>67</v>
      </c>
      <c r="C22" s="535"/>
      <c r="D22" s="562"/>
      <c r="E22" s="391" t="s">
        <v>53</v>
      </c>
      <c r="F22" s="273">
        <f>_xlfn.XLOOKUP($B22,Tox_Table[Code],Tox_Table[Benchmark MOE])</f>
        <v>30</v>
      </c>
      <c r="G22" s="56">
        <f>IFERROR(D21/$F$11,"Update Parameters")</f>
        <v>38.417751271182539</v>
      </c>
      <c r="H22" s="57">
        <f>IFERROR(G22*$G$4,"Update Parameters")</f>
        <v>1920.8875635591269</v>
      </c>
      <c r="I22" s="234"/>
      <c r="J22" s="27"/>
      <c r="K22" s="535"/>
      <c r="L22" s="562"/>
      <c r="M22" s="391" t="s">
        <v>53</v>
      </c>
      <c r="N22" s="273">
        <f>_xlfn.XLOOKUP($B22,Tox_Table[Code],Tox_Table[Benchmark MOE])</f>
        <v>30</v>
      </c>
      <c r="O22" s="202">
        <f>IF($E$10="Update Parameters","Update Parameters",IFERROR(L21/$N$11, "Not Applicable"))</f>
        <v>47.481490472144678</v>
      </c>
      <c r="P22" s="57">
        <f>IF($E$10="Update Parameters","Update Parameters",IFERROR(L21/($N$11/$H$4), "Not Applicable"))</f>
        <v>237.4074523607234</v>
      </c>
      <c r="Q22" s="14"/>
      <c r="R22" s="14"/>
      <c r="S22" s="541"/>
      <c r="T22" s="38" t="s">
        <v>53</v>
      </c>
      <c r="U22" s="273">
        <f>_xlfn.XLOOKUP($B22,Tox_Table[Code],Tox_Table[Benchmark MOE])</f>
        <v>30</v>
      </c>
      <c r="V22" s="56">
        <f>IFERROR(1/((1/G22)+(1/O22)),"Aggregate Not Applicable")</f>
        <v>21.235718196378365</v>
      </c>
      <c r="W22" s="56">
        <f>IFERROR(1/((1/H22)+(1/O22)),"Aggregate Not Applicable")</f>
        <v>46.336130087190895</v>
      </c>
      <c r="X22" s="56">
        <f>IFERROR(1/((1/G22)+(1/P22)),"Aggregate Not Applicable")</f>
        <v>33.066813092581228</v>
      </c>
      <c r="Y22" s="204">
        <f>IFERROR(1/((1/H22)+(1/P22)),"Aggregate Not Applicable")</f>
        <v>211.29318252241404</v>
      </c>
      <c r="Z22" s="27"/>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row>
    <row r="23" spans="1:77" s="24" customFormat="1" ht="34.5" customHeight="1" thickBot="1" x14ac:dyDescent="0.4">
      <c r="A23" s="15"/>
      <c r="B23" s="28"/>
      <c r="C23" s="31" t="s">
        <v>68</v>
      </c>
      <c r="D23" s="31"/>
      <c r="E23" s="58"/>
      <c r="F23" s="78"/>
      <c r="G23" s="79"/>
      <c r="H23" s="80"/>
      <c r="I23" s="29"/>
      <c r="J23" s="27"/>
      <c r="K23" s="31" t="s">
        <v>69</v>
      </c>
      <c r="L23" s="31"/>
      <c r="M23" s="31"/>
      <c r="N23" s="80"/>
      <c r="O23" s="29"/>
      <c r="P23" s="29"/>
      <c r="Q23" s="30"/>
      <c r="R23" s="15"/>
      <c r="S23" s="31" t="s">
        <v>70</v>
      </c>
      <c r="T23" s="31"/>
      <c r="U23" s="31"/>
      <c r="V23" s="80"/>
      <c r="W23" s="79"/>
      <c r="X23" s="80"/>
      <c r="Y23" s="80"/>
      <c r="Z23" s="30"/>
      <c r="AA23" s="29"/>
      <c r="AB23" s="27"/>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row>
    <row r="24" spans="1:77" s="24" customFormat="1" ht="34.5" customHeight="1" x14ac:dyDescent="0.35">
      <c r="A24" s="15"/>
      <c r="B24" s="28"/>
      <c r="C24" s="555" t="s">
        <v>58</v>
      </c>
      <c r="D24" s="557" t="s">
        <v>343</v>
      </c>
      <c r="E24" s="536" t="s">
        <v>39</v>
      </c>
      <c r="F24" s="559" t="s">
        <v>59</v>
      </c>
      <c r="G24" s="269" t="s">
        <v>71</v>
      </c>
      <c r="H24" s="51" t="str">
        <f>_xlfn.CONCAT("Respirator Scenario: APF of ",$G$4)</f>
        <v>Respirator Scenario: APF of 50</v>
      </c>
      <c r="I24" s="14"/>
      <c r="J24" s="27"/>
      <c r="K24" s="555" t="s">
        <v>58</v>
      </c>
      <c r="L24" s="557" t="s">
        <v>342</v>
      </c>
      <c r="M24" s="536" t="s">
        <v>39</v>
      </c>
      <c r="N24" s="559" t="s">
        <v>59</v>
      </c>
      <c r="O24" s="331" t="s">
        <v>71</v>
      </c>
      <c r="P24" s="51" t="str">
        <f>_xlfn.CONCAT("Gloved Scenarios: GPF of ",$H$4)</f>
        <v>Gloved Scenarios: GPF of 5</v>
      </c>
      <c r="Q24" s="14"/>
      <c r="R24" s="14"/>
      <c r="S24" s="544" t="s">
        <v>58</v>
      </c>
      <c r="T24" s="536" t="s">
        <v>39</v>
      </c>
      <c r="U24" s="538" t="s">
        <v>59</v>
      </c>
      <c r="V24" s="269" t="s">
        <v>71</v>
      </c>
      <c r="W24" s="361" t="str">
        <f>_xlfn.CONCAT("Respirator-Only Scenario: APF of ",$G$4)</f>
        <v>Respirator-Only Scenario: APF of 50</v>
      </c>
      <c r="X24" s="52" t="str">
        <f>_xlfn.CONCAT("Gloved-only Scenario: APF of ",$H$4)</f>
        <v>Gloved-only Scenario: APF of 5</v>
      </c>
      <c r="Y24" s="51" t="s">
        <v>61</v>
      </c>
      <c r="Z24" s="29"/>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row>
    <row r="25" spans="1:77" s="24" customFormat="1" ht="30" customHeight="1" thickBot="1" x14ac:dyDescent="0.4">
      <c r="A25" s="15"/>
      <c r="B25" s="28"/>
      <c r="C25" s="556"/>
      <c r="D25" s="558"/>
      <c r="E25" s="537"/>
      <c r="F25" s="560"/>
      <c r="G25" s="270" t="str">
        <f>IF($F$4="ONU","ONU MOE, No Respirator","Worker MOE, No Respirator")</f>
        <v>Worker MOE, No Respirator</v>
      </c>
      <c r="H25" s="25" t="str">
        <f>IF($F$4="ONU","ONU MOE, Respirator","Worker MOE, Respirator")</f>
        <v>Worker MOE, Respirator</v>
      </c>
      <c r="I25" s="14"/>
      <c r="J25" s="29"/>
      <c r="K25" s="556"/>
      <c r="L25" s="558"/>
      <c r="M25" s="537"/>
      <c r="N25" s="560"/>
      <c r="O25" s="270" t="str">
        <f>IF($F$4="ONU","ONU ","Worker ")&amp;"MOE, No Gloves"</f>
        <v>Worker MOE, No Gloves</v>
      </c>
      <c r="P25" s="53" t="str">
        <f>IF($F$4="ONU","ONU MOE, Gloves","Worker MOE, Gloves ")</f>
        <v xml:space="preserve">Worker MOE, Gloves </v>
      </c>
      <c r="Q25" s="14"/>
      <c r="R25" s="14"/>
      <c r="S25" s="546"/>
      <c r="T25" s="547"/>
      <c r="U25" s="548"/>
      <c r="V25" s="270" t="str">
        <f>IF($F$4="ONU","ONU ","Worker ")&amp;"MOE"</f>
        <v>Worker MOE</v>
      </c>
      <c r="W25" s="333" t="str">
        <f>IF($F$4="ONU","ONU MOE, Respirator","Worker MOE, Respirator")</f>
        <v>Worker MOE, Respirator</v>
      </c>
      <c r="X25" s="363" t="str">
        <f>IF($F$4="ONU","ONU MOE, Gloves","Worker MOE, Gloves ")</f>
        <v xml:space="preserve">Worker MOE, Gloves </v>
      </c>
      <c r="Y25" s="362" t="str">
        <f>IF($F$4="ONU","ONU MOE, Respirator &amp; Gloves","Worker MOE, Respirator &amp; Gloves")</f>
        <v>Worker MOE, Respirator &amp; Gloves</v>
      </c>
      <c r="Z25" s="27"/>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4"/>
      <c r="BL25" s="14"/>
      <c r="BM25" s="14"/>
      <c r="BN25" s="14"/>
      <c r="BO25" s="14"/>
      <c r="BP25" s="14"/>
      <c r="BQ25" s="14"/>
      <c r="BR25" s="14"/>
      <c r="BS25" s="14"/>
      <c r="BT25" s="14"/>
      <c r="BU25" s="14"/>
      <c r="BV25" s="14"/>
      <c r="BW25" s="14"/>
    </row>
    <row r="26" spans="1:77" s="24" customFormat="1" ht="35.25" customHeight="1" x14ac:dyDescent="0.35">
      <c r="A26" s="15"/>
      <c r="B26" s="11" t="s">
        <v>72</v>
      </c>
      <c r="C26" s="534" t="str">
        <f>_xlfn.CONCAT(_xlfn.XLOOKUP($B26,Tox_Table[Code],Tox_Table[Health Effect],"",0,1),"
",_xlfn.XLOOKUP($B26,Tox_Table[Code],Tox_Table[Endpoint],"",0,1),"
",_xlfn.XLOOKUP($B26,Tox_Table[Code],Tox_Table[Study],"",0,1))</f>
        <v>Reproductive Toxicity
Reproductive Organs
PBPK Model</v>
      </c>
      <c r="D26" s="561">
        <f>_xlfn.XLOOKUP($B26, Tox_Table[Code],Tox_Table[HEC (mg/m3)], FALSE)</f>
        <v>55.8</v>
      </c>
      <c r="E26" s="392" t="s">
        <v>52</v>
      </c>
      <c r="F26" s="274">
        <f>_xlfn.XLOOKUP($B26,Tox_Table[Code],Tox_Table[Benchmark MOE])</f>
        <v>30</v>
      </c>
      <c r="G26" s="59">
        <f>IFERROR(D26/$G$10, "Update Parameters")</f>
        <v>12.339781708303837</v>
      </c>
      <c r="H26" s="60">
        <f>IFERROR(G26*$G$4,"Update Parameters")</f>
        <v>616.98908541519188</v>
      </c>
      <c r="I26" s="14"/>
      <c r="J26" s="27"/>
      <c r="K26" s="540" t="str">
        <f>_xlfn.CONCAT(_xlfn.XLOOKUP($B26,Tox_Table[Code],Tox_Table[Health Effect],"",0,1),"
",_xlfn.XLOOKUP($B26,Tox_Table[Code],Tox_Table[Endpoint],"",0,1),"
",_xlfn.XLOOKUP($B26,Tox_Table[Code],Tox_Table[Study],"",0,1))</f>
        <v>Reproductive Toxicity
Reproductive Organs
PBPK Model</v>
      </c>
      <c r="L26" s="563">
        <f>_xlfn.XLOOKUP($B26, Tox_Table[Code],Tox_Table[HED / POD (mg/kg/day)], FALSE)</f>
        <v>326</v>
      </c>
      <c r="M26" s="392" t="s">
        <v>52</v>
      </c>
      <c r="N26" s="274">
        <f>_xlfn.XLOOKUP($B26,Tox_Table[Code],Tox_Table[Benchmark MOE])</f>
        <v>30</v>
      </c>
      <c r="O26" s="201">
        <f>IF($E$10="Update Parameters","Update Parameters",IFERROR(L26/$O$10, "Not Applicable"))</f>
        <v>16.945616377392078</v>
      </c>
      <c r="P26" s="55">
        <f>IF($E$10="Update Parameters","Update Parameters",IFERROR(L26/($O$10/$H$4), "Not Applicable"))</f>
        <v>84.728081886960396</v>
      </c>
      <c r="Q26" s="14"/>
      <c r="R26" s="14"/>
      <c r="S26" s="534" t="str">
        <f>_xlfn.CONCAT(_xlfn.XLOOKUP($B26,Tox_Table[Code],Tox_Table[Health Effect],"",0,1),"
",_xlfn.XLOOKUP($B26,Tox_Table[Code],Tox_Table[Endpoint],"",0,1),"
",_xlfn.XLOOKUP($B26,Tox_Table[Code],Tox_Table[Study],"",0,1))</f>
        <v>Reproductive Toxicity
Reproductive Organs
PBPK Model</v>
      </c>
      <c r="T26" s="41" t="s">
        <v>52</v>
      </c>
      <c r="U26" s="274">
        <f>_xlfn.XLOOKUP($B26,Tox_Table[Code],Tox_Table[Benchmark MOE])</f>
        <v>30</v>
      </c>
      <c r="V26" s="54">
        <f>IFERROR(1/((1/G26)+(1/O26)),"Aggregate Not Applicable")</f>
        <v>7.1402548941894537</v>
      </c>
      <c r="W26" s="54">
        <f>IFERROR(1/((1/H26)+(1/O26)),"Aggregate Not Applicable")</f>
        <v>16.492645568888065</v>
      </c>
      <c r="X26" s="54">
        <f>IFERROR(1/((1/G26)+(1/P26)),"Aggregate Not Applicable")</f>
        <v>10.771083202241126</v>
      </c>
      <c r="Y26" s="203">
        <f>IFERROR(1/((1/H26)+(1/P26)),"Aggregate Not Applicable")</f>
        <v>74.497681100496067</v>
      </c>
      <c r="Z26" s="27"/>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row>
    <row r="27" spans="1:77" s="24" customFormat="1" ht="30" customHeight="1" thickBot="1" x14ac:dyDescent="0.4">
      <c r="A27" s="15"/>
      <c r="B27" s="11" t="s">
        <v>72</v>
      </c>
      <c r="C27" s="535"/>
      <c r="D27" s="562"/>
      <c r="E27" s="391" t="s">
        <v>53</v>
      </c>
      <c r="F27" s="273">
        <f>_xlfn.XLOOKUP($B27,Tox_Table[Code],Tox_Table[Benchmark MOE])</f>
        <v>30</v>
      </c>
      <c r="G27" s="62">
        <f>IFERROR(D26/$G$11, "Update Parameters")</f>
        <v>43.758091164197992</v>
      </c>
      <c r="H27" s="63">
        <f>IFERROR(G27*$G$4,"Update Parameters")</f>
        <v>2187.9045582098997</v>
      </c>
      <c r="I27" s="356"/>
      <c r="J27" s="27"/>
      <c r="K27" s="541"/>
      <c r="L27" s="564"/>
      <c r="M27" s="391" t="s">
        <v>53</v>
      </c>
      <c r="N27" s="273">
        <f>_xlfn.XLOOKUP($B27,Tox_Table[Code],Tox_Table[Benchmark MOE])</f>
        <v>30</v>
      </c>
      <c r="O27" s="202">
        <f>IF($E$10="Update Parameters","Update Parameters",IFERROR(L26/$O$11, "Not Applicable"))</f>
        <v>54.081754395932165</v>
      </c>
      <c r="P27" s="57">
        <f>IF($E$10="Update Parameters","Update Parameters",IFERROR(L26/($O$11/$H$4), "Not Applicable"))</f>
        <v>270.40877197966086</v>
      </c>
      <c r="Q27" s="234"/>
      <c r="R27" s="14"/>
      <c r="S27" s="535"/>
      <c r="T27" s="38" t="s">
        <v>53</v>
      </c>
      <c r="U27" s="273">
        <f>_xlfn.XLOOKUP($B27,Tox_Table[Code],Tox_Table[Benchmark MOE])</f>
        <v>30</v>
      </c>
      <c r="V27" s="56">
        <f>IFERROR(1/((1/G27)+(1/O27)),"Aggregate Not Applicable")</f>
        <v>24.187633633605433</v>
      </c>
      <c r="W27" s="56">
        <f>IFERROR(1/((1/H27)+(1/O27)),"Aggregate Not Applicable")</f>
        <v>52.777180794346513</v>
      </c>
      <c r="X27" s="56">
        <f>IFERROR(1/((1/G27)+(1/P27)),"Aggregate Not Applicable")</f>
        <v>37.663334628854933</v>
      </c>
      <c r="Y27" s="204">
        <f>IFERROR(1/((1/H27)+(1/P27)),"Aggregate Not Applicable")</f>
        <v>240.66443342623904</v>
      </c>
      <c r="Z27" s="61"/>
      <c r="AA27" s="15"/>
      <c r="AB27" s="15"/>
      <c r="AC27" s="15"/>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row>
    <row r="28" spans="1:77" s="15" customFormat="1" ht="37.5" customHeight="1" x14ac:dyDescent="0.35">
      <c r="B28" s="28"/>
      <c r="C28" s="28"/>
      <c r="D28" s="14"/>
      <c r="E28" s="64"/>
      <c r="F28" s="65"/>
      <c r="G28" s="66"/>
      <c r="H28" s="67"/>
      <c r="K28" s="28"/>
      <c r="L28" s="28"/>
      <c r="M28" s="28"/>
      <c r="N28" s="64"/>
      <c r="O28" s="14"/>
      <c r="P28" s="14"/>
      <c r="Q28" s="14"/>
      <c r="R28" s="14"/>
      <c r="S28" s="28"/>
      <c r="T28" s="28"/>
      <c r="U28" s="28"/>
      <c r="V28" s="64"/>
      <c r="W28" s="66"/>
      <c r="X28" s="67"/>
      <c r="Z28" s="14"/>
      <c r="AB28" s="61"/>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row>
    <row r="29" spans="1:77" s="15" customFormat="1" ht="40.5" customHeight="1" x14ac:dyDescent="0.35">
      <c r="K29" s="14"/>
      <c r="L29" s="14"/>
      <c r="M29" s="14"/>
      <c r="N29" s="14"/>
      <c r="O29" s="14"/>
      <c r="P29" s="14"/>
      <c r="R29" s="14"/>
      <c r="S29" s="14"/>
      <c r="T29" s="14"/>
      <c r="U29" s="14"/>
      <c r="V29" s="14"/>
      <c r="W29" s="14"/>
      <c r="X29" s="14"/>
      <c r="Y29" s="14"/>
      <c r="Z29" s="14"/>
      <c r="AA29" s="14"/>
      <c r="AC29" s="14"/>
      <c r="AD29" s="14"/>
      <c r="AE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row>
    <row r="30" spans="1:77" x14ac:dyDescent="0.35">
      <c r="A30" s="24"/>
      <c r="B30" s="28"/>
      <c r="J30" s="15"/>
      <c r="O30" s="15"/>
      <c r="P30" s="15"/>
      <c r="Q30" s="15"/>
      <c r="AB30" s="27"/>
      <c r="AD30" s="14"/>
      <c r="AE30" s="14"/>
      <c r="AF30" s="14"/>
      <c r="AG30" s="14"/>
      <c r="AH30" s="14"/>
      <c r="AI30" s="14"/>
      <c r="AJ30" s="14"/>
    </row>
    <row r="31" spans="1:77" ht="36" customHeight="1" x14ac:dyDescent="0.35">
      <c r="A31" s="24"/>
      <c r="B31" s="24"/>
      <c r="J31" s="27"/>
      <c r="Q31" s="15"/>
      <c r="AB31" s="27"/>
      <c r="AD31" s="14"/>
      <c r="AE31" s="14"/>
      <c r="AF31" s="14"/>
      <c r="AG31" s="14"/>
      <c r="AH31" s="14"/>
      <c r="AI31" s="14"/>
      <c r="AJ31" s="14"/>
    </row>
    <row r="32" spans="1:77" ht="30" customHeight="1" x14ac:dyDescent="0.35">
      <c r="A32" s="15"/>
      <c r="J32" s="27"/>
      <c r="Q32" s="15"/>
      <c r="AB32" s="68"/>
      <c r="AD32" s="14"/>
      <c r="AE32" s="14"/>
      <c r="AF32" s="14"/>
      <c r="AG32" s="14"/>
      <c r="AH32" s="14"/>
      <c r="AI32" s="14"/>
      <c r="AJ32" s="14"/>
    </row>
    <row r="33" spans="1:77" ht="24.75" customHeight="1" x14ac:dyDescent="0.35">
      <c r="A33" s="15"/>
      <c r="J33" s="68"/>
      <c r="AB33" s="68"/>
      <c r="AC33" s="15"/>
      <c r="AD33" s="15"/>
      <c r="AE33" s="15"/>
      <c r="AF33" s="14"/>
      <c r="AG33" s="14"/>
      <c r="AH33" s="14"/>
      <c r="AI33" s="14"/>
      <c r="AJ33" s="14"/>
    </row>
    <row r="34" spans="1:77" s="15" customFormat="1" ht="28.5" customHeight="1" x14ac:dyDescent="0.35">
      <c r="B34" s="11"/>
      <c r="C34" s="14"/>
      <c r="D34" s="11"/>
      <c r="E34" s="14"/>
      <c r="F34" s="14"/>
      <c r="G34" s="14"/>
      <c r="H34" s="14"/>
      <c r="I34" s="14"/>
      <c r="J34" s="68"/>
      <c r="K34" s="14"/>
      <c r="L34" s="14"/>
      <c r="M34" s="14"/>
      <c r="N34" s="14"/>
      <c r="O34" s="14"/>
      <c r="P34" s="14"/>
      <c r="Q34" s="14"/>
      <c r="R34" s="14"/>
      <c r="S34" s="14"/>
      <c r="T34" s="14"/>
      <c r="U34" s="14"/>
      <c r="V34" s="14"/>
      <c r="W34" s="14"/>
      <c r="X34" s="14"/>
      <c r="Y34" s="14"/>
      <c r="Z34" s="14"/>
      <c r="AA34" s="14"/>
      <c r="AB34" s="14"/>
      <c r="AC34" s="14"/>
      <c r="AD34" s="14"/>
      <c r="AE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row>
    <row r="35" spans="1:77" x14ac:dyDescent="0.35">
      <c r="A35" s="15"/>
      <c r="AD35" s="14"/>
      <c r="AE35" s="14"/>
      <c r="AF35" s="14"/>
      <c r="AG35" s="14"/>
      <c r="AH35" s="14"/>
      <c r="AI35" s="14"/>
      <c r="AJ35" s="14"/>
    </row>
    <row r="36" spans="1:77" x14ac:dyDescent="0.35">
      <c r="A36" s="15"/>
      <c r="H36" s="15"/>
      <c r="I36" s="15"/>
      <c r="AD36" s="14"/>
      <c r="AE36" s="14"/>
      <c r="AF36" s="14"/>
      <c r="AG36" s="14"/>
      <c r="AH36" s="14"/>
      <c r="AI36" s="14"/>
      <c r="AJ36" s="14"/>
    </row>
    <row r="37" spans="1:77" x14ac:dyDescent="0.35">
      <c r="A37" s="15"/>
      <c r="T37" s="15"/>
      <c r="U37" s="15"/>
      <c r="V37" s="15"/>
      <c r="W37" s="15"/>
      <c r="X37" s="15"/>
      <c r="Y37" s="15"/>
      <c r="Z37" s="15"/>
      <c r="AA37" s="15"/>
      <c r="AD37" s="14"/>
      <c r="AE37" s="14"/>
      <c r="AF37" s="14"/>
      <c r="AG37" s="14"/>
      <c r="AH37" s="14"/>
      <c r="AI37" s="14"/>
      <c r="AJ37" s="14"/>
    </row>
    <row r="38" spans="1:77" x14ac:dyDescent="0.35">
      <c r="A38" s="15"/>
      <c r="AD38" s="14"/>
      <c r="AE38" s="14"/>
      <c r="AF38" s="14"/>
      <c r="AG38" s="14"/>
      <c r="AH38" s="14"/>
      <c r="AI38" s="14"/>
      <c r="AJ38" s="14"/>
    </row>
    <row r="39" spans="1:77" x14ac:dyDescent="0.35">
      <c r="A39" s="15"/>
      <c r="AD39" s="14"/>
      <c r="AE39" s="14"/>
      <c r="AF39" s="14"/>
      <c r="AG39" s="14"/>
      <c r="AH39" s="14"/>
      <c r="AI39" s="14"/>
      <c r="AJ39" s="14"/>
    </row>
    <row r="40" spans="1:77" ht="35.25" customHeight="1" x14ac:dyDescent="0.35">
      <c r="A40" s="15"/>
      <c r="AD40" s="14"/>
      <c r="AE40" s="14"/>
      <c r="AF40" s="14"/>
      <c r="AG40" s="14"/>
      <c r="AH40" s="14"/>
      <c r="AI40" s="14"/>
      <c r="AJ40" s="14"/>
    </row>
    <row r="41" spans="1:77" x14ac:dyDescent="0.35">
      <c r="A41" s="15"/>
      <c r="AD41" s="14"/>
      <c r="AE41" s="14"/>
      <c r="AF41" s="14"/>
      <c r="AG41" s="14"/>
      <c r="AH41" s="14"/>
      <c r="AI41" s="14"/>
      <c r="AJ41" s="14"/>
    </row>
    <row r="42" spans="1:77" x14ac:dyDescent="0.35">
      <c r="G42" s="15"/>
      <c r="AB42" s="15"/>
      <c r="AD42" s="14"/>
      <c r="AE42" s="14"/>
      <c r="AF42" s="14"/>
      <c r="AG42" s="14"/>
      <c r="AH42" s="14"/>
      <c r="AI42" s="14"/>
      <c r="AJ42" s="14"/>
    </row>
    <row r="43" spans="1:77" x14ac:dyDescent="0.35">
      <c r="J43" s="15"/>
      <c r="AD43" s="14"/>
      <c r="AE43" s="14"/>
      <c r="AF43" s="14"/>
      <c r="AG43" s="14"/>
      <c r="AH43" s="14"/>
      <c r="AI43" s="14"/>
      <c r="AJ43" s="14"/>
    </row>
    <row r="44" spans="1:77" x14ac:dyDescent="0.35">
      <c r="C44" s="15"/>
      <c r="D44" s="24"/>
      <c r="E44" s="15"/>
      <c r="F44" s="15"/>
      <c r="K44" s="15"/>
      <c r="L44" s="15"/>
      <c r="M44" s="15"/>
      <c r="N44" s="15"/>
      <c r="AD44" s="14"/>
      <c r="AE44" s="14"/>
      <c r="AF44" s="14"/>
      <c r="AG44" s="14"/>
      <c r="AH44" s="14"/>
      <c r="AI44" s="14"/>
      <c r="AJ44" s="14"/>
    </row>
    <row r="45" spans="1:77" x14ac:dyDescent="0.35">
      <c r="AD45" s="14"/>
      <c r="AE45" s="14"/>
      <c r="AF45" s="14"/>
      <c r="AG45" s="14"/>
      <c r="AH45" s="14"/>
      <c r="AI45" s="14"/>
      <c r="AJ45" s="14"/>
    </row>
    <row r="46" spans="1:77" x14ac:dyDescent="0.35">
      <c r="H46" s="45"/>
      <c r="I46" s="45"/>
      <c r="AD46" s="14"/>
      <c r="AE46" s="14"/>
      <c r="AF46" s="14"/>
      <c r="AG46" s="14"/>
      <c r="AH46" s="14"/>
      <c r="AI46" s="14"/>
      <c r="AJ46" s="14"/>
    </row>
    <row r="47" spans="1:77" x14ac:dyDescent="0.35">
      <c r="H47" s="45"/>
      <c r="I47" s="45"/>
      <c r="T47" s="45"/>
      <c r="U47" s="45"/>
      <c r="V47" s="45"/>
      <c r="W47" s="45"/>
      <c r="X47" s="45"/>
      <c r="Y47" s="45"/>
      <c r="Z47" s="45"/>
      <c r="AA47" s="45"/>
      <c r="AD47" s="14"/>
      <c r="AE47" s="14"/>
      <c r="AF47" s="14"/>
      <c r="AG47" s="14"/>
      <c r="AH47" s="14"/>
      <c r="AI47" s="14"/>
      <c r="AJ47" s="14"/>
    </row>
    <row r="48" spans="1:77" x14ac:dyDescent="0.35">
      <c r="B48" s="24"/>
      <c r="H48" s="48"/>
      <c r="I48" s="48"/>
      <c r="O48" s="15"/>
      <c r="P48" s="15"/>
      <c r="T48" s="45"/>
      <c r="U48" s="45"/>
      <c r="V48" s="45"/>
      <c r="W48" s="45"/>
      <c r="X48" s="45"/>
      <c r="Y48" s="45"/>
      <c r="Z48" s="45"/>
      <c r="AA48" s="45"/>
      <c r="AD48" s="14"/>
      <c r="AE48" s="14"/>
      <c r="AF48" s="14"/>
      <c r="AG48" s="14"/>
      <c r="AH48" s="14"/>
      <c r="AI48" s="14"/>
      <c r="AJ48" s="14"/>
    </row>
    <row r="49" spans="2:36" x14ac:dyDescent="0.35">
      <c r="B49" s="44"/>
      <c r="H49" s="48"/>
      <c r="I49" s="48"/>
      <c r="T49" s="48"/>
      <c r="U49" s="48"/>
      <c r="V49" s="48"/>
      <c r="W49" s="48"/>
      <c r="X49" s="48"/>
      <c r="Y49" s="48"/>
      <c r="Z49" s="48"/>
      <c r="AA49" s="48"/>
      <c r="AD49" s="14"/>
      <c r="AE49" s="14"/>
      <c r="AF49" s="14"/>
      <c r="AG49" s="14"/>
      <c r="AH49" s="14"/>
      <c r="AI49" s="14"/>
      <c r="AJ49" s="14"/>
    </row>
    <row r="50" spans="2:36" x14ac:dyDescent="0.35">
      <c r="B50" s="44"/>
      <c r="Q50" s="15"/>
      <c r="T50" s="48"/>
      <c r="U50" s="48"/>
      <c r="V50" s="48"/>
      <c r="W50" s="48"/>
      <c r="X50" s="48"/>
      <c r="Y50" s="48"/>
      <c r="Z50" s="48"/>
      <c r="AA50" s="48"/>
      <c r="AD50" s="14"/>
      <c r="AE50" s="14"/>
      <c r="AF50" s="14"/>
      <c r="AG50" s="14"/>
      <c r="AH50" s="14"/>
      <c r="AI50" s="14"/>
      <c r="AJ50" s="14"/>
    </row>
    <row r="51" spans="2:36" x14ac:dyDescent="0.35">
      <c r="B51" s="44"/>
      <c r="AD51" s="14"/>
      <c r="AE51" s="14"/>
      <c r="AF51" s="14"/>
      <c r="AG51" s="14"/>
      <c r="AH51" s="14"/>
      <c r="AI51" s="14"/>
      <c r="AJ51" s="14"/>
    </row>
    <row r="52" spans="2:36" x14ac:dyDescent="0.35">
      <c r="B52" s="44"/>
      <c r="G52" s="45"/>
      <c r="AB52" s="45"/>
      <c r="AD52" s="14"/>
      <c r="AE52" s="14"/>
      <c r="AF52" s="14"/>
      <c r="AG52" s="14"/>
      <c r="AH52" s="14"/>
      <c r="AI52" s="14"/>
      <c r="AJ52" s="14"/>
    </row>
    <row r="53" spans="2:36" x14ac:dyDescent="0.35">
      <c r="B53" s="44"/>
      <c r="C53" s="176"/>
      <c r="D53" s="44"/>
      <c r="E53" s="176"/>
      <c r="J53" s="45"/>
      <c r="AB53" s="45"/>
      <c r="AD53" s="14"/>
      <c r="AE53" s="14"/>
      <c r="AF53" s="14"/>
      <c r="AG53" s="14"/>
      <c r="AH53" s="14"/>
      <c r="AI53" s="14"/>
      <c r="AJ53" s="14"/>
    </row>
    <row r="54" spans="2:36" x14ac:dyDescent="0.35">
      <c r="B54" s="44"/>
      <c r="E54" s="46"/>
      <c r="F54" s="48"/>
      <c r="J54" s="45"/>
      <c r="K54" s="48"/>
      <c r="L54" s="48"/>
      <c r="M54" s="48"/>
      <c r="N54" s="48"/>
      <c r="AB54" s="48"/>
      <c r="AD54" s="14"/>
      <c r="AE54" s="14"/>
      <c r="AF54" s="14"/>
      <c r="AG54" s="14"/>
      <c r="AH54" s="14"/>
      <c r="AI54" s="14"/>
      <c r="AJ54" s="14"/>
    </row>
    <row r="55" spans="2:36" x14ac:dyDescent="0.35">
      <c r="B55" s="44"/>
      <c r="J55" s="48"/>
      <c r="K55" s="48"/>
      <c r="L55" s="48"/>
      <c r="M55" s="48"/>
      <c r="N55" s="48"/>
      <c r="AB55" s="48"/>
      <c r="AD55" s="14"/>
      <c r="AE55" s="14"/>
      <c r="AF55" s="14"/>
      <c r="AG55" s="14"/>
      <c r="AH55" s="14"/>
      <c r="AI55" s="14"/>
      <c r="AJ55" s="14"/>
    </row>
    <row r="56" spans="2:36" x14ac:dyDescent="0.35">
      <c r="AD56" s="14"/>
      <c r="AE56" s="14"/>
      <c r="AF56" s="14"/>
      <c r="AG56" s="14"/>
      <c r="AH56" s="14"/>
      <c r="AI56" s="14"/>
      <c r="AJ56" s="14"/>
    </row>
    <row r="57" spans="2:36" x14ac:dyDescent="0.35">
      <c r="AD57" s="14"/>
      <c r="AE57" s="14"/>
      <c r="AF57" s="14"/>
      <c r="AG57" s="14"/>
      <c r="AH57" s="14"/>
      <c r="AI57" s="14"/>
      <c r="AJ57" s="14"/>
    </row>
    <row r="58" spans="2:36" x14ac:dyDescent="0.35">
      <c r="AD58" s="14"/>
      <c r="AE58" s="14"/>
      <c r="AF58" s="14"/>
      <c r="AG58" s="14"/>
      <c r="AH58" s="14"/>
      <c r="AI58" s="14"/>
      <c r="AJ58" s="14"/>
    </row>
    <row r="59" spans="2:36" x14ac:dyDescent="0.35">
      <c r="AD59" s="14"/>
      <c r="AE59" s="14"/>
      <c r="AF59" s="14"/>
      <c r="AG59" s="14"/>
      <c r="AH59" s="14"/>
      <c r="AI59" s="14"/>
      <c r="AJ59" s="14"/>
    </row>
    <row r="60" spans="2:36" x14ac:dyDescent="0.35">
      <c r="AD60" s="14"/>
      <c r="AE60" s="14"/>
      <c r="AF60" s="14"/>
      <c r="AG60" s="14"/>
      <c r="AH60" s="14"/>
      <c r="AI60" s="14"/>
      <c r="AJ60" s="14"/>
    </row>
    <row r="61" spans="2:36" x14ac:dyDescent="0.35">
      <c r="AD61" s="14"/>
      <c r="AE61" s="14"/>
      <c r="AF61" s="14"/>
      <c r="AG61" s="14"/>
      <c r="AH61" s="14"/>
      <c r="AI61" s="14"/>
      <c r="AJ61" s="14"/>
    </row>
    <row r="62" spans="2:36" x14ac:dyDescent="0.35">
      <c r="AD62" s="14"/>
      <c r="AE62" s="14"/>
      <c r="AF62" s="14"/>
      <c r="AG62" s="14"/>
      <c r="AH62" s="14"/>
      <c r="AI62" s="14"/>
      <c r="AJ62" s="14"/>
    </row>
    <row r="63" spans="2:36" x14ac:dyDescent="0.35">
      <c r="AD63" s="14"/>
      <c r="AE63" s="14"/>
      <c r="AF63" s="14"/>
      <c r="AG63" s="14"/>
      <c r="AH63" s="14"/>
      <c r="AI63" s="14"/>
      <c r="AJ63" s="14"/>
    </row>
    <row r="64" spans="2:36" x14ac:dyDescent="0.35">
      <c r="AD64" s="14"/>
      <c r="AE64" s="14"/>
      <c r="AF64" s="14"/>
      <c r="AG64" s="14"/>
      <c r="AH64" s="14"/>
      <c r="AI64" s="14"/>
      <c r="AJ64" s="14"/>
    </row>
    <row r="65" spans="30:36" x14ac:dyDescent="0.35">
      <c r="AD65" s="14"/>
      <c r="AE65" s="14"/>
      <c r="AF65" s="14"/>
      <c r="AG65" s="14"/>
      <c r="AH65" s="14"/>
      <c r="AI65" s="14"/>
      <c r="AJ65" s="14"/>
    </row>
    <row r="66" spans="30:36" x14ac:dyDescent="0.35">
      <c r="AD66" s="14"/>
      <c r="AE66" s="14"/>
      <c r="AF66" s="14"/>
      <c r="AG66" s="14"/>
      <c r="AH66" s="14"/>
      <c r="AI66" s="14"/>
      <c r="AJ66" s="14"/>
    </row>
    <row r="67" spans="30:36" x14ac:dyDescent="0.35">
      <c r="AD67" s="14"/>
      <c r="AE67" s="14"/>
      <c r="AF67" s="14"/>
      <c r="AG67" s="14"/>
      <c r="AH67" s="14"/>
      <c r="AI67" s="14"/>
      <c r="AJ67" s="14"/>
    </row>
    <row r="68" spans="30:36" x14ac:dyDescent="0.35">
      <c r="AD68" s="14"/>
      <c r="AE68" s="14"/>
      <c r="AF68" s="14"/>
      <c r="AG68" s="14"/>
      <c r="AH68" s="14"/>
      <c r="AI68" s="14"/>
      <c r="AJ68" s="14"/>
    </row>
    <row r="69" spans="30:36" x14ac:dyDescent="0.35">
      <c r="AD69" s="14"/>
      <c r="AE69" s="14"/>
      <c r="AF69" s="14"/>
      <c r="AG69" s="14"/>
      <c r="AH69" s="14"/>
      <c r="AI69" s="14"/>
      <c r="AJ69" s="14"/>
    </row>
    <row r="70" spans="30:36" x14ac:dyDescent="0.35">
      <c r="AD70" s="14"/>
      <c r="AE70" s="14"/>
      <c r="AF70" s="14"/>
      <c r="AG70" s="14"/>
      <c r="AH70" s="14"/>
      <c r="AI70" s="14"/>
      <c r="AJ70" s="14"/>
    </row>
    <row r="71" spans="30:36" x14ac:dyDescent="0.35">
      <c r="AD71" s="14"/>
      <c r="AE71" s="14"/>
      <c r="AF71" s="14"/>
      <c r="AG71" s="14"/>
      <c r="AH71" s="14"/>
      <c r="AI71" s="14"/>
      <c r="AJ71" s="14"/>
    </row>
    <row r="72" spans="30:36" x14ac:dyDescent="0.35">
      <c r="AD72" s="14"/>
      <c r="AE72" s="14"/>
      <c r="AF72" s="14"/>
      <c r="AG72" s="14"/>
      <c r="AH72" s="14"/>
      <c r="AI72" s="14"/>
      <c r="AJ72" s="14"/>
    </row>
    <row r="73" spans="30:36" x14ac:dyDescent="0.35">
      <c r="AD73" s="14"/>
      <c r="AE73" s="14"/>
      <c r="AF73" s="14"/>
      <c r="AG73" s="14"/>
      <c r="AH73" s="14"/>
      <c r="AI73" s="14"/>
      <c r="AJ73" s="14"/>
    </row>
    <row r="74" spans="30:36" x14ac:dyDescent="0.35">
      <c r="AD74" s="14"/>
      <c r="AE74" s="14"/>
      <c r="AF74" s="14"/>
      <c r="AG74" s="14"/>
      <c r="AH74" s="14"/>
      <c r="AI74" s="14"/>
      <c r="AJ74" s="14"/>
    </row>
    <row r="75" spans="30:36" x14ac:dyDescent="0.35">
      <c r="AD75" s="14"/>
      <c r="AE75" s="14"/>
      <c r="AF75" s="14"/>
      <c r="AG75" s="14"/>
      <c r="AH75" s="14"/>
      <c r="AI75" s="14"/>
      <c r="AJ75" s="14"/>
    </row>
    <row r="76" spans="30:36" x14ac:dyDescent="0.35">
      <c r="AF76" s="14"/>
      <c r="AG76" s="14"/>
      <c r="AH76" s="14"/>
      <c r="AI76" s="14"/>
      <c r="AJ76" s="14"/>
    </row>
  </sheetData>
  <sheetProtection algorithmName="SHA-512" hashValue="LRge/rF8ma83dXsFuyg/TWL8oYcPHKDJXzsoTD2NPm5ULZ7E9iGOVPKens47MgYlcc8I2aV76t+iborBBgbLSw==" saltValue="m8aAc5PLhKYC+QR5OCPLkQ==" spinCount="100000" sheet="1" formatCells="0" formatColumns="0" formatRows="0"/>
  <dataConsolidate/>
  <mergeCells count="61">
    <mergeCell ref="G2:H2"/>
    <mergeCell ref="D2:F2"/>
    <mergeCell ref="S13:V13"/>
    <mergeCell ref="F14:F15"/>
    <mergeCell ref="D14:D15"/>
    <mergeCell ref="E14:E15"/>
    <mergeCell ref="D5:F5"/>
    <mergeCell ref="K24:K25"/>
    <mergeCell ref="D21:D22"/>
    <mergeCell ref="K21:K22"/>
    <mergeCell ref="L21:L22"/>
    <mergeCell ref="K13:N13"/>
    <mergeCell ref="L24:L25"/>
    <mergeCell ref="L16:L17"/>
    <mergeCell ref="D16:D17"/>
    <mergeCell ref="K14:K15"/>
    <mergeCell ref="L14:L15"/>
    <mergeCell ref="M14:M15"/>
    <mergeCell ref="K18:N18"/>
    <mergeCell ref="C26:C27"/>
    <mergeCell ref="C24:C25"/>
    <mergeCell ref="N24:N25"/>
    <mergeCell ref="F19:F20"/>
    <mergeCell ref="K19:K20"/>
    <mergeCell ref="L19:L20"/>
    <mergeCell ref="M19:M20"/>
    <mergeCell ref="N19:N20"/>
    <mergeCell ref="D26:D27"/>
    <mergeCell ref="K26:K27"/>
    <mergeCell ref="L26:L27"/>
    <mergeCell ref="D24:D25"/>
    <mergeCell ref="F24:F25"/>
    <mergeCell ref="E24:E25"/>
    <mergeCell ref="M24:M25"/>
    <mergeCell ref="C21:C22"/>
    <mergeCell ref="C19:C20"/>
    <mergeCell ref="D19:D20"/>
    <mergeCell ref="E19:E20"/>
    <mergeCell ref="N14:N15"/>
    <mergeCell ref="K16:K17"/>
    <mergeCell ref="C14:C15"/>
    <mergeCell ref="C16:C17"/>
    <mergeCell ref="C8:C9"/>
    <mergeCell ref="K8:K9"/>
    <mergeCell ref="L8:L9"/>
    <mergeCell ref="K10:K11"/>
    <mergeCell ref="C10:C11"/>
    <mergeCell ref="D8:D9"/>
    <mergeCell ref="S26:S27"/>
    <mergeCell ref="T14:T15"/>
    <mergeCell ref="U14:U15"/>
    <mergeCell ref="S21:S22"/>
    <mergeCell ref="S18:V18"/>
    <mergeCell ref="S19:S20"/>
    <mergeCell ref="T19:T20"/>
    <mergeCell ref="U19:U20"/>
    <mergeCell ref="S14:S15"/>
    <mergeCell ref="S16:S17"/>
    <mergeCell ref="S24:S25"/>
    <mergeCell ref="T24:T25"/>
    <mergeCell ref="U24:U25"/>
  </mergeCells>
  <phoneticPr fontId="2" type="noConversion"/>
  <conditionalFormatting sqref="E10:G11 M10:O11 G16:H17 O16:P17 G21:H22 O21:P22 G26:H27 O26:P27">
    <cfRule type="containsText" dxfId="202" priority="1" operator="containsText" text="Update Parameters">
      <formula>NOT(ISERROR(SEARCH("Update Parameters",E10)))</formula>
    </cfRule>
  </conditionalFormatting>
  <conditionalFormatting sqref="E10:G11 M10:O11 G16:H17 O16:P17 V16:Y17 G21:H22 O21:P22 V21:Y22 G26:H27 O26:P27 V26:Y27">
    <cfRule type="cellIs" dxfId="201" priority="4" operator="greaterThan">
      <formula>10000</formula>
    </cfRule>
    <cfRule type="cellIs" dxfId="200" priority="5" operator="between">
      <formula>10</formula>
      <formula>9999.999</formula>
    </cfRule>
    <cfRule type="cellIs" dxfId="199" priority="6" operator="between">
      <formula>1</formula>
      <formula>9.999</formula>
    </cfRule>
    <cfRule type="cellIs" dxfId="198" priority="7" operator="between">
      <formula>0.1</formula>
      <formula>0.999</formula>
    </cfRule>
    <cfRule type="cellIs" dxfId="197" priority="8" operator="lessThan">
      <formula>0.1</formula>
    </cfRule>
  </conditionalFormatting>
  <conditionalFormatting sqref="G16:H17 O16:P17 V16:Y17 G21:H22 O21:P22 V21:Y22 G26:H27 O26:P27 V26:Y27">
    <cfRule type="cellIs" dxfId="196" priority="10" operator="lessThan">
      <formula>$F$16</formula>
    </cfRule>
  </conditionalFormatting>
  <conditionalFormatting sqref="M10:O11 O16:P17 O21:P22 O26:P27">
    <cfRule type="containsText" dxfId="195" priority="2" operator="containsText" text="Not Applicable">
      <formula>NOT(ISERROR(SEARCH("Not Applicable",M10)))</formula>
    </cfRule>
  </conditionalFormatting>
  <conditionalFormatting sqref="V16:Y17 V21:Y22 V26:Y27 O16:P17 O21:P22 O26:P27 G16:H17 G21:H22 G26:H27">
    <cfRule type="cellIs" dxfId="194" priority="9" operator="greaterThanOrEqual">
      <formula>$F$16</formula>
    </cfRule>
  </conditionalFormatting>
  <conditionalFormatting sqref="V16:Y17 V21:Y22 V26:Y27">
    <cfRule type="containsText" dxfId="193" priority="3" operator="containsText" text="Aggregate Not Applicable">
      <formula>NOT(ISERROR(SEARCH("Aggregate Not Applicable",V16)))</formula>
    </cfRule>
  </conditionalFormatting>
  <dataValidations count="1">
    <dataValidation allowBlank="1" showErrorMessage="1" sqref="F12:H12 C8 K8" xr:uid="{00000000-0002-0000-0200-000005000000}"/>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0688B23-6125-49FA-9B9F-BE3A00B4E2DD}">
          <x14:formula1>
            <xm:f>'List Values'!$D$31:$D$35</xm:f>
          </x14:formula1>
          <xm:sqref>G4</xm:sqref>
        </x14:dataValidation>
        <x14:dataValidation type="list" allowBlank="1" showInputMessage="1" showErrorMessage="1" xr:uid="{2142C445-137B-4B09-A374-560BDF8E38B5}">
          <x14:formula1>
            <xm:f>'List Values'!$D$38:$D$40</xm:f>
          </x14:formula1>
          <xm:sqref>H4</xm:sqref>
        </x14:dataValidation>
        <x14:dataValidation type="list" allowBlank="1" showInputMessage="1" showErrorMessage="1" xr:uid="{7A257FB3-03C7-4DEF-9441-F0399894DF14}">
          <x14:formula1>
            <xm:f>'List Values'!$L$3:$AJ$3</xm:f>
          </x14:formula1>
          <xm:sqref>C4</xm:sqref>
        </x14:dataValidation>
        <x14:dataValidation type="list" allowBlank="1" showInputMessage="1" showErrorMessage="1" xr:uid="{D587E85A-C801-4FBF-8857-1F88058A2989}">
          <x14:formula1>
            <xm:f>_xlfn.ANCHORARRAY('List Values'!$L$14)</xm:f>
          </x14:formula1>
          <xm:sqref>D4</xm:sqref>
        </x14:dataValidation>
        <x14:dataValidation type="list" allowBlank="1" showInputMessage="1" showErrorMessage="1" xr:uid="{AC5A6FAA-0E80-4E48-B1D5-CFD9D3B89B69}">
          <x14:formula1>
            <xm:f>_xlfn.ANCHORARRAY('List Values'!$AP$14)</xm:f>
          </x14:formula1>
          <xm:sqref>F4</xm:sqref>
        </x14:dataValidation>
        <x14:dataValidation type="list" allowBlank="1" showInputMessage="1" showErrorMessage="1" xr:uid="{79FBAD4D-DE57-4C3B-9965-93F6DE76E32B}">
          <x14:formula1>
            <xm:f>_xlfn.ANCHORARRAY('List Values'!$AL$14)</xm:f>
          </x14:formula1>
          <xm:sqref>F4 E4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D8A6-1677-465E-88B2-1343E7284108}">
  <sheetPr codeName="Sheet3">
    <tabColor rgb="FF92D050"/>
  </sheetPr>
  <dimension ref="A1:Z54"/>
  <sheetViews>
    <sheetView workbookViewId="0">
      <selection activeCell="S10" sqref="S10:S11"/>
    </sheetView>
  </sheetViews>
  <sheetFormatPr defaultColWidth="8.90625" defaultRowHeight="13" x14ac:dyDescent="0.35"/>
  <cols>
    <col min="1" max="1" width="2.08984375" style="14" customWidth="1"/>
    <col min="2" max="2" width="4.90625" style="11" bestFit="1" customWidth="1"/>
    <col min="3" max="3" width="17.08984375" style="12" customWidth="1"/>
    <col min="4" max="4" width="13.54296875" style="13" customWidth="1"/>
    <col min="5" max="5" width="15.90625" style="12" customWidth="1"/>
    <col min="6" max="6" width="15.453125" style="12" customWidth="1"/>
    <col min="7" max="7" width="2.08984375" style="14" customWidth="1"/>
    <col min="8" max="8" width="31.453125" style="14" customWidth="1"/>
    <col min="9" max="11" width="22.08984375" style="14" customWidth="1"/>
    <col min="12" max="12" width="19.54296875" style="14" bestFit="1" customWidth="1"/>
    <col min="13" max="16" width="17.08984375" style="14" bestFit="1" customWidth="1"/>
    <col min="17" max="17" width="2.90625" style="14" customWidth="1"/>
    <col min="18" max="18" width="23.08984375" style="14" customWidth="1"/>
    <col min="19" max="19" width="18.08984375" style="14" customWidth="1"/>
    <col min="20" max="20" width="17.08984375" style="14" bestFit="1" customWidth="1"/>
    <col min="21" max="21" width="22.90625" style="14" bestFit="1" customWidth="1"/>
    <col min="22" max="22" width="19.90625" style="14" bestFit="1" customWidth="1"/>
    <col min="23" max="24" width="17.08984375" style="14" bestFit="1" customWidth="1"/>
    <col min="25" max="25" width="13.08984375" style="14" customWidth="1"/>
    <col min="26" max="16384" width="8.90625" style="14"/>
  </cols>
  <sheetData>
    <row r="1" spans="2:26" ht="13.5" thickBot="1" x14ac:dyDescent="0.4">
      <c r="C1" s="14"/>
      <c r="D1" s="11"/>
      <c r="E1" s="14"/>
      <c r="F1" s="14"/>
    </row>
    <row r="2" spans="2:26" ht="29.15" customHeight="1" thickBot="1" x14ac:dyDescent="0.4">
      <c r="C2" s="14"/>
      <c r="D2" s="14"/>
      <c r="E2" s="14"/>
      <c r="F2" s="15"/>
      <c r="G2" s="15"/>
      <c r="H2" s="357" t="s">
        <v>25</v>
      </c>
      <c r="I2" s="567" t="s">
        <v>339</v>
      </c>
      <c r="J2" s="568"/>
      <c r="K2" s="569"/>
      <c r="O2" s="15"/>
    </row>
    <row r="3" spans="2:26" ht="26" x14ac:dyDescent="0.35">
      <c r="C3" s="14"/>
      <c r="D3" s="14"/>
      <c r="E3" s="14"/>
      <c r="F3" s="15"/>
      <c r="H3" s="358" t="s">
        <v>28</v>
      </c>
      <c r="I3" s="332" t="s">
        <v>294</v>
      </c>
      <c r="J3" s="326" t="s">
        <v>262</v>
      </c>
      <c r="K3" s="72" t="s">
        <v>32</v>
      </c>
    </row>
    <row r="4" spans="2:26" ht="31.4" customHeight="1" thickBot="1" x14ac:dyDescent="0.4">
      <c r="C4" s="14"/>
      <c r="D4" s="14"/>
      <c r="E4" s="14"/>
      <c r="F4" s="15"/>
      <c r="H4" s="73" t="s">
        <v>33</v>
      </c>
      <c r="I4" s="19" t="s">
        <v>264</v>
      </c>
      <c r="J4" s="337" t="s">
        <v>107</v>
      </c>
      <c r="K4" s="74" t="s">
        <v>73</v>
      </c>
    </row>
    <row r="5" spans="2:26" ht="24.65" customHeight="1" x14ac:dyDescent="0.35">
      <c r="I5" s="570" t="s">
        <v>401</v>
      </c>
      <c r="J5" s="570"/>
      <c r="K5" s="570"/>
      <c r="L5" s="17"/>
      <c r="M5" s="17"/>
      <c r="N5" s="21"/>
    </row>
    <row r="6" spans="2:26" ht="15.5" x14ac:dyDescent="0.35">
      <c r="H6" s="158" t="s">
        <v>341</v>
      </c>
      <c r="I6" s="24"/>
      <c r="J6" s="15"/>
      <c r="K6" s="17"/>
      <c r="L6" s="17"/>
      <c r="M6" s="15"/>
      <c r="R6" s="158" t="s">
        <v>22</v>
      </c>
      <c r="U6" s="12"/>
      <c r="V6" s="17"/>
      <c r="W6" s="15"/>
    </row>
    <row r="7" spans="2:26" ht="15.75" customHeight="1" thickBot="1" x14ac:dyDescent="0.4">
      <c r="H7" s="159" t="s">
        <v>37</v>
      </c>
      <c r="I7" s="11"/>
      <c r="M7" s="17"/>
      <c r="R7" s="159" t="s">
        <v>37</v>
      </c>
      <c r="T7" s="12"/>
      <c r="U7" s="17"/>
    </row>
    <row r="8" spans="2:26" ht="26" x14ac:dyDescent="0.35">
      <c r="H8" s="549" t="s">
        <v>38</v>
      </c>
      <c r="I8" s="536" t="s">
        <v>39</v>
      </c>
      <c r="J8" s="269" t="s">
        <v>308</v>
      </c>
      <c r="K8" s="269" t="s">
        <v>367</v>
      </c>
      <c r="L8" s="20" t="s">
        <v>368</v>
      </c>
      <c r="R8" s="549" t="s">
        <v>38</v>
      </c>
      <c r="S8" s="536" t="s">
        <v>39</v>
      </c>
      <c r="T8" s="269" t="s">
        <v>331</v>
      </c>
      <c r="U8" s="269" t="s">
        <v>365</v>
      </c>
      <c r="V8" s="20" t="s">
        <v>366</v>
      </c>
    </row>
    <row r="9" spans="2:26" ht="27" customHeight="1" thickBot="1" x14ac:dyDescent="0.4">
      <c r="H9" s="551"/>
      <c r="I9" s="547"/>
      <c r="J9" s="22" t="s">
        <v>320</v>
      </c>
      <c r="K9" s="22" t="s">
        <v>310</v>
      </c>
      <c r="L9" s="23" t="s">
        <v>311</v>
      </c>
      <c r="R9" s="551"/>
      <c r="S9" s="547"/>
      <c r="T9" s="22" t="s">
        <v>369</v>
      </c>
      <c r="U9" s="22" t="s">
        <v>46</v>
      </c>
      <c r="V9" s="23" t="s">
        <v>363</v>
      </c>
    </row>
    <row r="10" spans="2:26" ht="12.75" customHeight="1" x14ac:dyDescent="0.35">
      <c r="H10" s="554" t="str">
        <f>$K$4</f>
        <v>Worker</v>
      </c>
      <c r="I10" s="407" t="s">
        <v>52</v>
      </c>
      <c r="J10" s="187">
        <f>IF(SUMIFS(Inhalation_Exp[24hr_High-End],Inhalation_Exp[OES],$H$4,Inhalation_Exp[Similar Exposure Group (SEG)],$I$4,Inhalation_Exp[Worker Type],$K$4,Inhalation_Exp[Exposure Scenario],$J$4)=0,"Update Parameters",SUMIFS(Inhalation_Exp[24hr_High-End],Inhalation_Exp[OES],$H$4,Inhalation_Exp[Similar Exposure Group (SEG)],$I$4,Inhalation_Exp[Worker Type],$K$4,Inhalation_Exp[Exposure Scenario],$J$4))</f>
        <v>6.602061683569131</v>
      </c>
      <c r="K10" s="335">
        <f>IF(SUMIFS(Inhalation_Exp[Int_High-End],Inhalation_Exp[OES],$H$4,Inhalation_Exp[Similar Exposure Group (SEG)],$I$4,Inhalation_Exp[Worker Type],$K$4,Inhalation_Exp[Exposure Scenario],$J$4)=0,"Update Parameters",SUMIFS(Inhalation_Exp[Int_High-End],Inhalation_Exp[OES],$H$4,Inhalation_Exp[Similar Exposure Group (SEG)],$I$4,Inhalation_Exp[Worker Type],$K$4,Inhalation_Exp[Exposure Scenario],$J$4))</f>
        <v>4.8415119012840302</v>
      </c>
      <c r="L10" s="185">
        <f>IF(SUMIFS(Inhalation_Exp[ADC_High-End],Inhalation_Exp[OES],$H$4,Inhalation_Exp[Similar Exposure Group (SEG)],$I$4,Inhalation_Exp[Worker Type],$K$4,Inhalation_Exp[Exposure Scenario],$J$4)=0,"Update Parameters",SUMIFS(Inhalation_Exp[ADC_High-End],Inhalation_Exp[OES],$H$4,Inhalation_Exp[Similar Exposure Group (SEG)],$I$4,Inhalation_Exp[Worker Type],$K$4,Inhalation_Exp[Exposure Scenario],$J$4))</f>
        <v>4.5219600572391307</v>
      </c>
      <c r="R10" s="552" t="str">
        <f>$K$4</f>
        <v>Worker</v>
      </c>
      <c r="S10" s="407" t="s">
        <v>52</v>
      </c>
      <c r="T10" s="296">
        <f>IF(J10="Update Parameters","Update Parameters",IF(SUMIFS(Dermal_Exp[AAD_High-End],Dermal_Exp[OES],$H$4,Dermal_Exp[Similar Exposure Group (SEG)],$I$4,Dermal_Exp[Worker Type],$K$4)=0,"Not Applicable",SUMIFS(Dermal_Exp[AAD_High-End],Dermal_Exp[OES],$H$4,Dermal_Exp[Similar Exposure Group (SEG)],$I$4,Dermal_Exp[Worker Type],$K$4)))</f>
        <v>28.087499999999999</v>
      </c>
      <c r="U10" s="296">
        <f>IF($J$10="Update Parameters","Update Parameters",IF(SUMIFS(Dermal_Exp[IADD_High-End],Dermal_Exp[OES],$H$4,Dermal_Exp[Similar Exposure Group (SEG)],$I$4,Dermal_Exp[Worker Type],$K$4)=0,"Not Applicable",SUMIFS(Dermal_Exp[IADD_High-End],Dermal_Exp[OES],$H$4,Dermal_Exp[Similar Exposure Group (SEG)],$I$4,Dermal_Exp[Worker Type],$K$4)))</f>
        <v>20.5975</v>
      </c>
      <c r="V10" s="360">
        <f>IF($J$10="Update Parameters","Update Parameters",IF(SUMIFS(Dermal_Exp[AADD_High-End],Dermal_Exp[OES],$H$4,Dermal_Exp[Similar Exposure Group (SEG)],$I$4,Dermal_Exp[Worker Type],$K$4)=0,"Not Applicable",SUMIFS(Dermal_Exp[AADD_High-End],Dermal_Exp[OES],$H$4,Dermal_Exp[Similar Exposure Group (SEG)],$I$4,Dermal_Exp[Worker Type],$K$4)))</f>
        <v>19.238013698630137</v>
      </c>
      <c r="Z10" s="197"/>
    </row>
    <row r="11" spans="2:26" ht="13.5" thickBot="1" x14ac:dyDescent="0.4">
      <c r="H11" s="553"/>
      <c r="I11" s="408" t="s">
        <v>53</v>
      </c>
      <c r="J11" s="328">
        <f>IF(SUMIFS(Inhalation_Exp[24hr_Central Tendency],Inhalation_Exp[OES],$H$4,Inhalation_Exp[Similar Exposure Group (SEG)],$I$4,Inhalation_Exp[Worker Type],$K$4,Inhalation_Exp[Exposure Scenario],$J$4)=0,"Update Parameters",SUMIFS(Inhalation_Exp[24hr_Central Tendency],Inhalation_Exp[OES],$H$4,Inhalation_Exp[Similar Exposure Group (SEG)],$I$4,Inhalation_Exp[Worker Type],$K$4,Inhalation_Exp[Exposure Scenario],$J$4))</f>
        <v>1.9806185050707401</v>
      </c>
      <c r="K11" s="336">
        <f>IF(SUMIFS(Inhalation_Exp[Int_Central Tendency],Inhalation_Exp[OES],$H$4,Inhalation_Exp[Similar Exposure Group (SEG)],$I$4,Inhalation_Exp[Worker Type],$K$4,Inhalation_Exp[Exposure Scenario],$J$4)=0,"Update Parameters",SUMIFS(Inhalation_Exp[Int_Central Tendency],Inhalation_Exp[OES],$H$4,Inhalation_Exp[Similar Exposure Group (SEG)],$I$4,Inhalation_Exp[Worker Type],$K$4,Inhalation_Exp[Exposure Scenario],$J$4))</f>
        <v>1.4524535703852095</v>
      </c>
      <c r="L11" s="334">
        <f>IF(SUMIFS(Inhalation_Exp[ADC_Central Tendency],Inhalation_Exp[OES],$H$4,Inhalation_Exp[Similar Exposure Group (SEG)],$I$4,Inhalation_Exp[Worker Type],$K$4,Inhalation_Exp[Exposure Scenario],$J$4)=0,"Update Parameters",SUMIFS(Inhalation_Exp[ADC_Central Tendency],Inhalation_Exp[OES],$H$4,Inhalation_Exp[Similar Exposure Group (SEG)],$I$4,Inhalation_Exp[Worker Type],$K$4,Inhalation_Exp[Exposure Scenario],$J$4))</f>
        <v>1.3565880171717397</v>
      </c>
      <c r="R11" s="553"/>
      <c r="S11" s="408" t="s">
        <v>53</v>
      </c>
      <c r="T11" s="188">
        <f>IF($J$10="Update Parameters","Update Parameters",IF(SUMIFS(Dermal_Exp[AAD_Central Tendency],Dermal_Exp[OES],$H$4,Dermal_Exp[Similar Exposure Group (SEG)],$I$4,Dermal_Exp[Worker Type],$K$4)=0,"Not Applicable",SUMIFS(Dermal_Exp[AAD_Central Tendency],Dermal_Exp[OES],$H$4,Dermal_Exp[Similar Exposure Group (SEG)],$I$4,Dermal_Exp[Worker Type],$K$4)))</f>
        <v>9.3625000000000007</v>
      </c>
      <c r="U11" s="188">
        <f>IF($J$10="Update Parameters","Update Parameters",IF(SUMIFS(Dermal_Exp[IADD_Central Tendency],Dermal_Exp[OES],$H$4,Dermal_Exp[Similar Exposure Group (SEG)],$I$4,Dermal_Exp[Worker Type],$K$4)=0,"Not Applicable",SUMIFS(Dermal_Exp[IADD_Central Tendency],Dermal_Exp[OES],$H$4,Dermal_Exp[Similar Exposure Group (SEG)],$I$4,Dermal_Exp[Worker Type],$K$4)))</f>
        <v>6.8658333333333337</v>
      </c>
      <c r="V11" s="186">
        <f>IF($J$10="Update Parameters","Update Parameters",IF(SUMIFS(Dermal_Exp[AADD_Central Tendency],Dermal_Exp[OES],$H$4,Dermal_Exp[Similar Exposure Group (SEG)],$I$4,Dermal_Exp[Worker Type],$K$4)=0,"Not Applicable",SUMIFS(Dermal_Exp[AADD_Central Tendency],Dermal_Exp[OES],$H$4,Dermal_Exp[Similar Exposure Group (SEG)],$I$4,Dermal_Exp[Worker Type],$K$4)))</f>
        <v>6.4126712328767121</v>
      </c>
      <c r="Z11" s="197"/>
    </row>
    <row r="12" spans="2:26" ht="12.75" customHeight="1" x14ac:dyDescent="0.35">
      <c r="H12" s="11"/>
      <c r="R12" s="588"/>
      <c r="S12" s="198"/>
      <c r="T12" s="178"/>
      <c r="U12" s="178"/>
      <c r="V12" s="178"/>
      <c r="W12" s="178"/>
      <c r="Z12" s="197"/>
    </row>
    <row r="13" spans="2:26" ht="15.75" customHeight="1" x14ac:dyDescent="0.35">
      <c r="H13" s="11"/>
      <c r="I13" s="11"/>
      <c r="J13" s="12"/>
      <c r="K13" s="178"/>
      <c r="L13" s="178"/>
      <c r="M13" s="178"/>
      <c r="N13" s="178"/>
      <c r="R13" s="589"/>
      <c r="S13" s="198"/>
      <c r="T13" s="178"/>
      <c r="U13" s="178"/>
      <c r="V13" s="178"/>
      <c r="W13" s="178"/>
    </row>
    <row r="14" spans="2:26" s="15" customFormat="1" x14ac:dyDescent="0.35">
      <c r="B14" s="24"/>
      <c r="C14" s="27"/>
      <c r="D14" s="27"/>
      <c r="E14" s="27"/>
      <c r="F14" s="27"/>
      <c r="G14" s="27"/>
      <c r="H14" s="28"/>
      <c r="I14" s="17"/>
      <c r="K14" s="28"/>
      <c r="L14" s="28"/>
      <c r="M14" s="28"/>
      <c r="N14" s="28"/>
      <c r="O14" s="28"/>
      <c r="P14" s="28"/>
      <c r="R14" s="27"/>
      <c r="S14" s="28"/>
      <c r="T14" s="17"/>
      <c r="V14" s="28"/>
    </row>
    <row r="15" spans="2:26" s="15" customFormat="1" ht="15.5" thickBot="1" x14ac:dyDescent="0.4">
      <c r="B15" s="24"/>
      <c r="C15" s="17"/>
      <c r="D15" s="29"/>
      <c r="E15" s="29"/>
      <c r="F15" s="29"/>
      <c r="G15" s="30"/>
      <c r="H15" s="160" t="s">
        <v>74</v>
      </c>
      <c r="I15" s="17"/>
      <c r="K15" s="28"/>
      <c r="L15" s="587"/>
      <c r="M15" s="587"/>
      <c r="N15" s="272"/>
      <c r="O15" s="272"/>
      <c r="R15" s="161" t="s">
        <v>75</v>
      </c>
      <c r="S15" s="31"/>
      <c r="T15" s="31"/>
    </row>
    <row r="16" spans="2:26" s="15" customFormat="1" ht="12.75" customHeight="1" x14ac:dyDescent="0.35">
      <c r="B16" s="24"/>
      <c r="C16" s="571" t="s">
        <v>76</v>
      </c>
      <c r="D16" s="571" t="s">
        <v>77</v>
      </c>
      <c r="E16" s="571"/>
      <c r="F16" s="580" t="s">
        <v>78</v>
      </c>
      <c r="G16" s="32"/>
      <c r="H16" s="555" t="s">
        <v>343</v>
      </c>
      <c r="I16" s="536" t="s">
        <v>39</v>
      </c>
      <c r="J16" s="559" t="s">
        <v>59</v>
      </c>
      <c r="K16" s="559" t="str">
        <f>_xlfn.CONCAT("Exposure Estimates for OES ",$H$4," and SEG ",$I$4," for Exposure Scenario ",$J$4)</f>
        <v>Exposure Estimates for OES Manufacturing and SEG Chemical Operator for Exposure Scenario 8-hr</v>
      </c>
      <c r="L16" s="584"/>
      <c r="M16" s="584"/>
      <c r="N16" s="584"/>
      <c r="O16" s="584"/>
      <c r="P16" s="585"/>
      <c r="Q16" s="32"/>
      <c r="R16" s="555" t="s">
        <v>342</v>
      </c>
      <c r="S16" s="536" t="s">
        <v>39</v>
      </c>
      <c r="T16" s="538" t="s">
        <v>59</v>
      </c>
      <c r="U16" s="583" t="str">
        <f>_xlfn.CONCAT("Exposure Estimates for OES ",$H$4," and SEG ",$I$4," for Exposure Scenario ",$J$4)</f>
        <v>Exposure Estimates for OES Manufacturing and SEG Chemical Operator for Exposure Scenario 8-hr</v>
      </c>
      <c r="V16" s="584"/>
      <c r="W16" s="584"/>
      <c r="X16" s="585"/>
    </row>
    <row r="17" spans="1:24" s="15" customFormat="1" ht="12.75" customHeight="1" x14ac:dyDescent="0.35">
      <c r="B17" s="24"/>
      <c r="C17" s="572"/>
      <c r="D17" s="572"/>
      <c r="E17" s="572"/>
      <c r="F17" s="581"/>
      <c r="G17" s="33"/>
      <c r="H17" s="545"/>
      <c r="I17" s="537"/>
      <c r="J17" s="586"/>
      <c r="K17" s="271"/>
      <c r="L17" s="593" t="s">
        <v>79</v>
      </c>
      <c r="M17" s="594"/>
      <c r="N17" s="594"/>
      <c r="O17" s="594"/>
      <c r="P17" s="595"/>
      <c r="Q17" s="33"/>
      <c r="R17" s="545"/>
      <c r="S17" s="537"/>
      <c r="T17" s="539"/>
      <c r="U17" s="590" t="s">
        <v>80</v>
      </c>
      <c r="V17" s="592" t="s">
        <v>81</v>
      </c>
      <c r="W17" s="592"/>
      <c r="X17" s="592"/>
    </row>
    <row r="18" spans="1:24" s="15" customFormat="1" ht="13.5" thickBot="1" x14ac:dyDescent="0.4">
      <c r="B18" s="24"/>
      <c r="C18" s="572"/>
      <c r="D18" s="573"/>
      <c r="E18" s="573"/>
      <c r="F18" s="581"/>
      <c r="G18" s="33"/>
      <c r="H18" s="582"/>
      <c r="I18" s="537"/>
      <c r="J18" s="560"/>
      <c r="K18" s="270" t="s">
        <v>82</v>
      </c>
      <c r="L18" s="270">
        <f>'List Values'!$D$31</f>
        <v>10</v>
      </c>
      <c r="M18" s="270">
        <f>'List Values'!$D$32</f>
        <v>25</v>
      </c>
      <c r="N18" s="270">
        <f>'List Values'!$D$33</f>
        <v>50</v>
      </c>
      <c r="O18" s="270">
        <f>'List Values'!$D$34</f>
        <v>1000</v>
      </c>
      <c r="P18" s="25">
        <f>'List Values'!$D$35</f>
        <v>10000</v>
      </c>
      <c r="Q18" s="33"/>
      <c r="R18" s="556"/>
      <c r="S18" s="537"/>
      <c r="T18" s="539"/>
      <c r="U18" s="591"/>
      <c r="V18" s="169">
        <f>'List Values'!D38</f>
        <v>5</v>
      </c>
      <c r="W18" s="169">
        <f>'List Values'!$D$39</f>
        <v>10</v>
      </c>
      <c r="X18" s="200">
        <f>'List Values'!$D$40</f>
        <v>20</v>
      </c>
    </row>
    <row r="19" spans="1:24" s="15" customFormat="1" ht="19.5" customHeight="1" x14ac:dyDescent="0.35">
      <c r="B19" s="21" t="s">
        <v>62</v>
      </c>
      <c r="C19" s="576" t="s">
        <v>83</v>
      </c>
      <c r="D19" s="574" t="str">
        <f>_xlfn.XLOOKUP($B19,Tox_Table[Code],Tox_Table[Health Effect])</f>
        <v>Reproductive Toxicity</v>
      </c>
      <c r="E19" s="574" t="str">
        <f>_xlfn.XLOOKUP($B19,Tox_Table[Code],Tox_Table[Endpoint])</f>
        <v>Reproductive Organs</v>
      </c>
      <c r="F19" s="578" t="str">
        <f>_xlfn.XLOOKUP($B19,Tox_Table[Code],Tox_Table[Study])</f>
        <v>PBPK Model</v>
      </c>
      <c r="G19" s="35"/>
      <c r="H19" s="602">
        <f>_xlfn.XLOOKUP($B19, Tox_Table[Code],Tox_Table[HEC (mg/m3)], FALSE)</f>
        <v>107</v>
      </c>
      <c r="I19" s="409" t="s">
        <v>52</v>
      </c>
      <c r="J19" s="274">
        <f>_xlfn.XLOOKUP($B19,Tox_Table[Code],Tox_Table[Benchmark MOE])</f>
        <v>30</v>
      </c>
      <c r="K19" s="42">
        <f>IFERROR($H19/$J10, "Update Parameters")</f>
        <v>16.207058511176296</v>
      </c>
      <c r="L19" s="42">
        <f t="shared" ref="L19:P20" si="0">IFERROR($H$19/($J10/L$18), "Update Parameters")</f>
        <v>162.07058511176297</v>
      </c>
      <c r="M19" s="42">
        <f t="shared" si="0"/>
        <v>405.17646277940742</v>
      </c>
      <c r="N19" s="42">
        <f t="shared" si="0"/>
        <v>810.35292555881483</v>
      </c>
      <c r="O19" s="42">
        <f t="shared" si="0"/>
        <v>16207.058511176298</v>
      </c>
      <c r="P19" s="43">
        <f t="shared" si="0"/>
        <v>162070.58511176295</v>
      </c>
      <c r="Q19" s="35"/>
      <c r="R19" s="598">
        <f>_xlfn.XLOOKUP($B19, Tox_Table[Code],Tox_Table[HED / POD (mg/kg/day)], FALSE)</f>
        <v>394</v>
      </c>
      <c r="S19" s="392" t="s">
        <v>52</v>
      </c>
      <c r="T19" s="274">
        <f>_xlfn.XLOOKUP($B19,Tox_Table[Code],Tox_Table[Benchmark MOE])</f>
        <v>30</v>
      </c>
      <c r="U19" s="36">
        <f>IF($K$19="Update Parameters","Update Parameters",IFERROR(($R$19/$T10), "Not Applicable"))</f>
        <v>14.027592345349355</v>
      </c>
      <c r="V19" s="42">
        <f>IF($K$19="Update Parameters","Update Parameters",IFERROR(($R$19/($T10/$V$18)), "Not Applicable"))</f>
        <v>70.137961726746781</v>
      </c>
      <c r="W19" s="42">
        <f>IF($K$19="Update Parameters","Update Parameters",IFERROR(($R$19/($T10/$W$18)), "Not Applicable"))</f>
        <v>140.27592345349356</v>
      </c>
      <c r="X19" s="43">
        <f>IF($K$19="Update Parameters","Update Parameters",IFERROR(($R$19/($T10/$X$18)), "Not Applicable"))</f>
        <v>280.55184690698712</v>
      </c>
    </row>
    <row r="20" spans="1:24" s="15" customFormat="1" ht="19.5" customHeight="1" thickBot="1" x14ac:dyDescent="0.4">
      <c r="B20" s="21" t="s">
        <v>62</v>
      </c>
      <c r="C20" s="577"/>
      <c r="D20" s="575"/>
      <c r="E20" s="575"/>
      <c r="F20" s="579"/>
      <c r="G20" s="35"/>
      <c r="H20" s="603"/>
      <c r="I20" s="410" t="s">
        <v>53</v>
      </c>
      <c r="J20" s="273">
        <f>_xlfn.XLOOKUP($B20,Tox_Table[Code],Tox_Table[Benchmark MOE])</f>
        <v>30</v>
      </c>
      <c r="K20" s="39">
        <f>IFERROR($H19/$J$11, "Update Parameters")</f>
        <v>54.023528370587634</v>
      </c>
      <c r="L20" s="184">
        <f t="shared" si="0"/>
        <v>540.23528370587633</v>
      </c>
      <c r="M20" s="184">
        <f t="shared" si="0"/>
        <v>1350.5882092646909</v>
      </c>
      <c r="N20" s="184">
        <f t="shared" si="0"/>
        <v>2701.1764185293819</v>
      </c>
      <c r="O20" s="184">
        <f t="shared" si="0"/>
        <v>54023.528370587643</v>
      </c>
      <c r="P20" s="189">
        <f t="shared" si="0"/>
        <v>540235.28370587644</v>
      </c>
      <c r="Q20" s="35"/>
      <c r="R20" s="599"/>
      <c r="S20" s="391" t="s">
        <v>53</v>
      </c>
      <c r="T20" s="273">
        <f>_xlfn.XLOOKUP($B20,Tox_Table[Code],Tox_Table[Benchmark MOE])</f>
        <v>30</v>
      </c>
      <c r="U20" s="184">
        <f>IF($K$19="Update Parameters","Update Parameters",IFERROR(($R$19/$T11), "Not Applicable"))</f>
        <v>42.082777036048064</v>
      </c>
      <c r="V20" s="184">
        <f>IF($K$19="Update Parameters","Update Parameters",IFERROR(($R$19/($T11/$V$18)), "Not Applicable"))</f>
        <v>210.41388518024033</v>
      </c>
      <c r="W20" s="184">
        <f>IF($K$19="Update Parameters","Update Parameters",IFERROR(($R$19/($T11/$W$18)), "Not Applicable"))</f>
        <v>420.82777036048066</v>
      </c>
      <c r="X20" s="189">
        <f>IF($K$19="Update Parameters","Update Parameters",IFERROR(($R$19/($T11/$X$18)), "Not Applicable"))</f>
        <v>841.65554072096131</v>
      </c>
    </row>
    <row r="21" spans="1:24" s="15" customFormat="1" ht="19.5" customHeight="1" x14ac:dyDescent="0.35">
      <c r="B21" s="21" t="s">
        <v>67</v>
      </c>
      <c r="C21" s="576" t="s">
        <v>84</v>
      </c>
      <c r="D21" s="574" t="str">
        <f>_xlfn.XLOOKUP($B21,Tox_Table[Code],Tox_Table[Health Effect])</f>
        <v>Reproductive Toxicity</v>
      </c>
      <c r="E21" s="574" t="str">
        <f>_xlfn.XLOOKUP($B21,Tox_Table[Code],Tox_Table[Endpoint])</f>
        <v>Reproductive Organs</v>
      </c>
      <c r="F21" s="578" t="str">
        <f>_xlfn.XLOOKUP($B21,Tox_Table[Code],Tox_Table[Study])</f>
        <v>PBPK Model</v>
      </c>
      <c r="G21" s="35"/>
      <c r="H21" s="602">
        <f>_xlfn.XLOOKUP($B21, Tox_Table[Code],Tox_Table[HEC (mg/m3)], FALSE)</f>
        <v>55.8</v>
      </c>
      <c r="I21" s="409" t="s">
        <v>52</v>
      </c>
      <c r="J21" s="274">
        <f>_xlfn.XLOOKUP($B21,Tox_Table[Code],Tox_Table[Benchmark MOE])</f>
        <v>30</v>
      </c>
      <c r="K21" s="42">
        <f>IFERROR($H21/$K10, "Update Parameters")</f>
        <v>11.525325381354765</v>
      </c>
      <c r="L21" s="42">
        <f t="shared" ref="L21:P22" si="1">IFERROR($H$21/($K10/L$18), "Update Parameters")</f>
        <v>115.25325381354764</v>
      </c>
      <c r="M21" s="42">
        <f t="shared" si="1"/>
        <v>288.13313453386911</v>
      </c>
      <c r="N21" s="42">
        <f t="shared" si="1"/>
        <v>576.26626906773822</v>
      </c>
      <c r="O21" s="42">
        <f t="shared" si="1"/>
        <v>11525.325381354765</v>
      </c>
      <c r="P21" s="43">
        <f t="shared" si="1"/>
        <v>115253.25381354765</v>
      </c>
      <c r="Q21" s="35"/>
      <c r="R21" s="598">
        <f>_xlfn.XLOOKUP($B21, Tox_Table[Code],Tox_Table[HED / POD (mg/kg/day)], FALSE)</f>
        <v>326</v>
      </c>
      <c r="S21" s="392" t="s">
        <v>52</v>
      </c>
      <c r="T21" s="274">
        <f>_xlfn.XLOOKUP($B21,Tox_Table[Code],Tox_Table[Benchmark MOE])</f>
        <v>30</v>
      </c>
      <c r="U21" s="42">
        <f>IF($K$19="Update Parameters","Update Parameters",IFERROR(($R$21/$U10), "Not Applicable"))</f>
        <v>15.827163490714893</v>
      </c>
      <c r="V21" s="42">
        <f t="shared" ref="V21:X22" si="2">IF($K$19="Update Parameters","Update Parameters",IFERROR(($R$21/($U10/V$18)), "Not Applicable"))</f>
        <v>79.135817453574461</v>
      </c>
      <c r="W21" s="42">
        <f t="shared" si="2"/>
        <v>158.27163490714892</v>
      </c>
      <c r="X21" s="43">
        <f t="shared" si="2"/>
        <v>316.54326981429784</v>
      </c>
    </row>
    <row r="22" spans="1:24" s="15" customFormat="1" ht="19.5" customHeight="1" thickBot="1" x14ac:dyDescent="0.4">
      <c r="B22" s="21" t="s">
        <v>67</v>
      </c>
      <c r="C22" s="577"/>
      <c r="D22" s="575"/>
      <c r="E22" s="575"/>
      <c r="F22" s="579"/>
      <c r="G22" s="35"/>
      <c r="H22" s="603"/>
      <c r="I22" s="410" t="s">
        <v>53</v>
      </c>
      <c r="J22" s="273">
        <f>_xlfn.XLOOKUP($B22,Tox_Table[Code],Tox_Table[Benchmark MOE])</f>
        <v>30</v>
      </c>
      <c r="K22" s="184">
        <f>IFERROR($H21/$K11, "Update Parameters")</f>
        <v>38.417751271182539</v>
      </c>
      <c r="L22" s="184">
        <f t="shared" si="1"/>
        <v>384.17751271182533</v>
      </c>
      <c r="M22" s="184">
        <f t="shared" si="1"/>
        <v>960.44378177956344</v>
      </c>
      <c r="N22" s="184">
        <f t="shared" si="1"/>
        <v>1920.8875635591269</v>
      </c>
      <c r="O22" s="184">
        <f t="shared" si="1"/>
        <v>38417.751271182533</v>
      </c>
      <c r="P22" s="189">
        <f t="shared" si="1"/>
        <v>384177.51271182543</v>
      </c>
      <c r="Q22" s="35"/>
      <c r="R22" s="599"/>
      <c r="S22" s="391" t="s">
        <v>53</v>
      </c>
      <c r="T22" s="273">
        <f>_xlfn.XLOOKUP($B22,Tox_Table[Code],Tox_Table[Benchmark MOE])</f>
        <v>30</v>
      </c>
      <c r="U22" s="184">
        <f>IF($K$19="Update Parameters","Update Parameters",IFERROR(($R$21/$U11), "Not Applicable"))</f>
        <v>47.481490472144678</v>
      </c>
      <c r="V22" s="184">
        <f t="shared" si="2"/>
        <v>237.4074523607234</v>
      </c>
      <c r="W22" s="184">
        <f t="shared" si="2"/>
        <v>474.81490472144679</v>
      </c>
      <c r="X22" s="189">
        <f t="shared" si="2"/>
        <v>949.62980944289359</v>
      </c>
    </row>
    <row r="23" spans="1:24" s="15" customFormat="1" ht="19.5" customHeight="1" x14ac:dyDescent="0.35">
      <c r="B23" s="21" t="s">
        <v>72</v>
      </c>
      <c r="C23" s="576" t="s">
        <v>85</v>
      </c>
      <c r="D23" s="574" t="str">
        <f>_xlfn.XLOOKUP($B23,Tox_Table[Code],Tox_Table[Health Effect])</f>
        <v>Reproductive Toxicity</v>
      </c>
      <c r="E23" s="574" t="str">
        <f>_xlfn.XLOOKUP($B23,Tox_Table[Code],Tox_Table[Endpoint])</f>
        <v>Reproductive Organs</v>
      </c>
      <c r="F23" s="600" t="str">
        <f>_xlfn.XLOOKUP($B23,Tox_Table[Code],Tox_Table[Study])</f>
        <v>PBPK Model</v>
      </c>
      <c r="G23" s="40"/>
      <c r="H23" s="602">
        <f>_xlfn.XLOOKUP($B23, Tox_Table[Code],Tox_Table[HEC (mg/m3)], FALSE)</f>
        <v>55.8</v>
      </c>
      <c r="I23" s="409" t="s">
        <v>52</v>
      </c>
      <c r="J23" s="274">
        <f>_xlfn.XLOOKUP($B23,Tox_Table[Code],Tox_Table[Benchmark MOE])</f>
        <v>30</v>
      </c>
      <c r="K23" s="42">
        <f>IFERROR($H23/$L10, "Update Parameters")</f>
        <v>12.339781708303837</v>
      </c>
      <c r="L23" s="42">
        <f t="shared" ref="L23:P24" si="3">IFERROR($H$23/($L10/L$18), "Update Parameters")</f>
        <v>123.39781708303838</v>
      </c>
      <c r="M23" s="42">
        <f t="shared" si="3"/>
        <v>308.49454270759594</v>
      </c>
      <c r="N23" s="42">
        <f t="shared" si="3"/>
        <v>616.98908541519188</v>
      </c>
      <c r="O23" s="42">
        <f t="shared" si="3"/>
        <v>12339.781708303839</v>
      </c>
      <c r="P23" s="43">
        <f t="shared" si="3"/>
        <v>123397.81708303838</v>
      </c>
      <c r="Q23" s="40"/>
      <c r="R23" s="598">
        <f>_xlfn.XLOOKUP($B23, Tox_Table[Code],Tox_Table[HED / POD (mg/kg/day)], FALSE)</f>
        <v>326</v>
      </c>
      <c r="S23" s="392" t="s">
        <v>52</v>
      </c>
      <c r="T23" s="274">
        <f>_xlfn.XLOOKUP($B23,Tox_Table[Code],Tox_Table[Benchmark MOE])</f>
        <v>30</v>
      </c>
      <c r="U23" s="42">
        <f>IF($K$19="Update Parameters","Update Parameters",IFERROR(($R$23/$V10), "Not Applicable"))</f>
        <v>16.945616377392078</v>
      </c>
      <c r="V23" s="42">
        <f t="shared" ref="V23:X24" si="4">IF($K$19="Update Parameters","Update Parameters",IFERROR(($R$23/($V10/V$18)), "Not Applicable"))</f>
        <v>84.728081886960396</v>
      </c>
      <c r="W23" s="42">
        <f t="shared" si="4"/>
        <v>169.45616377392079</v>
      </c>
      <c r="X23" s="43">
        <f t="shared" si="4"/>
        <v>338.91232754784158</v>
      </c>
    </row>
    <row r="24" spans="1:24" s="15" customFormat="1" ht="19.5" customHeight="1" thickBot="1" x14ac:dyDescent="0.4">
      <c r="B24" s="21" t="s">
        <v>72</v>
      </c>
      <c r="C24" s="596"/>
      <c r="D24" s="597"/>
      <c r="E24" s="597"/>
      <c r="F24" s="601"/>
      <c r="G24" s="365"/>
      <c r="H24" s="603"/>
      <c r="I24" s="411" t="s">
        <v>53</v>
      </c>
      <c r="J24" s="199">
        <f>_xlfn.XLOOKUP($B24,Tox_Table[Code],Tox_Table[Benchmark MOE])</f>
        <v>30</v>
      </c>
      <c r="K24" s="184">
        <f>IFERROR($H23/$L11, "Update Parameters")</f>
        <v>41.132605694346111</v>
      </c>
      <c r="L24" s="184">
        <f t="shared" si="3"/>
        <v>411.32605694346103</v>
      </c>
      <c r="M24" s="184">
        <f t="shared" si="3"/>
        <v>1028.3151423586526</v>
      </c>
      <c r="N24" s="184">
        <f t="shared" si="3"/>
        <v>2056.6302847173051</v>
      </c>
      <c r="O24" s="184">
        <f t="shared" si="3"/>
        <v>41132.605694346108</v>
      </c>
      <c r="P24" s="189">
        <f t="shared" si="3"/>
        <v>411326.05694346112</v>
      </c>
      <c r="Q24" s="40"/>
      <c r="R24" s="599"/>
      <c r="S24" s="199" t="s">
        <v>53</v>
      </c>
      <c r="T24" s="273">
        <f>_xlfn.XLOOKUP($B24,Tox_Table[Code],Tox_Table[Benchmark MOE])</f>
        <v>30</v>
      </c>
      <c r="U24" s="184">
        <f>IF($K$19="Update Parameters","Update Parameters",IFERROR(($R$23/$V11), "Not Applicable"))</f>
        <v>50.836849132176233</v>
      </c>
      <c r="V24" s="184">
        <f t="shared" si="4"/>
        <v>254.18424566088117</v>
      </c>
      <c r="W24" s="184">
        <f t="shared" si="4"/>
        <v>508.36849132176235</v>
      </c>
      <c r="X24" s="189">
        <f t="shared" si="4"/>
        <v>1016.7369826435247</v>
      </c>
    </row>
    <row r="25" spans="1:24" s="15" customFormat="1" x14ac:dyDescent="0.35">
      <c r="B25" s="11"/>
      <c r="C25" s="12"/>
      <c r="D25" s="13"/>
      <c r="E25" s="12"/>
      <c r="F25" s="12"/>
      <c r="G25" s="14"/>
      <c r="H25" s="14"/>
      <c r="I25" s="14"/>
      <c r="J25" s="14"/>
      <c r="K25" s="14"/>
      <c r="L25" s="14"/>
      <c r="M25" s="14"/>
      <c r="O25" s="14"/>
      <c r="P25" s="14"/>
      <c r="R25" s="14"/>
    </row>
    <row r="26" spans="1:24" s="15" customFormat="1" x14ac:dyDescent="0.35">
      <c r="B26" s="11"/>
      <c r="C26" s="12"/>
      <c r="D26" s="13"/>
      <c r="E26" s="12"/>
      <c r="F26" s="12"/>
      <c r="G26" s="14"/>
      <c r="H26" s="14"/>
      <c r="I26" s="14"/>
      <c r="J26" s="14"/>
      <c r="K26" s="14"/>
      <c r="L26" s="14"/>
      <c r="M26" s="14"/>
      <c r="N26" s="14"/>
      <c r="O26" s="14"/>
      <c r="P26" s="14"/>
      <c r="R26" s="14"/>
    </row>
    <row r="27" spans="1:24" s="15" customFormat="1" x14ac:dyDescent="0.35">
      <c r="B27" s="11"/>
      <c r="C27" s="12"/>
      <c r="D27" s="13"/>
      <c r="E27" s="12"/>
      <c r="F27" s="12"/>
      <c r="G27" s="14"/>
      <c r="H27" s="14"/>
      <c r="I27" s="14"/>
      <c r="J27" s="14"/>
      <c r="K27" s="14"/>
      <c r="L27" s="14"/>
      <c r="M27" s="14"/>
      <c r="N27" s="14"/>
      <c r="O27" s="14"/>
      <c r="P27" s="14"/>
      <c r="R27" s="14"/>
      <c r="S27" s="14"/>
    </row>
    <row r="28" spans="1:24" s="15" customFormat="1" x14ac:dyDescent="0.35">
      <c r="A28" s="14"/>
      <c r="B28" s="11"/>
      <c r="C28" s="12"/>
      <c r="D28" s="13"/>
      <c r="E28" s="12"/>
      <c r="F28" s="12"/>
      <c r="G28" s="14"/>
      <c r="H28" s="14"/>
      <c r="I28" s="14"/>
      <c r="J28" s="14"/>
      <c r="K28" s="14"/>
      <c r="L28" s="14"/>
      <c r="M28" s="14"/>
      <c r="N28" s="14"/>
      <c r="O28" s="14"/>
      <c r="P28" s="14"/>
      <c r="R28" s="14"/>
      <c r="S28" s="14"/>
    </row>
    <row r="33" spans="1:20" x14ac:dyDescent="0.35">
      <c r="I33" s="15"/>
      <c r="J33" s="15"/>
      <c r="K33" s="15"/>
      <c r="L33" s="15"/>
      <c r="M33" s="15"/>
    </row>
    <row r="38" spans="1:20" x14ac:dyDescent="0.35">
      <c r="O38" s="15"/>
      <c r="P38" s="15"/>
    </row>
    <row r="39" spans="1:20" x14ac:dyDescent="0.35">
      <c r="C39" s="17"/>
      <c r="D39" s="28"/>
      <c r="E39" s="17"/>
      <c r="F39" s="17"/>
      <c r="G39" s="15"/>
      <c r="H39" s="15"/>
    </row>
    <row r="40" spans="1:20" x14ac:dyDescent="0.35">
      <c r="R40" s="15"/>
    </row>
    <row r="41" spans="1:20" x14ac:dyDescent="0.35">
      <c r="B41" s="24"/>
    </row>
    <row r="42" spans="1:20" x14ac:dyDescent="0.35">
      <c r="B42" s="44"/>
    </row>
    <row r="43" spans="1:20" x14ac:dyDescent="0.35">
      <c r="B43" s="44"/>
      <c r="I43" s="45"/>
      <c r="J43" s="45"/>
      <c r="K43" s="45"/>
      <c r="L43" s="45"/>
      <c r="M43" s="45"/>
      <c r="N43" s="15"/>
    </row>
    <row r="44" spans="1:20" x14ac:dyDescent="0.35">
      <c r="B44" s="44"/>
      <c r="I44" s="45"/>
      <c r="J44" s="45"/>
      <c r="K44" s="45"/>
      <c r="L44" s="45"/>
      <c r="M44" s="45"/>
      <c r="S44" s="15"/>
    </row>
    <row r="45" spans="1:20" x14ac:dyDescent="0.35">
      <c r="B45" s="44"/>
      <c r="C45" s="46"/>
      <c r="D45" s="47"/>
      <c r="E45" s="46"/>
      <c r="I45" s="45"/>
      <c r="J45" s="45"/>
      <c r="K45" s="45"/>
      <c r="L45" s="45"/>
      <c r="M45" s="45"/>
    </row>
    <row r="46" spans="1:20" s="15" customFormat="1" x14ac:dyDescent="0.35">
      <c r="A46" s="14"/>
      <c r="B46" s="44"/>
      <c r="C46" s="12"/>
      <c r="D46" s="13"/>
      <c r="E46" s="46"/>
      <c r="F46" s="12"/>
      <c r="G46" s="14"/>
      <c r="H46" s="14"/>
      <c r="I46" s="45"/>
      <c r="J46" s="45"/>
      <c r="K46" s="45"/>
      <c r="L46" s="45"/>
      <c r="M46" s="45"/>
      <c r="N46" s="14"/>
      <c r="O46" s="14"/>
      <c r="P46" s="14"/>
      <c r="R46" s="14"/>
      <c r="S46" s="14"/>
    </row>
    <row r="47" spans="1:20" x14ac:dyDescent="0.35">
      <c r="R47" s="48"/>
      <c r="S47" s="48"/>
      <c r="T47" s="48"/>
    </row>
    <row r="48" spans="1:20" x14ac:dyDescent="0.35">
      <c r="F48" s="45"/>
      <c r="G48" s="48"/>
      <c r="H48" s="179"/>
      <c r="I48" s="180"/>
      <c r="J48" s="180"/>
      <c r="R48" s="179"/>
      <c r="S48" s="180"/>
      <c r="T48" s="180"/>
    </row>
    <row r="49" spans="1:20" x14ac:dyDescent="0.35">
      <c r="H49" s="27"/>
      <c r="I49" s="177"/>
      <c r="J49" s="177"/>
      <c r="R49" s="181"/>
      <c r="S49" s="178"/>
      <c r="T49" s="178"/>
    </row>
    <row r="50" spans="1:20" x14ac:dyDescent="0.35">
      <c r="A50" s="14" t="s">
        <v>86</v>
      </c>
      <c r="H50" s="27"/>
      <c r="I50" s="177"/>
      <c r="J50" s="177"/>
      <c r="R50" s="181"/>
      <c r="S50" s="177"/>
      <c r="T50" s="177"/>
    </row>
    <row r="51" spans="1:20" x14ac:dyDescent="0.35">
      <c r="H51" s="27"/>
      <c r="I51" s="177"/>
      <c r="J51" s="177"/>
      <c r="R51" s="181"/>
      <c r="S51" s="177"/>
      <c r="T51" s="177"/>
    </row>
    <row r="52" spans="1:20" x14ac:dyDescent="0.35">
      <c r="H52" s="27"/>
      <c r="I52" s="177"/>
      <c r="J52" s="177"/>
      <c r="R52" s="181"/>
      <c r="S52" s="177"/>
      <c r="T52" s="177"/>
    </row>
    <row r="53" spans="1:20" x14ac:dyDescent="0.35">
      <c r="H53" s="27"/>
      <c r="I53" s="177"/>
      <c r="J53" s="177"/>
      <c r="R53" s="181"/>
      <c r="S53" s="177"/>
      <c r="T53" s="177"/>
    </row>
    <row r="54" spans="1:20" x14ac:dyDescent="0.35">
      <c r="H54" s="27"/>
      <c r="I54" s="177"/>
      <c r="J54" s="177"/>
      <c r="T54" s="178"/>
    </row>
  </sheetData>
  <sheetProtection algorithmName="SHA-512" hashValue="5mBXxpgiP2soKMNN0Tb4tvY9JtxcQoYehSUAwPCTrvvfutsPwX9bcv6t6kkVDqwm3/lGgUolUxO5P2kvAFEpYg==" saltValue="hkeS4HswGvTcPkpk8oTP0g==" spinCount="100000" sheet="1"/>
  <dataConsolidate/>
  <mergeCells count="42">
    <mergeCell ref="C23:C24"/>
    <mergeCell ref="D23:D24"/>
    <mergeCell ref="E23:E24"/>
    <mergeCell ref="R19:R20"/>
    <mergeCell ref="R23:R24"/>
    <mergeCell ref="R21:R22"/>
    <mergeCell ref="F23:F24"/>
    <mergeCell ref="H23:H24"/>
    <mergeCell ref="H19:H20"/>
    <mergeCell ref="F21:F22"/>
    <mergeCell ref="H21:H22"/>
    <mergeCell ref="C21:C22"/>
    <mergeCell ref="D21:D22"/>
    <mergeCell ref="E21:E22"/>
    <mergeCell ref="U16:X16"/>
    <mergeCell ref="S8:S9"/>
    <mergeCell ref="R8:R9"/>
    <mergeCell ref="J16:J18"/>
    <mergeCell ref="K16:P16"/>
    <mergeCell ref="T16:T18"/>
    <mergeCell ref="R16:R18"/>
    <mergeCell ref="S16:S18"/>
    <mergeCell ref="L15:M15"/>
    <mergeCell ref="R12:R13"/>
    <mergeCell ref="U17:U18"/>
    <mergeCell ref="V17:X17"/>
    <mergeCell ref="L17:P17"/>
    <mergeCell ref="R10:R11"/>
    <mergeCell ref="I2:K2"/>
    <mergeCell ref="I5:K5"/>
    <mergeCell ref="C16:C18"/>
    <mergeCell ref="D16:E18"/>
    <mergeCell ref="E19:E20"/>
    <mergeCell ref="H10:H11"/>
    <mergeCell ref="I8:I9"/>
    <mergeCell ref="C19:C20"/>
    <mergeCell ref="D19:D20"/>
    <mergeCell ref="I16:I18"/>
    <mergeCell ref="F19:F20"/>
    <mergeCell ref="F16:F18"/>
    <mergeCell ref="H16:H18"/>
    <mergeCell ref="H8:H9"/>
  </mergeCells>
  <phoneticPr fontId="2" type="noConversion"/>
  <conditionalFormatting sqref="J10:L11 T10:V11 K19:P24 U19:X24">
    <cfRule type="containsText" dxfId="192" priority="2" operator="containsText" text="Update Parameters">
      <formula>NOT(ISERROR(SEARCH("Update Parameters",J10)))</formula>
    </cfRule>
    <cfRule type="cellIs" dxfId="191" priority="3" operator="greaterThan">
      <formula>10000</formula>
    </cfRule>
    <cfRule type="cellIs" dxfId="190" priority="4" operator="between">
      <formula>10</formula>
      <formula>9999.999</formula>
    </cfRule>
    <cfRule type="cellIs" dxfId="189" priority="6" operator="between">
      <formula>1</formula>
      <formula>9.999</formula>
    </cfRule>
    <cfRule type="cellIs" dxfId="188" priority="7" operator="between">
      <formula>0.1</formula>
      <formula>0.999</formula>
    </cfRule>
    <cfRule type="cellIs" dxfId="187" priority="9" operator="lessThan">
      <formula>0.1</formula>
    </cfRule>
  </conditionalFormatting>
  <conditionalFormatting sqref="K19:P24 U19:X24">
    <cfRule type="cellIs" dxfId="186" priority="10" operator="greaterThanOrEqual">
      <formula>$J$19</formula>
    </cfRule>
    <cfRule type="cellIs" dxfId="185" priority="11" operator="lessThanOrEqual">
      <formula>$J$19</formula>
    </cfRule>
  </conditionalFormatting>
  <conditionalFormatting sqref="T10:V11 U19:X24">
    <cfRule type="containsText" dxfId="184" priority="1" operator="containsText" text="Not Applicable">
      <formula>NOT(ISERROR(SEARCH("Not Applicable",T10)))</formula>
    </cfRule>
  </conditionalFormatting>
  <dataValidations count="1">
    <dataValidation allowBlank="1" showErrorMessage="1" sqref="I13 H8 R8" xr:uid="{B6FDB558-C6DA-450F-B0A7-6A9F371395FE}"/>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E6B432E-918A-4E7C-A274-4128A70B160D}">
          <x14:formula1>
            <xm:f>_xlfn.ANCHORARRAY('List Values'!$M$14)</xm:f>
          </x14:formula1>
          <xm:sqref>I4</xm:sqref>
        </x14:dataValidation>
        <x14:dataValidation type="list" allowBlank="1" showInputMessage="1" showErrorMessage="1" xr:uid="{FC730032-200B-4151-B0BA-953FB881A97D}">
          <x14:formula1>
            <xm:f>'List Values'!$L$3:$AJ$3</xm:f>
          </x14:formula1>
          <xm:sqref>H4</xm:sqref>
        </x14:dataValidation>
        <x14:dataValidation type="list" allowBlank="1" showInputMessage="1" showErrorMessage="1" xr:uid="{32513315-5B62-4E07-AA26-6852149EA3A4}">
          <x14:formula1>
            <xm:f>_xlfn.ANCHORARRAY('List Values'!$AQ$14)</xm:f>
          </x14:formula1>
          <xm:sqref>K4</xm:sqref>
        </x14:dataValidation>
        <x14:dataValidation type="list" allowBlank="1" showInputMessage="1" showErrorMessage="1" xr:uid="{5CCF3652-D475-46E8-A3E5-A92679502F7A}">
          <x14:formula1>
            <xm:f>'List Values'!$AP$14</xm:f>
          </x14:formula1>
          <xm:sqref>K4</xm:sqref>
        </x14:dataValidation>
        <x14:dataValidation type="list" allowBlank="1" showInputMessage="1" showErrorMessage="1" xr:uid="{CAF73899-19D1-4A0D-B12D-8FD94526F905}">
          <x14:formula1>
            <xm:f>_xlfn.ANCHORARRAY('List Values'!$AM$14)</xm:f>
          </x14:formula1>
          <xm:sqref>J4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F8EF-0238-48DF-B0F9-9BD2EA206E1A}">
  <sheetPr codeName="Sheet11">
    <tabColor rgb="FF92D050"/>
  </sheetPr>
  <dimension ref="A1:V72"/>
  <sheetViews>
    <sheetView zoomScale="80" zoomScaleNormal="80" workbookViewId="0">
      <selection activeCell="G11" sqref="G11"/>
    </sheetView>
  </sheetViews>
  <sheetFormatPr defaultColWidth="8.90625" defaultRowHeight="13" x14ac:dyDescent="0.35"/>
  <cols>
    <col min="1" max="1" width="2.08984375" style="14" customWidth="1"/>
    <col min="2" max="2" width="8.453125" style="11" customWidth="1"/>
    <col min="3" max="3" width="20.08984375" style="12" customWidth="1"/>
    <col min="4" max="4" width="22.90625" style="13" customWidth="1"/>
    <col min="5" max="6" width="22.90625" style="12" customWidth="1"/>
    <col min="7" max="8" width="21.54296875" style="14" customWidth="1"/>
    <col min="9" max="9" width="13.90625" style="12" customWidth="1"/>
    <col min="10" max="10" width="10.08984375" style="14" bestFit="1" customWidth="1"/>
    <col min="11" max="11" width="14.453125" style="14" customWidth="1"/>
    <col min="12" max="12" width="22.54296875" style="14" customWidth="1"/>
    <col min="13" max="13" width="18.08984375" style="14" customWidth="1"/>
    <col min="14" max="14" width="18.90625" style="14" customWidth="1"/>
    <col min="15" max="15" width="21.08984375" style="14" customWidth="1"/>
    <col min="16" max="17" width="18.90625" style="14" customWidth="1"/>
    <col min="18" max="18" width="23.08984375" style="14" customWidth="1"/>
    <col min="19" max="19" width="18.08984375" style="14" customWidth="1"/>
    <col min="20" max="20" width="21.08984375" style="14" customWidth="1"/>
    <col min="21" max="21" width="17.08984375" style="14" customWidth="1"/>
    <col min="22" max="22" width="17.54296875" style="14" customWidth="1"/>
    <col min="23" max="23" width="16.90625" style="14" customWidth="1"/>
    <col min="24" max="24" width="17" style="14" customWidth="1"/>
    <col min="25" max="25" width="13.08984375" style="14" customWidth="1"/>
    <col min="26" max="16384" width="8.90625" style="14"/>
  </cols>
  <sheetData>
    <row r="1" spans="2:22" ht="13.5" thickBot="1" x14ac:dyDescent="0.4"/>
    <row r="2" spans="2:22" ht="27.75" customHeight="1" thickBot="1" x14ac:dyDescent="0.35">
      <c r="C2" s="388" t="s">
        <v>25</v>
      </c>
      <c r="D2" s="567" t="s">
        <v>339</v>
      </c>
      <c r="E2" s="568"/>
      <c r="F2" s="569"/>
      <c r="G2" s="415"/>
      <c r="H2" s="415"/>
      <c r="L2" s="158" t="s">
        <v>341</v>
      </c>
      <c r="M2" s="158"/>
      <c r="N2" s="24"/>
      <c r="O2" s="15"/>
      <c r="P2" s="17"/>
      <c r="Q2" s="17"/>
      <c r="S2" s="12"/>
      <c r="T2" s="17"/>
      <c r="U2" s="15"/>
      <c r="V2" s="15"/>
    </row>
    <row r="3" spans="2:22" ht="40.4" customHeight="1" thickBot="1" x14ac:dyDescent="0.35">
      <c r="C3" s="358" t="s">
        <v>28</v>
      </c>
      <c r="D3" s="385" t="s">
        <v>294</v>
      </c>
      <c r="E3" s="389" t="s">
        <v>262</v>
      </c>
      <c r="F3" s="72" t="s">
        <v>32</v>
      </c>
      <c r="G3" s="415"/>
      <c r="H3" s="415"/>
      <c r="I3" s="14"/>
      <c r="K3" s="159"/>
      <c r="L3" s="159" t="s">
        <v>37</v>
      </c>
    </row>
    <row r="4" spans="2:22" ht="26.5" thickBot="1" x14ac:dyDescent="0.35">
      <c r="C4" s="73" t="s">
        <v>244</v>
      </c>
      <c r="D4" s="19" t="s">
        <v>275</v>
      </c>
      <c r="E4" s="337" t="s">
        <v>107</v>
      </c>
      <c r="F4" s="74" t="s">
        <v>73</v>
      </c>
      <c r="G4" s="415"/>
      <c r="H4" s="415"/>
      <c r="L4" s="549" t="s">
        <v>87</v>
      </c>
      <c r="M4" s="536" t="s">
        <v>39</v>
      </c>
      <c r="N4" s="386" t="s">
        <v>308</v>
      </c>
      <c r="O4" s="386" t="s">
        <v>367</v>
      </c>
      <c r="P4" s="20" t="s">
        <v>368</v>
      </c>
    </row>
    <row r="5" spans="2:22" ht="27.65" customHeight="1" thickBot="1" x14ac:dyDescent="0.4">
      <c r="D5" s="570" t="s">
        <v>401</v>
      </c>
      <c r="E5" s="570"/>
      <c r="F5" s="570"/>
      <c r="G5" s="17"/>
      <c r="H5" s="17"/>
      <c r="I5" s="17"/>
      <c r="J5" s="15"/>
      <c r="L5" s="550"/>
      <c r="M5" s="537"/>
      <c r="N5" s="393" t="s">
        <v>320</v>
      </c>
      <c r="O5" s="393" t="s">
        <v>310</v>
      </c>
      <c r="P5" s="23" t="s">
        <v>311</v>
      </c>
    </row>
    <row r="6" spans="2:22" ht="18" customHeight="1" x14ac:dyDescent="0.35">
      <c r="L6" s="554" t="str">
        <f>$F$4</f>
        <v>Worker</v>
      </c>
      <c r="M6" s="166" t="s">
        <v>52</v>
      </c>
      <c r="N6" s="187">
        <f>IF(SUMIFS(Inhalation_Exp[24hr_High-End],Inhalation_Exp[OES],$C$4,Inhalation_Exp[Similar Exposure Group (SEG)],$D$4,Inhalation_Exp[Worker Type],$F$4,Inhalation_Exp[Exposure Scenario],$E$4)=0,"Update Parameters",SUMIFS(Inhalation_Exp[24hr_High-End],Inhalation_Exp[OES],$C$4,Inhalation_Exp[Similar Exposure Group (SEG)],$D$4,Inhalation_Exp[Worker Type],$F$4,Inhalation_Exp[Exposure Scenario],$E$4))</f>
        <v>11.146136951713203</v>
      </c>
      <c r="O6" s="335">
        <f>IF(SUMIFS(Inhalation_Exp[Int_High-End],Inhalation_Exp[OES],$C$4,Inhalation_Exp[Similar Exposure Group (SEG)],$D$4,Inhalation_Exp[Worker Type],$F$4,Inhalation_Exp[Exposure Scenario],$E$4)=0,"Update Parameters",SUMIFS(Inhalation_Exp[Int_High-End],Inhalation_Exp[OES],$C$4,Inhalation_Exp[Similar Exposure Group (SEG)],$D$4,Inhalation_Exp[Worker Type],$F$4,Inhalation_Exp[Exposure Scenario],$E$4))</f>
        <v>8.1738337645896824</v>
      </c>
      <c r="P6" s="185">
        <f>IF(SUMIFS(Inhalation_Exp[ADC_High-End],Inhalation_Exp[OES],$C$4,Inhalation_Exp[Similar Exposure Group (SEG)],$D$4,Inhalation_Exp[Worker Type],$F$4,Inhalation_Exp[Exposure Scenario],$E$4)=0,"Update Parameters",SUMIFS(Inhalation_Exp[ADC_High-End],Inhalation_Exp[OES],$C$4,Inhalation_Exp[Similar Exposure Group (SEG)],$D$4,Inhalation_Exp[Worker Type],$F$4,Inhalation_Exp[Exposure Scenario],$E$4))</f>
        <v>7.6343403778857555</v>
      </c>
    </row>
    <row r="7" spans="2:22" ht="15" customHeight="1" thickBot="1" x14ac:dyDescent="0.4">
      <c r="L7" s="553"/>
      <c r="M7" s="167" t="s">
        <v>53</v>
      </c>
      <c r="N7" s="328">
        <f>IF(SUMIFS(Inhalation_Exp[24hr_Central Tendency],Inhalation_Exp[OES],$C$4,Inhalation_Exp[Similar Exposure Group (SEG)],$D$4,Inhalation_Exp[Worker Type],$F$4,Inhalation_Exp[Exposure Scenario],$E$4)=0,"Update Parameters",SUMIFS(Inhalation_Exp[24hr_Central Tendency],Inhalation_Exp[OES],$C$4,Inhalation_Exp[Similar Exposure Group (SEG)],$D$4,Inhalation_Exp[Worker Type],$F$4,Inhalation_Exp[Exposure Scenario],$E$4))</f>
        <v>2.2065328033053708</v>
      </c>
      <c r="O7" s="336">
        <f>IF(SUMIFS(Inhalation_Exp[Int_Central Tendency],Inhalation_Exp[OES],$C$4,Inhalation_Exp[Similar Exposure Group (SEG)],$D$4,Inhalation_Exp[Worker Type],$F$4,Inhalation_Exp[Exposure Scenario],$E$4)=0,"Update Parameters",SUMIFS(Inhalation_Exp[Int_Central Tendency],Inhalation_Exp[OES],$C$4,Inhalation_Exp[Similar Exposure Group (SEG)],$D$4,Inhalation_Exp[Worker Type],$F$4,Inhalation_Exp[Exposure Scenario],$E$4))</f>
        <v>1.6181240557572718</v>
      </c>
      <c r="P7" s="334">
        <f>IF(SUMIFS(Inhalation_Exp[ADC_Central Tendency],Inhalation_Exp[OES],$C$4,Inhalation_Exp[Similar Exposure Group (SEG)],$D$4,Inhalation_Exp[Worker Type],$F$4,Inhalation_Exp[Exposure Scenario],$E$4)=0,"Update Parameters",SUMIFS(Inhalation_Exp[ADC_Central Tendency],Inhalation_Exp[OES],$C$4,Inhalation_Exp[Similar Exposure Group (SEG)],$D$4,Inhalation_Exp[Worker Type],$F$4,Inhalation_Exp[Exposure Scenario],$E$4))</f>
        <v>1.511323837880391</v>
      </c>
    </row>
    <row r="8" spans="2:22" ht="15.5" x14ac:dyDescent="0.35">
      <c r="C8" s="14"/>
      <c r="D8" s="14"/>
      <c r="E8" s="14"/>
      <c r="F8" s="14"/>
      <c r="L8" s="158" t="s">
        <v>22</v>
      </c>
    </row>
    <row r="9" spans="2:22" ht="25.5" customHeight="1" thickBot="1" x14ac:dyDescent="0.4">
      <c r="C9" s="14"/>
      <c r="D9" s="14"/>
      <c r="E9" s="14"/>
      <c r="H9" s="11"/>
      <c r="L9" s="159" t="s">
        <v>37</v>
      </c>
    </row>
    <row r="10" spans="2:22" ht="26" x14ac:dyDescent="0.35">
      <c r="C10" s="14"/>
      <c r="D10" s="14"/>
      <c r="E10" s="14"/>
      <c r="H10" s="11"/>
      <c r="L10" s="549" t="s">
        <v>87</v>
      </c>
      <c r="M10" s="536" t="s">
        <v>39</v>
      </c>
      <c r="N10" s="386" t="s">
        <v>331</v>
      </c>
      <c r="O10" s="386" t="s">
        <v>365</v>
      </c>
      <c r="P10" s="20" t="s">
        <v>366</v>
      </c>
    </row>
    <row r="11" spans="2:22" ht="13.5" thickBot="1" x14ac:dyDescent="0.4">
      <c r="H11" s="11"/>
      <c r="L11" s="551"/>
      <c r="M11" s="547"/>
      <c r="N11" s="393" t="s">
        <v>369</v>
      </c>
      <c r="O11" s="393" t="s">
        <v>46</v>
      </c>
      <c r="P11" s="23" t="s">
        <v>363</v>
      </c>
    </row>
    <row r="12" spans="2:22" ht="12.75" customHeight="1" x14ac:dyDescent="0.35">
      <c r="H12" s="11"/>
      <c r="L12" s="552" t="str">
        <f>$F$4</f>
        <v>Worker</v>
      </c>
      <c r="M12" s="166" t="s">
        <v>52</v>
      </c>
      <c r="N12" s="296">
        <f>IF($N$6="Update Parameters","Update Parameters",IF(SUMIFS(Dermal_Exp[AAD_High-End],Dermal_Exp[OES],$C$4,Dermal_Exp[Similar Exposure Group (SEG)],$D$4,Dermal_Exp[Worker Type],$F$4)=0,"Not Applicable",SUMIFS(Dermal_Exp[AAD_High-End],Dermal_Exp[OES],$C$4,Dermal_Exp[Similar Exposure Group (SEG)],$D$4,Dermal_Exp[Worker Type],$F$4)))</f>
        <v>28.087499999999999</v>
      </c>
      <c r="O12" s="296">
        <f>IF($N$6="Update Parameters","Update Parameters",IF(SUMIFS(Dermal_Exp[IADD_High-End],Dermal_Exp[OES],$C$4,Dermal_Exp[Similar Exposure Group (SEG)],$D$4,Dermal_Exp[Worker Type],$F$4)=0,"Not Applicable",SUMIFS(Dermal_Exp[IADD_High-End],Dermal_Exp[OES],$C$4,Dermal_Exp[Similar Exposure Group (SEG)],$D$4,Dermal_Exp[Worker Type],$F$4)))</f>
        <v>20.5975</v>
      </c>
      <c r="P12" s="360">
        <f>IF($N$6="Update Parameters","Update Parameters",IF(SUMIFS(Dermal_Exp[AADD_High-End],Dermal_Exp[OES],$C$4,Dermal_Exp[Similar Exposure Group (SEG)],$D$4,Dermal_Exp[Worker Type],$F$4)=0,"Not Applicable",SUMIFS(Dermal_Exp[AADD_High-End],Dermal_Exp[OES],$C$4,Dermal_Exp[Similar Exposure Group (SEG)],$D$4,Dermal_Exp[Worker Type],$F$4)))</f>
        <v>19.238013698630137</v>
      </c>
    </row>
    <row r="13" spans="2:22" ht="15.75" customHeight="1" thickBot="1" x14ac:dyDescent="0.4">
      <c r="H13" s="11"/>
      <c r="L13" s="553"/>
      <c r="M13" s="167" t="s">
        <v>53</v>
      </c>
      <c r="N13" s="188">
        <f>IF($N$6="Update Parameters","Update Parameters",IF(SUMIFS(Dermal_Exp[AAD_Central Tendency],Dermal_Exp[OES],$C$4,Dermal_Exp[Similar Exposure Group (SEG)],$D$4,Dermal_Exp[Worker Type],$F$4)=0,"Not Applicable",SUMIFS(Dermal_Exp[AAD_Central Tendency],Dermal_Exp[OES],$C$4,Dermal_Exp[Similar Exposure Group (SEG)],$D$4,Dermal_Exp[Worker Type],$F$4)))</f>
        <v>9.3625000000000007</v>
      </c>
      <c r="O13" s="188">
        <f>IF($N$6="Update Parameters","Update Parameters",IF(SUMIFS(Dermal_Exp[IADD_Central Tendency],Dermal_Exp[OES],$C$4,Dermal_Exp[Similar Exposure Group (SEG)],$D$4,Dermal_Exp[Worker Type],$F$4)=0,"Not Applicable",SUMIFS(Dermal_Exp[IADD_Central Tendency],Dermal_Exp[OES],$C$4,Dermal_Exp[Similar Exposure Group (SEG)],$D$4,Dermal_Exp[Worker Type],$F$4)))</f>
        <v>6.8658333333333337</v>
      </c>
      <c r="P13" s="186">
        <f>IF($N$6="Update Parameters","Update Parameters",IF(SUMIFS(Dermal_Exp[AADD_Central Tendency],Dermal_Exp[OES],$C$4,Dermal_Exp[Similar Exposure Group (SEG)],$D$4,Dermal_Exp[Worker Type],$F$4)=0,"Not Applicable",SUMIFS(Dermal_Exp[AADD_Central Tendency],Dermal_Exp[OES],$C$4,Dermal_Exp[Similar Exposure Group (SEG)],$D$4,Dermal_Exp[Worker Type],$F$4)))</f>
        <v>6.4126712328767121</v>
      </c>
      <c r="Q13" s="364"/>
    </row>
    <row r="14" spans="2:22" s="15" customFormat="1" x14ac:dyDescent="0.35">
      <c r="B14" s="24"/>
      <c r="C14" s="17"/>
      <c r="D14" s="29"/>
      <c r="E14" s="29"/>
      <c r="F14" s="29"/>
      <c r="G14" s="30"/>
      <c r="I14" s="17"/>
      <c r="J14" s="17"/>
      <c r="M14" s="369"/>
      <c r="N14" s="369"/>
      <c r="O14" s="390"/>
      <c r="P14" s="390"/>
      <c r="S14" s="197"/>
    </row>
    <row r="15" spans="2:22" s="15" customFormat="1" ht="15.5" thickBot="1" x14ac:dyDescent="0.4">
      <c r="B15" s="24"/>
      <c r="C15" s="17"/>
      <c r="D15" s="29"/>
      <c r="E15" s="29"/>
      <c r="F15" s="29"/>
      <c r="G15" s="30"/>
      <c r="I15" s="17"/>
      <c r="J15" s="17"/>
      <c r="L15" s="160" t="s">
        <v>88</v>
      </c>
      <c r="M15" s="369"/>
      <c r="N15" s="369"/>
      <c r="O15" s="390"/>
      <c r="P15" s="390"/>
      <c r="S15" s="197"/>
    </row>
    <row r="16" spans="2:22" s="15" customFormat="1" x14ac:dyDescent="0.35">
      <c r="B16" s="24"/>
      <c r="C16" s="571" t="s">
        <v>76</v>
      </c>
      <c r="D16" s="571" t="s">
        <v>77</v>
      </c>
      <c r="E16" s="571"/>
      <c r="F16" s="580" t="s">
        <v>78</v>
      </c>
      <c r="G16" s="32"/>
      <c r="H16" s="629" t="s">
        <v>347</v>
      </c>
      <c r="I16" s="557" t="s">
        <v>342</v>
      </c>
      <c r="J16" s="538" t="s">
        <v>39</v>
      </c>
      <c r="K16" s="559" t="s">
        <v>59</v>
      </c>
      <c r="L16" s="559" t="str">
        <f>_xlfn.CONCAT("Exposure Estimates: ",$F$4," MOE")</f>
        <v>Exposure Estimates: Worker MOE</v>
      </c>
      <c r="M16" s="622"/>
      <c r="N16" s="584"/>
      <c r="O16" s="584"/>
      <c r="P16" s="584"/>
      <c r="Q16" s="584"/>
      <c r="R16" s="585"/>
      <c r="T16" s="197"/>
    </row>
    <row r="17" spans="2:20" s="15" customFormat="1" x14ac:dyDescent="0.35">
      <c r="B17" s="24"/>
      <c r="C17" s="572"/>
      <c r="D17" s="572"/>
      <c r="E17" s="572"/>
      <c r="F17" s="581"/>
      <c r="G17" s="33"/>
      <c r="H17" s="630"/>
      <c r="I17" s="539"/>
      <c r="J17" s="539"/>
      <c r="K17" s="586"/>
      <c r="L17" s="592" t="s">
        <v>89</v>
      </c>
      <c r="M17" s="624" t="s">
        <v>82</v>
      </c>
      <c r="N17" s="592" t="s">
        <v>90</v>
      </c>
      <c r="O17" s="592"/>
      <c r="P17" s="592"/>
      <c r="Q17" s="592"/>
      <c r="R17" s="620"/>
      <c r="T17" s="197"/>
    </row>
    <row r="18" spans="2:20" s="15" customFormat="1" ht="13.5" thickBot="1" x14ac:dyDescent="0.4">
      <c r="B18" s="24"/>
      <c r="C18" s="572"/>
      <c r="D18" s="572"/>
      <c r="E18" s="572"/>
      <c r="F18" s="581"/>
      <c r="G18" s="33"/>
      <c r="H18" s="631"/>
      <c r="I18" s="621"/>
      <c r="J18" s="548"/>
      <c r="K18" s="623"/>
      <c r="L18" s="621"/>
      <c r="M18" s="625"/>
      <c r="N18" s="393">
        <f>'List Values'!$D$31</f>
        <v>10</v>
      </c>
      <c r="O18" s="393">
        <f>'List Values'!$D$32</f>
        <v>25</v>
      </c>
      <c r="P18" s="393">
        <f>'List Values'!$D$33</f>
        <v>50</v>
      </c>
      <c r="Q18" s="393">
        <f>'List Values'!$D$34</f>
        <v>1000</v>
      </c>
      <c r="R18" s="23">
        <f>'List Values'!$D$35</f>
        <v>10000</v>
      </c>
    </row>
    <row r="19" spans="2:20" s="15" customFormat="1" x14ac:dyDescent="0.35">
      <c r="B19" s="604" t="s">
        <v>62</v>
      </c>
      <c r="C19" s="576" t="s">
        <v>83</v>
      </c>
      <c r="D19" s="574" t="str">
        <f>_xlfn.XLOOKUP($B19,Tox_Table[Code],Tox_Table[Health Effect])</f>
        <v>Reproductive Toxicity</v>
      </c>
      <c r="E19" s="574" t="str">
        <f>_xlfn.XLOOKUP($B19,Tox_Table[Code],Tox_Table[Endpoint])</f>
        <v>Reproductive Organs</v>
      </c>
      <c r="F19" s="600" t="str">
        <f>_xlfn.XLOOKUP($B19,Tox_Table[Code],Tox_Table[Study])</f>
        <v>PBPK Model</v>
      </c>
      <c r="G19" s="35"/>
      <c r="H19" s="619">
        <f>_xlfn.XLOOKUP($B19, Tox_Table[Code],Tox_Table[HEC (mg/m3)], FALSE)</f>
        <v>107</v>
      </c>
      <c r="I19" s="616">
        <f>_xlfn.XLOOKUP($B19, Tox_Table[Code],Tox_Table[HED / POD (mg/kg/day)], FALSE)</f>
        <v>394</v>
      </c>
      <c r="J19" s="617" t="s">
        <v>52</v>
      </c>
      <c r="K19" s="626">
        <f>_xlfn.XLOOKUP($B19,Tox_Table[Code],Tox_Table[Benchmark MOE])</f>
        <v>30</v>
      </c>
      <c r="L19" s="168" t="s">
        <v>80</v>
      </c>
      <c r="M19" s="42">
        <f>IF($N$6="Update Parameters","Update Parameters",IFERROR(1/(1/($I$19/$N$12)+1/($H$19/$N$6)),"Not Applicable"))</f>
        <v>5.699383445603921</v>
      </c>
      <c r="N19" s="42">
        <f>IF($N$6="Update Parameters","Update Parameters",IFERROR(1/(1/($I$19/$N$12)+1/($H$19/($N$6/N$18))),"Not Applicable"))</f>
        <v>12.239149831751931</v>
      </c>
      <c r="O19" s="42">
        <f>IF($N$6="Update Parameters","Update Parameters",IFERROR(1/(1/($I$19/$N$12)+1/($H$19/($N$6/O$18))),"Not Applicable"))</f>
        <v>13.252958340444961</v>
      </c>
      <c r="P19" s="42">
        <f>IF($N$6="Update Parameters","Update Parameters",IFERROR(1/(1/($I$19/$N$12)+1/($H$19/($N$6/P$18))),"Not Applicable"))</f>
        <v>13.629277437311135</v>
      </c>
      <c r="Q19" s="42">
        <f>IF($N$6="Update Parameters","Update Parameters",IFERROR(1/(1/($I$19/$N$12)+1/($H$19/($N$6/Q$18))),"Not Applicable"))</f>
        <v>14.007124471973102</v>
      </c>
      <c r="R19" s="43">
        <f>IF($N$6="Update Parameters","Update Parameters",IFERROR(1/(1/($I$19/$N$12)+1/($H$19/($N$6/R$18))),"Not Applicable"))</f>
        <v>14.025542866628712</v>
      </c>
    </row>
    <row r="20" spans="2:20" s="15" customFormat="1" x14ac:dyDescent="0.35">
      <c r="B20" s="604"/>
      <c r="C20" s="577"/>
      <c r="D20" s="605"/>
      <c r="E20" s="605"/>
      <c r="F20" s="606"/>
      <c r="G20" s="35"/>
      <c r="H20" s="613"/>
      <c r="I20" s="607"/>
      <c r="J20" s="609"/>
      <c r="K20" s="627"/>
      <c r="L20" s="165">
        <f>'List Values'!$D$38</f>
        <v>5</v>
      </c>
      <c r="M20" s="36">
        <f>IF($N$6="Update Parameters","Update Parameters",IFERROR(1/(1/($I$19/($N$12/$L20))+1/($H$19/$N$6)),"Not Applicable"))</f>
        <v>8.4440119224078618</v>
      </c>
      <c r="N20" s="36">
        <f>IF($N$6="Update Parameters","Update Parameters",IFERROR(1/(1/($I$19/($N$12/$L20))+1/($H$19/($N$6/N$18))),"Not Applicable"))</f>
        <v>40.527564104087645</v>
      </c>
      <c r="O20" s="36">
        <f t="shared" ref="N20:R22" si="0">IF($N$6="Update Parameters","Update Parameters",IFERROR(1/(1/($I$19/($N$12/$L20))+1/($H$19/($N$6/O$18))),"Not Applicable"))</f>
        <v>54.275868137818499</v>
      </c>
      <c r="P20" s="36">
        <f t="shared" si="0"/>
        <v>61.195749158759654</v>
      </c>
      <c r="Q20" s="36">
        <f t="shared" si="0"/>
        <v>69.629234061440954</v>
      </c>
      <c r="R20" s="37">
        <f t="shared" si="0"/>
        <v>70.08675468481924</v>
      </c>
    </row>
    <row r="21" spans="2:20" s="15" customFormat="1" x14ac:dyDescent="0.35">
      <c r="B21" s="604"/>
      <c r="C21" s="577"/>
      <c r="D21" s="605"/>
      <c r="E21" s="605"/>
      <c r="F21" s="606"/>
      <c r="G21" s="35"/>
      <c r="H21" s="613"/>
      <c r="I21" s="607"/>
      <c r="J21" s="609"/>
      <c r="K21" s="627"/>
      <c r="L21" s="165">
        <f>'List Values'!$D$39</f>
        <v>10</v>
      </c>
      <c r="M21" s="36">
        <f>IF($N$6="Update Parameters","Update Parameters",IFERROR(1/(1/($I$19/($N$12/$L21))+1/($H$19/$N$6)),"Not Applicable"))</f>
        <v>8.9848622864637111</v>
      </c>
      <c r="N21" s="36">
        <f>IF($N$6="Update Parameters","Update Parameters",IFERROR(1/(1/($I$19/($N$12/$L21))+1/($H$19/($N$6/N$18))),"Not Applicable"))</f>
        <v>56.993834456039217</v>
      </c>
      <c r="O21" s="36">
        <f t="shared" si="0"/>
        <v>88.530146827531439</v>
      </c>
      <c r="P21" s="36">
        <f t="shared" si="0"/>
        <v>108.551736275637</v>
      </c>
      <c r="Q21" s="36">
        <f t="shared" si="0"/>
        <v>138.25566620856901</v>
      </c>
      <c r="R21" s="37">
        <f t="shared" si="0"/>
        <v>140.07124471973103</v>
      </c>
    </row>
    <row r="22" spans="2:20" s="15" customFormat="1" x14ac:dyDescent="0.35">
      <c r="B22" s="604"/>
      <c r="C22" s="577"/>
      <c r="D22" s="605"/>
      <c r="E22" s="605"/>
      <c r="F22" s="606"/>
      <c r="G22" s="35"/>
      <c r="H22" s="613"/>
      <c r="I22" s="607"/>
      <c r="J22" s="609"/>
      <c r="K22" s="628"/>
      <c r="L22" s="165">
        <f>'List Values'!$D$40</f>
        <v>20</v>
      </c>
      <c r="M22" s="36">
        <f>IF($N$6="Update Parameters","Update Parameters",IFERROR(1/(1/($I$19/($N$12/$L22))+1/($H$19/$N$6)),"Not Applicable"))</f>
        <v>9.2821287248694073</v>
      </c>
      <c r="N22" s="36">
        <f t="shared" si="0"/>
        <v>71.52383107924291</v>
      </c>
      <c r="O22" s="36">
        <f t="shared" si="0"/>
        <v>129.34629882525459</v>
      </c>
      <c r="P22" s="36">
        <f t="shared" si="0"/>
        <v>177.06029365506288</v>
      </c>
      <c r="Q22" s="36">
        <f t="shared" si="0"/>
        <v>272.58554874622268</v>
      </c>
      <c r="R22" s="37">
        <f t="shared" si="0"/>
        <v>279.73432483083434</v>
      </c>
    </row>
    <row r="23" spans="2:20" s="15" customFormat="1" x14ac:dyDescent="0.35">
      <c r="B23" s="604" t="s">
        <v>62</v>
      </c>
      <c r="C23" s="577"/>
      <c r="D23" s="605"/>
      <c r="E23" s="605"/>
      <c r="F23" s="606"/>
      <c r="G23" s="35"/>
      <c r="H23" s="613">
        <f>_xlfn.XLOOKUP($B23, Tox_Table[Code],Tox_Table[HEC (mg/m3)], FALSE)</f>
        <v>107</v>
      </c>
      <c r="I23" s="607">
        <f>_xlfn.XLOOKUP($B23, Tox_Table[Code],Tox_Table[HED / POD (mg/kg/day)], FALSE)</f>
        <v>394</v>
      </c>
      <c r="J23" s="609" t="s">
        <v>53</v>
      </c>
      <c r="K23" s="611">
        <f>_xlfn.XLOOKUP($B23,Tox_Table[Code],Tox_Table[Benchmark MOE])</f>
        <v>30</v>
      </c>
      <c r="L23" s="165" t="s">
        <v>80</v>
      </c>
      <c r="M23" s="36">
        <f>IF($N$6="Update Parameters","Update Parameters",IFERROR(1/(1/($I$23/$N$13)+1/($H$23/$N$7)),"Not Applicable"))</f>
        <v>22.530391791939071</v>
      </c>
      <c r="N23" s="36">
        <f>IF($N$6="Update Parameters","Update Parameters",IFERROR(1/(1/($I$23/$N$13)+1/($H$23/($N$7/N$18))),"Not Applicable"))</f>
        <v>38.722362547549771</v>
      </c>
      <c r="O23" s="36">
        <f>IF($N$6="Update Parameters","Update Parameters",IFERROR(1/(1/($I$23/$N$13)+1/($H$23/($N$7/O$18))),"Not Applicable"))</f>
        <v>40.670969429881303</v>
      </c>
      <c r="P23" s="36">
        <f>IF($N$6="Update Parameters","Update Parameters",IFERROR(1/(1/($I$23/$N$13)+1/($H$23/($N$7/P$18))),"Not Applicable"))</f>
        <v>41.36483026934097</v>
      </c>
      <c r="Q23" s="36">
        <f>IF($N$6="Update Parameters","Update Parameters",IFERROR(1/(1/($I$23/$N$13)+1/($H$23/($N$7/Q$18))),"Not Applicable"))</f>
        <v>42.046288312959192</v>
      </c>
      <c r="R23" s="37">
        <f>IF($N$6="Update Parameters","Update Parameters",IFERROR(1/(1/($I$23/$N$13)+1/($H$23/($N$7/R$18))),"Not Applicable"))</f>
        <v>42.079125314069707</v>
      </c>
    </row>
    <row r="24" spans="2:20" s="15" customFormat="1" x14ac:dyDescent="0.35">
      <c r="B24" s="604"/>
      <c r="C24" s="577"/>
      <c r="D24" s="605"/>
      <c r="E24" s="605"/>
      <c r="F24" s="606"/>
      <c r="G24" s="35"/>
      <c r="H24" s="613"/>
      <c r="I24" s="607"/>
      <c r="J24" s="609"/>
      <c r="K24" s="611"/>
      <c r="L24" s="165">
        <f>'List Values'!$D$38</f>
        <v>5</v>
      </c>
      <c r="M24" s="36">
        <f>IF($N$6="Update Parameters","Update Parameters",IFERROR(1/(1/($I$23/($N$13/$L24))+1/($H$23/$N$7)),"Not Applicable"))</f>
        <v>39.40989208540234</v>
      </c>
      <c r="N24" s="36">
        <f t="shared" ref="N24:R26" si="1">IF($N$6="Update Parameters","Update Parameters",IFERROR(1/(1/($I$23/($N$13/$L24))+1/($H$23/($N$7/N$18))),"Not Applicable"))</f>
        <v>146.74120949540747</v>
      </c>
      <c r="O24" s="36">
        <f t="shared" si="1"/>
        <v>179.29468581859496</v>
      </c>
      <c r="P24" s="36">
        <f t="shared" si="1"/>
        <v>193.61181273774886</v>
      </c>
      <c r="Q24" s="36">
        <f t="shared" si="1"/>
        <v>209.50481999644407</v>
      </c>
      <c r="R24" s="37">
        <f t="shared" si="1"/>
        <v>210.32262380750851</v>
      </c>
    </row>
    <row r="25" spans="2:20" s="15" customFormat="1" x14ac:dyDescent="0.35">
      <c r="B25" s="604"/>
      <c r="C25" s="577"/>
      <c r="D25" s="605"/>
      <c r="E25" s="605"/>
      <c r="F25" s="606"/>
      <c r="G25" s="35"/>
      <c r="H25" s="613"/>
      <c r="I25" s="607"/>
      <c r="J25" s="609"/>
      <c r="K25" s="611"/>
      <c r="L25" s="165">
        <f>'List Values'!$D$39</f>
        <v>10</v>
      </c>
      <c r="M25" s="36">
        <f>IF($N$6="Update Parameters","Update Parameters",IFERROR(1/(1/($I$23/($N$13/$L25))+1/($H$23/$N$7)),"Not Applicable"))</f>
        <v>43.481907800048361</v>
      </c>
      <c r="N25" s="36">
        <f t="shared" si="1"/>
        <v>225.3039179193907</v>
      </c>
      <c r="O25" s="36">
        <f t="shared" si="1"/>
        <v>312.38860305051742</v>
      </c>
      <c r="P25" s="36">
        <f t="shared" si="1"/>
        <v>358.58937163718991</v>
      </c>
      <c r="Q25" s="36">
        <f t="shared" si="1"/>
        <v>417.20715202489242</v>
      </c>
      <c r="R25" s="37">
        <f t="shared" si="1"/>
        <v>420.46288312959194</v>
      </c>
    </row>
    <row r="26" spans="2:20" s="15" customFormat="1" ht="13.5" thickBot="1" x14ac:dyDescent="0.4">
      <c r="B26" s="604"/>
      <c r="C26" s="596"/>
      <c r="D26" s="597"/>
      <c r="E26" s="597"/>
      <c r="F26" s="601"/>
      <c r="G26" s="35"/>
      <c r="H26" s="614"/>
      <c r="I26" s="608"/>
      <c r="J26" s="610"/>
      <c r="K26" s="612"/>
      <c r="L26" s="34">
        <f>'List Values'!$D$40</f>
        <v>20</v>
      </c>
      <c r="M26" s="184">
        <f>IF($N$6="Update Parameters","Update Parameters",IFERROR(1/(1/($I$23/($N$13/$L26))+1/($H$23/$N$7)),"Not Applicable"))</f>
        <v>45.850660948424085</v>
      </c>
      <c r="N26" s="184">
        <f t="shared" si="1"/>
        <v>307.66251575854966</v>
      </c>
      <c r="O26" s="184">
        <f t="shared" si="1"/>
        <v>496.76936136007487</v>
      </c>
      <c r="P26" s="184">
        <f t="shared" si="1"/>
        <v>624.77720610103484</v>
      </c>
      <c r="Q26" s="184">
        <f t="shared" si="1"/>
        <v>827.29660538681946</v>
      </c>
      <c r="R26" s="189">
        <f t="shared" si="1"/>
        <v>840.19725623247075</v>
      </c>
    </row>
    <row r="27" spans="2:20" s="15" customFormat="1" x14ac:dyDescent="0.35">
      <c r="B27" s="604" t="s">
        <v>67</v>
      </c>
      <c r="C27" s="576" t="s">
        <v>84</v>
      </c>
      <c r="D27" s="574" t="str">
        <f>_xlfn.XLOOKUP($B27,Tox_Table[Code],Tox_Table[Health Effect])</f>
        <v>Reproductive Toxicity</v>
      </c>
      <c r="E27" s="574" t="str">
        <f>_xlfn.XLOOKUP($B27,Tox_Table[Code],Tox_Table[Endpoint])</f>
        <v>Reproductive Organs</v>
      </c>
      <c r="F27" s="600" t="str">
        <f>_xlfn.XLOOKUP($B27,Tox_Table[Code],Tox_Table[Study])</f>
        <v>PBPK Model</v>
      </c>
      <c r="G27" s="366"/>
      <c r="H27" s="619">
        <f>_xlfn.XLOOKUP($B27, Tox_Table[Code],Tox_Table[HEC (mg/m3)], FALSE)</f>
        <v>55.8</v>
      </c>
      <c r="I27" s="563">
        <f>_xlfn.XLOOKUP($B27, Tox_Table[Code],Tox_Table[HED / POD (mg/kg/day)], FALSE)</f>
        <v>326</v>
      </c>
      <c r="J27" s="617" t="s">
        <v>52</v>
      </c>
      <c r="K27" s="618">
        <f>_xlfn.XLOOKUP($B27,Tox_Table[Code],Tox_Table[Benchmark MOE])</f>
        <v>30</v>
      </c>
      <c r="L27" s="168" t="s">
        <v>80</v>
      </c>
      <c r="M27" s="42">
        <f>IF($N$6="Update Parameters","Update Parameters",IFERROR(1/(1/($I$27/$O$12)+1/($H$27/$O$6)),"Not Applicable"))</f>
        <v>4.7694679706008163</v>
      </c>
      <c r="N27" s="42">
        <f>IF($N$6="Update Parameters","Update Parameters",IFERROR(1/(1/($I$27/$O$12)+1/($H$27/($O$6/N$18))),"Not Applicable"))</f>
        <v>12.848357031336585</v>
      </c>
      <c r="O27" s="42">
        <f>IF($N$6="Update Parameters","Update Parameters",IFERROR(1/(1/($I$27/$O$12)+1/($H$27/($O$6/O$18))),"Not Applicable"))</f>
        <v>14.483959470956412</v>
      </c>
      <c r="P27" s="42">
        <f>IF($N$6="Update Parameters","Update Parameters",IFERROR(1/(1/($I$27/$O$12)+1/($H$27/($O$6/P$18))),"Not Applicable"))</f>
        <v>15.125800177683397</v>
      </c>
      <c r="Q27" s="42">
        <f>IF($N$6="Update Parameters","Update Parameters",IFERROR(1/(1/($I$27/$O$12)+1/($H$27/($O$6/Q$18))),"Not Applicable"))</f>
        <v>15.790554137047435</v>
      </c>
      <c r="R27" s="43">
        <f>IF($N$6="Update Parameters","Update Parameters",IFERROR(1/(1/($I$27/$O$12)+1/($H$27/($O$6/R$18))),"Not Applicable"))</f>
        <v>15.823494918246254</v>
      </c>
    </row>
    <row r="28" spans="2:20" s="15" customFormat="1" x14ac:dyDescent="0.35">
      <c r="B28" s="604" t="s">
        <v>67</v>
      </c>
      <c r="C28" s="577"/>
      <c r="D28" s="605"/>
      <c r="E28" s="605"/>
      <c r="F28" s="606"/>
      <c r="G28" s="366"/>
      <c r="H28" s="613"/>
      <c r="I28" s="615"/>
      <c r="J28" s="609"/>
      <c r="K28" s="611"/>
      <c r="L28" s="165">
        <f>'List Values'!$D$38</f>
        <v>5</v>
      </c>
      <c r="M28" s="36">
        <f>IF($N$6="Update Parameters","Update Parameters",IFERROR(1/(1/($I$27/($O$12/$L28))+1/($H$27/$O$6)),"Not Applicable"))</f>
        <v>6.2845264366370843</v>
      </c>
      <c r="N28" s="36">
        <f t="shared" ref="N28:R30" si="2">IF($N$6="Update Parameters","Update Parameters",IFERROR(1/(1/($I$27/($O$12/$L28))+1/($H$27/($O$6/N$18))),"Not Applicable"))</f>
        <v>36.650240344498158</v>
      </c>
      <c r="O28" s="36">
        <f t="shared" si="2"/>
        <v>54.066088551054108</v>
      </c>
      <c r="P28" s="36">
        <f t="shared" si="2"/>
        <v>64.241785156682909</v>
      </c>
      <c r="Q28" s="36">
        <f t="shared" si="2"/>
        <v>78.228973985379127</v>
      </c>
      <c r="R28" s="37">
        <f t="shared" si="2"/>
        <v>79.044188096799601</v>
      </c>
    </row>
    <row r="29" spans="2:20" s="15" customFormat="1" x14ac:dyDescent="0.35">
      <c r="B29" s="604"/>
      <c r="C29" s="577"/>
      <c r="D29" s="605"/>
      <c r="E29" s="605"/>
      <c r="F29" s="606"/>
      <c r="G29" s="366"/>
      <c r="H29" s="613"/>
      <c r="I29" s="615"/>
      <c r="J29" s="609"/>
      <c r="K29" s="611"/>
      <c r="L29" s="165">
        <f>'List Values'!$D$39</f>
        <v>10</v>
      </c>
      <c r="M29" s="36">
        <f>IF($N$6="Update Parameters","Update Parameters",IFERROR(1/(1/($I$27/($O$12/$L29))+1/($H$27/$O$6)),"Not Applicable"))</f>
        <v>6.5443857953040272</v>
      </c>
      <c r="N29" s="36">
        <f t="shared" si="2"/>
        <v>47.694679706008174</v>
      </c>
      <c r="O29" s="36">
        <f t="shared" si="2"/>
        <v>82.117780936230631</v>
      </c>
      <c r="P29" s="36">
        <f t="shared" si="2"/>
        <v>108.13217710210822</v>
      </c>
      <c r="Q29" s="36">
        <f t="shared" si="2"/>
        <v>154.68535737306186</v>
      </c>
      <c r="R29" s="37">
        <f t="shared" si="2"/>
        <v>157.90554137047431</v>
      </c>
    </row>
    <row r="30" spans="2:20" s="15" customFormat="1" x14ac:dyDescent="0.35">
      <c r="B30" s="604"/>
      <c r="C30" s="577"/>
      <c r="D30" s="605"/>
      <c r="E30" s="605"/>
      <c r="F30" s="606"/>
      <c r="G30" s="366"/>
      <c r="H30" s="613"/>
      <c r="I30" s="615"/>
      <c r="J30" s="609"/>
      <c r="K30" s="611"/>
      <c r="L30" s="165">
        <f>'List Values'!$D$40</f>
        <v>20</v>
      </c>
      <c r="M30" s="36">
        <f>IF($N$6="Update Parameters","Update Parameters",IFERROR(1/(1/($I$27/($O$12/$L30))+1/($H$27/$O$6)),"Not Applicable"))</f>
        <v>6.6825443102074322</v>
      </c>
      <c r="N30" s="36">
        <f t="shared" si="2"/>
        <v>56.155882613348872</v>
      </c>
      <c r="O30" s="36">
        <f t="shared" si="2"/>
        <v>110.88312543082269</v>
      </c>
      <c r="P30" s="36">
        <f t="shared" si="2"/>
        <v>164.23556187246126</v>
      </c>
      <c r="Q30" s="36">
        <f t="shared" si="2"/>
        <v>302.51600355366793</v>
      </c>
      <c r="R30" s="37">
        <f t="shared" si="2"/>
        <v>315.08227505228706</v>
      </c>
    </row>
    <row r="31" spans="2:20" s="15" customFormat="1" x14ac:dyDescent="0.35">
      <c r="B31" s="604" t="s">
        <v>67</v>
      </c>
      <c r="C31" s="577"/>
      <c r="D31" s="605"/>
      <c r="E31" s="605"/>
      <c r="F31" s="606"/>
      <c r="G31" s="366"/>
      <c r="H31" s="613">
        <f>_xlfn.XLOOKUP($B31, Tox_Table[Code],Tox_Table[HEC (mg/m3)], FALSE)</f>
        <v>55.8</v>
      </c>
      <c r="I31" s="615">
        <f>_xlfn.XLOOKUP($B31, Tox_Table[Code],Tox_Table[HED / POD (mg/kg/day)], FALSE)</f>
        <v>326</v>
      </c>
      <c r="J31" s="609" t="s">
        <v>53</v>
      </c>
      <c r="K31" s="611">
        <f>_xlfn.XLOOKUP($B31,Tox_Table[Code],Tox_Table[Benchmark MOE])</f>
        <v>30</v>
      </c>
      <c r="L31" s="165" t="s">
        <v>80</v>
      </c>
      <c r="M31" s="36">
        <f>IF($N$6="Update Parameters","Update Parameters",IFERROR(1/(1/($I$31/$O$13)+1/($H$31/$O$7)),"Not Applicable"))</f>
        <v>19.976237291750643</v>
      </c>
      <c r="N31" s="36">
        <f>IF($N$6="Update Parameters","Update Parameters",IFERROR(1/(1/($I$31/$O$13)+1/($H$31/($O$7/N$18))),"Not Applicable"))</f>
        <v>41.735003657272848</v>
      </c>
      <c r="O31" s="36">
        <f>IF($N$6="Update Parameters","Update Parameters",IFERROR(1/(1/($I$31/$O$13)+1/($H$31/($O$7/O$18))),"Not Applicable"))</f>
        <v>45.002912577383221</v>
      </c>
      <c r="P31" s="36">
        <f>IF($N$6="Update Parameters","Update Parameters",IFERROR(1/(1/($I$31/$O$13)+1/($H$31/($O$7/P$18))),"Not Applicable"))</f>
        <v>46.208988636007405</v>
      </c>
      <c r="Q31" s="36">
        <f>IF($N$6="Update Parameters","Update Parameters",IFERROR(1/(1/($I$31/$O$13)+1/($H$31/($O$7/Q$18))),"Not Applicable"))</f>
        <v>47.416203168337134</v>
      </c>
      <c r="R31" s="37">
        <f>IF($N$6="Update Parameters","Update Parameters",IFERROR(1/(1/($I$31/$O$13)+1/($H$31/($O$7/R$18))),"Not Applicable"))</f>
        <v>47.474953652417987</v>
      </c>
    </row>
    <row r="32" spans="2:20" s="15" customFormat="1" x14ac:dyDescent="0.35">
      <c r="B32" s="604" t="s">
        <v>67</v>
      </c>
      <c r="C32" s="577"/>
      <c r="D32" s="605"/>
      <c r="E32" s="605"/>
      <c r="F32" s="606"/>
      <c r="G32" s="366"/>
      <c r="H32" s="613"/>
      <c r="I32" s="615"/>
      <c r="J32" s="609"/>
      <c r="K32" s="611"/>
      <c r="L32" s="165">
        <f>'List Values'!$D$38</f>
        <v>5</v>
      </c>
      <c r="M32" s="36">
        <f>IF($N$6="Update Parameters","Update Parameters",IFERROR(1/(1/($I$31/($O$13/$L32))+1/($H$31/$O$7)),"Not Applicable"))</f>
        <v>30.110680827432503</v>
      </c>
      <c r="N32" s="36">
        <f t="shared" ref="N32:R34" si="3">IF($N$6="Update Parameters","Update Parameters",IFERROR(1/(1/($I$31/($O$13/$L32))+1/($H$31/($O$7/N$18))),"Not Applicable"))</f>
        <v>140.60679955858456</v>
      </c>
      <c r="O32" s="36">
        <f t="shared" si="3"/>
        <v>186.14648531751462</v>
      </c>
      <c r="P32" s="36">
        <f t="shared" si="3"/>
        <v>208.67501828636421</v>
      </c>
      <c r="Q32" s="36">
        <f t="shared" si="3"/>
        <v>235.78419770095346</v>
      </c>
      <c r="R32" s="37">
        <f t="shared" si="3"/>
        <v>237.24412181101405</v>
      </c>
    </row>
    <row r="33" spans="1:18" s="15" customFormat="1" x14ac:dyDescent="0.35">
      <c r="B33" s="604"/>
      <c r="C33" s="577"/>
      <c r="D33" s="605"/>
      <c r="E33" s="605"/>
      <c r="F33" s="606"/>
      <c r="G33" s="366"/>
      <c r="H33" s="613"/>
      <c r="I33" s="615"/>
      <c r="J33" s="609"/>
      <c r="K33" s="611"/>
      <c r="L33" s="165">
        <f>'List Values'!$D$39</f>
        <v>10</v>
      </c>
      <c r="M33" s="36">
        <f>IF($N$6="Update Parameters","Update Parameters",IFERROR(1/(1/($I$31/($O$13/$L33))+1/($H$31/$O$7)),"Not Applicable"))</f>
        <v>32.149458628894521</v>
      </c>
      <c r="N33" s="36">
        <f t="shared" si="3"/>
        <v>199.76237291750644</v>
      </c>
      <c r="O33" s="36">
        <f t="shared" si="3"/>
        <v>306.18217909937368</v>
      </c>
      <c r="P33" s="36">
        <f t="shared" si="3"/>
        <v>372.29297063502923</v>
      </c>
      <c r="Q33" s="36">
        <f t="shared" si="3"/>
        <v>468.36598009394083</v>
      </c>
      <c r="R33" s="37">
        <f t="shared" si="3"/>
        <v>474.16203168337131</v>
      </c>
    </row>
    <row r="34" spans="1:18" s="15" customFormat="1" ht="13.5" thickBot="1" x14ac:dyDescent="0.4">
      <c r="B34" s="604"/>
      <c r="C34" s="596"/>
      <c r="D34" s="597"/>
      <c r="E34" s="597"/>
      <c r="F34" s="601"/>
      <c r="G34" s="366"/>
      <c r="H34" s="614"/>
      <c r="I34" s="564"/>
      <c r="J34" s="610"/>
      <c r="K34" s="612"/>
      <c r="L34" s="34">
        <f>'List Values'!$D$40</f>
        <v>20</v>
      </c>
      <c r="M34" s="184">
        <f>IF($N$6="Update Parameters","Update Parameters",IFERROR(1/(1/($I$31/($O$13/$L34))+1/($H$31/$O$7)),"Not Applicable"))</f>
        <v>33.276008847887212</v>
      </c>
      <c r="N34" s="184">
        <f t="shared" si="3"/>
        <v>252.97845310701055</v>
      </c>
      <c r="O34" s="184">
        <f t="shared" si="3"/>
        <v>451.87783850834779</v>
      </c>
      <c r="P34" s="184">
        <f t="shared" si="3"/>
        <v>612.36435819874737</v>
      </c>
      <c r="Q34" s="184">
        <f t="shared" si="3"/>
        <v>924.17977272014798</v>
      </c>
      <c r="R34" s="189">
        <f t="shared" si="3"/>
        <v>947.0219031756825</v>
      </c>
    </row>
    <row r="35" spans="1:18" s="15" customFormat="1" x14ac:dyDescent="0.35">
      <c r="B35" s="604" t="s">
        <v>72</v>
      </c>
      <c r="C35" s="576" t="s">
        <v>85</v>
      </c>
      <c r="D35" s="574" t="str">
        <f>_xlfn.XLOOKUP($B35,Tox_Table[Code],Tox_Table[Health Effect])</f>
        <v>Reproductive Toxicity</v>
      </c>
      <c r="E35" s="574" t="str">
        <f>_xlfn.XLOOKUP($B35,Tox_Table[Code],Tox_Table[Endpoint])</f>
        <v>Reproductive Organs</v>
      </c>
      <c r="F35" s="600" t="str">
        <f>_xlfn.XLOOKUP($B35,Tox_Table[Code],Tox_Table[Study])</f>
        <v>PBPK Model</v>
      </c>
      <c r="G35" s="40"/>
      <c r="H35" s="619">
        <f>_xlfn.XLOOKUP($B35, Tox_Table[Code],Tox_Table[HEC (mg/m3)], FALSE)</f>
        <v>55.8</v>
      </c>
      <c r="I35" s="616">
        <f>_xlfn.XLOOKUP($B35, Tox_Table[Code],Tox_Table[HED / POD (mg/kg/day)], FALSE)</f>
        <v>326</v>
      </c>
      <c r="J35" s="617" t="s">
        <v>52</v>
      </c>
      <c r="K35" s="618">
        <f>_xlfn.XLOOKUP($B35,Tox_Table[Code],Tox_Table[Benchmark MOE])</f>
        <v>30</v>
      </c>
      <c r="L35" s="168" t="s">
        <v>80</v>
      </c>
      <c r="M35" s="42">
        <f>IF($N$6="Update Parameters","Update Parameters",IFERROR(1/(1/($I$35/$P$12)+1/($H$35/$P$6)),"Not Applicable"))</f>
        <v>5.106510373856608</v>
      </c>
      <c r="N35" s="42">
        <f>IF($N$6="Update Parameters","Update Parameters",IFERROR(1/(1/($I$35/$P$12)+1/($H$35/($P$6/N$18))),"Not Applicable"))</f>
        <v>13.756307594884367</v>
      </c>
      <c r="O35" s="42">
        <f>IF($N$6="Update Parameters","Update Parameters",IFERROR(1/(1/($I$35/$P$12)+1/($H$35/($P$6/O$18))),"Not Applicable"))</f>
        <v>15.507492606903998</v>
      </c>
      <c r="P35" s="42">
        <f>IF($N$6="Update Parameters","Update Parameters",IFERROR(1/(1/($I$35/$P$12)+1/($H$35/($P$6/P$18))),"Not Applicable"))</f>
        <v>16.194690056906353</v>
      </c>
      <c r="Q35" s="42">
        <f>IF($N$6="Update Parameters","Update Parameters",IFERROR(1/(1/($I$35/$P$12)+1/($H$35/($P$6/Q$18))),"Not Applicable"))</f>
        <v>16.906419962732116</v>
      </c>
      <c r="R35" s="43">
        <f>IF($N$6="Update Parameters","Update Parameters",IFERROR(1/(1/($I$35/$P$12)+1/($H$35/($P$6/R$18))),"Not Applicable"))</f>
        <v>16.941688559135656</v>
      </c>
    </row>
    <row r="36" spans="1:18" s="15" customFormat="1" x14ac:dyDescent="0.35">
      <c r="B36" s="604" t="s">
        <v>72</v>
      </c>
      <c r="C36" s="577"/>
      <c r="D36" s="605"/>
      <c r="E36" s="605"/>
      <c r="F36" s="606"/>
      <c r="G36" s="40"/>
      <c r="H36" s="613"/>
      <c r="I36" s="607"/>
      <c r="J36" s="609"/>
      <c r="K36" s="611"/>
      <c r="L36" s="165">
        <f>'List Values'!$D$38</f>
        <v>5</v>
      </c>
      <c r="M36" s="36">
        <f>IF($N$6="Update Parameters","Update Parameters",IFERROR(1/(1/($I$35/($P$12/$L36))+1/($H$35/$P$6)),"Not Applicable"))</f>
        <v>6.7286329714927717</v>
      </c>
      <c r="N36" s="36">
        <f t="shared" ref="N36:R38" si="4">IF($N$6="Update Parameters","Update Parameters",IFERROR(1/(1/($I$35/($P$12/$L36))+1/($H$35/($P$6/N$18))),"Not Applicable"))</f>
        <v>39.240190662176026</v>
      </c>
      <c r="O36" s="36">
        <f t="shared" si="4"/>
        <v>57.886758808661938</v>
      </c>
      <c r="P36" s="36">
        <f t="shared" si="4"/>
        <v>68.781537974421852</v>
      </c>
      <c r="Q36" s="36">
        <f t="shared" si="4"/>
        <v>83.757154813679264</v>
      </c>
      <c r="R36" s="37">
        <f t="shared" si="4"/>
        <v>84.629977388973444</v>
      </c>
    </row>
    <row r="37" spans="1:18" s="15" customFormat="1" x14ac:dyDescent="0.35">
      <c r="B37" s="604"/>
      <c r="C37" s="577"/>
      <c r="D37" s="605"/>
      <c r="E37" s="605"/>
      <c r="F37" s="606"/>
      <c r="G37" s="40"/>
      <c r="H37" s="613"/>
      <c r="I37" s="607"/>
      <c r="J37" s="609"/>
      <c r="K37" s="611"/>
      <c r="L37" s="165">
        <f>'List Values'!$D$39</f>
        <v>10</v>
      </c>
      <c r="M37" s="36">
        <f>IF($N$6="Update Parameters","Update Parameters",IFERROR(1/(1/($I$35/($P$12/$L37))+1/($H$35/$P$6)),"Not Applicable"))</f>
        <v>7.0068557248388474</v>
      </c>
      <c r="N37" s="36">
        <f t="shared" si="4"/>
        <v>51.06510373856608</v>
      </c>
      <c r="O37" s="36">
        <f t="shared" si="4"/>
        <v>87.920770789057613</v>
      </c>
      <c r="P37" s="36">
        <f t="shared" si="4"/>
        <v>115.77351761732388</v>
      </c>
      <c r="Q37" s="36">
        <f t="shared" si="4"/>
        <v>165.61645596075826</v>
      </c>
      <c r="R37" s="37">
        <f t="shared" si="4"/>
        <v>169.06419962732119</v>
      </c>
    </row>
    <row r="38" spans="1:18" s="15" customFormat="1" x14ac:dyDescent="0.35">
      <c r="B38" s="604"/>
      <c r="C38" s="577"/>
      <c r="D38" s="605"/>
      <c r="E38" s="605"/>
      <c r="F38" s="606"/>
      <c r="G38" s="40"/>
      <c r="H38" s="613"/>
      <c r="I38" s="607"/>
      <c r="J38" s="609"/>
      <c r="K38" s="611"/>
      <c r="L38" s="165">
        <f>'List Values'!$D$40</f>
        <v>20</v>
      </c>
      <c r="M38" s="36">
        <f>IF($N$6="Update Parameters","Update Parameters",IFERROR(1/(1/($I$35/($P$12/$L38))+1/($H$35/$P$6)),"Not Applicable"))</f>
        <v>7.1547774414620928</v>
      </c>
      <c r="N38" s="36">
        <f t="shared" si="4"/>
        <v>60.124231651358855</v>
      </c>
      <c r="O38" s="36">
        <f t="shared" si="4"/>
        <v>118.71886629460083</v>
      </c>
      <c r="P38" s="36">
        <f t="shared" si="4"/>
        <v>175.84154157811523</v>
      </c>
      <c r="Q38" s="36">
        <f t="shared" si="4"/>
        <v>323.89380113812712</v>
      </c>
      <c r="R38" s="37">
        <f t="shared" si="4"/>
        <v>337.34808915598205</v>
      </c>
    </row>
    <row r="39" spans="1:18" s="15" customFormat="1" x14ac:dyDescent="0.35">
      <c r="B39" s="604" t="s">
        <v>72</v>
      </c>
      <c r="C39" s="577"/>
      <c r="D39" s="605"/>
      <c r="E39" s="605"/>
      <c r="F39" s="606"/>
      <c r="G39" s="40"/>
      <c r="H39" s="613">
        <f>_xlfn.XLOOKUP($B39, Tox_Table[Code],Tox_Table[HEC (mg/m3)], FALSE)</f>
        <v>55.8</v>
      </c>
      <c r="I39" s="607">
        <f>_xlfn.XLOOKUP($B39, Tox_Table[Code],Tox_Table[HED / POD (mg/kg/day)], FALSE)</f>
        <v>326</v>
      </c>
      <c r="J39" s="609" t="s">
        <v>53</v>
      </c>
      <c r="K39" s="611">
        <f>_xlfn.XLOOKUP($B39,Tox_Table[Code],Tox_Table[Benchmark MOE])</f>
        <v>30</v>
      </c>
      <c r="L39" s="165" t="s">
        <v>80</v>
      </c>
      <c r="M39" s="36">
        <f>IF($N$6="Update Parameters","Update Parameters",IFERROR(1/(1/($I$39/$P$13)+1/($H$39/$P$7)),"Not Applicable"))</f>
        <v>21.387891393701018</v>
      </c>
      <c r="N39" s="36">
        <f>IF($N$6="Update Parameters","Update Parameters",IFERROR(1/(1/($I$39/$P$13)+1/($H$39/($P$7/N$18))),"Not Applicable"))</f>
        <v>44.684277249053459</v>
      </c>
      <c r="O39" s="36">
        <f>IF($N$6="Update Parameters","Update Parameters",IFERROR(1/(1/($I$39/$P$13)+1/($H$39/($P$7/O$18))),"Not Applicable"))</f>
        <v>48.1831183995183</v>
      </c>
      <c r="P39" s="36">
        <f>IF($N$6="Update Parameters","Update Parameters",IFERROR(1/(1/($I$39/$P$13)+1/($H$39/($P$7/P$18))),"Not Applicable"))</f>
        <v>49.474423832951921</v>
      </c>
      <c r="Q39" s="36">
        <f>IF($N$6="Update Parameters","Update Parameters",IFERROR(1/(1/($I$39/$P$13)+1/($H$39/($P$7/Q$18))),"Not Applicable"))</f>
        <v>50.766948192232952</v>
      </c>
      <c r="R39" s="37">
        <f>IF($N$6="Update Parameters","Update Parameters",IFERROR(1/(1/($I$39/$P$13)+1/($H$39/($P$7/R$18))),"Not Applicable"))</f>
        <v>50.829850377188862</v>
      </c>
    </row>
    <row r="40" spans="1:18" s="15" customFormat="1" x14ac:dyDescent="0.35">
      <c r="B40" s="604" t="s">
        <v>72</v>
      </c>
      <c r="C40" s="577"/>
      <c r="D40" s="605"/>
      <c r="E40" s="605"/>
      <c r="F40" s="606"/>
      <c r="G40" s="40"/>
      <c r="H40" s="613"/>
      <c r="I40" s="607"/>
      <c r="J40" s="609"/>
      <c r="K40" s="611"/>
      <c r="L40" s="165">
        <f>'List Values'!$D$38</f>
        <v>5</v>
      </c>
      <c r="M40" s="36">
        <f>IF($N$6="Update Parameters","Update Parameters",IFERROR(1/(1/($I$39/($P$13/$L40))+1/($H$39/$P$7)),"Not Applicable"))</f>
        <v>32.238502272571061</v>
      </c>
      <c r="N40" s="36">
        <f t="shared" ref="N40:R42" si="5">IF($N$6="Update Parameters","Update Parameters",IFERROR(1/(1/($I$39/($P$13/$L40))+1/($H$39/($P$7/N$18))),"Not Applicable"))</f>
        <v>150.54301339405785</v>
      </c>
      <c r="O40" s="36">
        <f t="shared" si="5"/>
        <v>199.30083694661897</v>
      </c>
      <c r="P40" s="36">
        <f t="shared" si="5"/>
        <v>223.42138624526729</v>
      </c>
      <c r="Q40" s="36">
        <f t="shared" si="5"/>
        <v>252.44628100515419</v>
      </c>
      <c r="R40" s="37">
        <f t="shared" si="5"/>
        <v>254.00937308565901</v>
      </c>
    </row>
    <row r="41" spans="1:18" s="15" customFormat="1" x14ac:dyDescent="0.35">
      <c r="B41" s="604"/>
      <c r="C41" s="577"/>
      <c r="D41" s="605"/>
      <c r="E41" s="605"/>
      <c r="F41" s="606"/>
      <c r="G41" s="40"/>
      <c r="H41" s="613"/>
      <c r="I41" s="607"/>
      <c r="J41" s="609"/>
      <c r="K41" s="611"/>
      <c r="L41" s="165">
        <f>'List Values'!$D$39</f>
        <v>10</v>
      </c>
      <c r="M41" s="36">
        <f>IF($N$6="Update Parameters","Update Parameters",IFERROR(1/(1/($I$39/($P$13/$L41))+1/($H$39/$P$7)),"Not Applicable"))</f>
        <v>34.421353705336401</v>
      </c>
      <c r="N41" s="36">
        <f t="shared" si="5"/>
        <v>213.87891393701017</v>
      </c>
      <c r="O41" s="36">
        <f t="shared" si="5"/>
        <v>327.81905308906272</v>
      </c>
      <c r="P41" s="36">
        <f t="shared" si="5"/>
        <v>398.60167389323794</v>
      </c>
      <c r="Q41" s="36">
        <f t="shared" si="5"/>
        <v>501.46384268724609</v>
      </c>
      <c r="R41" s="37">
        <f t="shared" si="5"/>
        <v>507.66948192232962</v>
      </c>
    </row>
    <row r="42" spans="1:18" s="15" customFormat="1" ht="13.5" thickBot="1" x14ac:dyDescent="0.4">
      <c r="B42" s="604"/>
      <c r="C42" s="596"/>
      <c r="D42" s="597"/>
      <c r="E42" s="597"/>
      <c r="F42" s="601"/>
      <c r="G42" s="365"/>
      <c r="H42" s="614"/>
      <c r="I42" s="608"/>
      <c r="J42" s="610"/>
      <c r="K42" s="612"/>
      <c r="L42" s="34">
        <f>'List Values'!$D$40</f>
        <v>20</v>
      </c>
      <c r="M42" s="184">
        <f>IF($N$6="Update Parameters","Update Parameters",IFERROR(1/(1/($I$39/($P$13/$L42))+1/($H$39/$P$7)),"Not Applicable"))</f>
        <v>35.62751347313791</v>
      </c>
      <c r="N42" s="184">
        <f t="shared" si="5"/>
        <v>270.8555971265726</v>
      </c>
      <c r="O42" s="184">
        <f t="shared" si="5"/>
        <v>483.81053909627104</v>
      </c>
      <c r="P42" s="184">
        <f t="shared" si="5"/>
        <v>655.63810617812544</v>
      </c>
      <c r="Q42" s="184">
        <f t="shared" si="5"/>
        <v>989.48847665903838</v>
      </c>
      <c r="R42" s="189">
        <f t="shared" si="5"/>
        <v>1013.9447843334308</v>
      </c>
    </row>
    <row r="43" spans="1:18" s="15" customFormat="1" x14ac:dyDescent="0.35">
      <c r="B43" s="11"/>
      <c r="C43" s="12"/>
      <c r="D43" s="13"/>
      <c r="E43" s="12"/>
      <c r="F43" s="12"/>
      <c r="G43" s="14"/>
      <c r="H43" s="14"/>
      <c r="I43" s="12"/>
      <c r="J43" s="14"/>
      <c r="K43" s="14"/>
      <c r="L43" s="14"/>
      <c r="M43" s="14"/>
      <c r="N43" s="14"/>
      <c r="P43" s="14"/>
      <c r="Q43" s="14"/>
    </row>
    <row r="44" spans="1:18" s="15" customFormat="1" x14ac:dyDescent="0.35">
      <c r="B44" s="11"/>
      <c r="C44" s="12"/>
      <c r="D44" s="13"/>
      <c r="E44" s="12"/>
      <c r="F44" s="12"/>
      <c r="G44" s="14"/>
      <c r="H44" s="14"/>
      <c r="I44" s="12"/>
      <c r="J44" s="14"/>
      <c r="K44" s="14"/>
      <c r="L44" s="14"/>
      <c r="M44" s="14"/>
      <c r="N44" s="14"/>
      <c r="O44" s="14"/>
      <c r="P44" s="14"/>
      <c r="Q44" s="14"/>
    </row>
    <row r="45" spans="1:18" s="15" customFormat="1" x14ac:dyDescent="0.35">
      <c r="B45" s="11"/>
      <c r="C45" s="12"/>
      <c r="D45" s="13"/>
      <c r="E45" s="12"/>
      <c r="F45" s="12"/>
      <c r="G45" s="14"/>
      <c r="H45" s="14"/>
      <c r="I45" s="12"/>
      <c r="J45" s="14"/>
      <c r="K45" s="14"/>
      <c r="L45" s="14"/>
      <c r="M45" s="14"/>
      <c r="N45" s="14"/>
      <c r="O45" s="14"/>
      <c r="P45" s="14"/>
      <c r="Q45" s="14"/>
    </row>
    <row r="46" spans="1:18" s="15" customFormat="1" x14ac:dyDescent="0.35">
      <c r="A46" s="14"/>
      <c r="B46" s="11"/>
      <c r="C46" s="12"/>
      <c r="D46" s="13"/>
      <c r="E46" s="12"/>
      <c r="F46" s="12"/>
      <c r="G46" s="14"/>
      <c r="H46" s="14"/>
      <c r="I46" s="12"/>
      <c r="J46" s="14"/>
      <c r="K46" s="14"/>
      <c r="L46" s="14"/>
      <c r="M46" s="14"/>
      <c r="N46" s="14"/>
      <c r="O46" s="14"/>
      <c r="P46" s="14"/>
      <c r="Q46" s="14"/>
    </row>
    <row r="51" spans="1:17" x14ac:dyDescent="0.35">
      <c r="I51" s="17"/>
      <c r="J51" s="15"/>
      <c r="K51" s="15"/>
      <c r="L51" s="15"/>
      <c r="M51" s="15"/>
      <c r="N51" s="15"/>
    </row>
    <row r="56" spans="1:17" x14ac:dyDescent="0.35">
      <c r="P56" s="15"/>
      <c r="Q56" s="15"/>
    </row>
    <row r="57" spans="1:17" x14ac:dyDescent="0.35">
      <c r="C57" s="17"/>
      <c r="D57" s="28"/>
      <c r="E57" s="17"/>
      <c r="F57" s="17"/>
      <c r="G57" s="15"/>
      <c r="H57" s="15"/>
    </row>
    <row r="59" spans="1:17" x14ac:dyDescent="0.35">
      <c r="B59" s="24"/>
    </row>
    <row r="60" spans="1:17" x14ac:dyDescent="0.35">
      <c r="B60" s="44"/>
    </row>
    <row r="61" spans="1:17" x14ac:dyDescent="0.35">
      <c r="B61" s="44"/>
      <c r="I61" s="45"/>
      <c r="J61" s="45"/>
      <c r="K61" s="45"/>
      <c r="L61" s="45"/>
      <c r="M61" s="45"/>
      <c r="N61" s="45"/>
      <c r="O61" s="15"/>
    </row>
    <row r="62" spans="1:17" x14ac:dyDescent="0.35">
      <c r="B62" s="44"/>
      <c r="I62" s="45"/>
      <c r="J62" s="45"/>
      <c r="K62" s="45"/>
      <c r="L62" s="45"/>
      <c r="M62" s="45"/>
      <c r="N62" s="45"/>
    </row>
    <row r="63" spans="1:17" x14ac:dyDescent="0.35">
      <c r="B63" s="44"/>
      <c r="C63" s="46"/>
      <c r="D63" s="47"/>
      <c r="E63" s="46"/>
      <c r="I63" s="45"/>
      <c r="J63" s="45"/>
      <c r="K63" s="45"/>
      <c r="L63" s="45"/>
      <c r="M63" s="45"/>
      <c r="N63" s="45"/>
    </row>
    <row r="64" spans="1:17" s="15" customFormat="1" x14ac:dyDescent="0.35">
      <c r="A64" s="14"/>
      <c r="B64" s="44"/>
      <c r="C64" s="12"/>
      <c r="D64" s="13"/>
      <c r="E64" s="46"/>
      <c r="F64" s="12"/>
      <c r="G64" s="14"/>
      <c r="H64" s="14"/>
      <c r="I64" s="45"/>
      <c r="J64" s="45"/>
      <c r="K64" s="45"/>
      <c r="L64" s="45"/>
      <c r="M64" s="45"/>
      <c r="N64" s="45"/>
      <c r="O64" s="14"/>
      <c r="P64" s="14"/>
      <c r="Q64" s="14"/>
    </row>
    <row r="66" spans="1:11" x14ac:dyDescent="0.35">
      <c r="F66" s="45"/>
      <c r="G66" s="48"/>
      <c r="H66" s="179"/>
      <c r="I66" s="182"/>
      <c r="J66" s="180"/>
      <c r="K66" s="180"/>
    </row>
    <row r="67" spans="1:11" x14ac:dyDescent="0.35">
      <c r="H67" s="27"/>
      <c r="I67" s="183"/>
      <c r="J67" s="177"/>
      <c r="K67" s="177"/>
    </row>
    <row r="68" spans="1:11" x14ac:dyDescent="0.35">
      <c r="A68" s="14" t="s">
        <v>86</v>
      </c>
      <c r="H68" s="27"/>
      <c r="I68" s="183"/>
      <c r="J68" s="177"/>
      <c r="K68" s="177"/>
    </row>
    <row r="69" spans="1:11" x14ac:dyDescent="0.35">
      <c r="H69" s="27"/>
      <c r="I69" s="183"/>
      <c r="J69" s="177"/>
      <c r="K69" s="177"/>
    </row>
    <row r="70" spans="1:11" x14ac:dyDescent="0.35">
      <c r="H70" s="27"/>
      <c r="I70" s="183"/>
      <c r="J70" s="177"/>
      <c r="K70" s="177"/>
    </row>
    <row r="71" spans="1:11" x14ac:dyDescent="0.35">
      <c r="H71" s="27"/>
      <c r="I71" s="183"/>
      <c r="J71" s="177"/>
      <c r="K71" s="177"/>
    </row>
    <row r="72" spans="1:11" x14ac:dyDescent="0.35">
      <c r="H72" s="27"/>
      <c r="I72" s="183"/>
      <c r="J72" s="177"/>
      <c r="K72" s="177"/>
    </row>
  </sheetData>
  <sheetProtection algorithmName="SHA-512" hashValue="Lv6qxl+JUr4JFMpmmjNjYVIDy4wvbFtm85NdjqGcVFX5UoUi3Swp7rq+7fqL1zl6i75MPSd+39IEieLvxa9T4Q==" saltValue="dtnBWsYh0aehNXFQ1Fv3ZQ==" spinCount="100000" sheet="1" formatCells="0" formatColumns="0" formatRows="0"/>
  <dataConsolidate/>
  <mergeCells count="61">
    <mergeCell ref="D2:F2"/>
    <mergeCell ref="L4:L5"/>
    <mergeCell ref="M4:M5"/>
    <mergeCell ref="C16:C18"/>
    <mergeCell ref="D16:E18"/>
    <mergeCell ref="F16:F18"/>
    <mergeCell ref="I16:I18"/>
    <mergeCell ref="J16:J18"/>
    <mergeCell ref="L10:L11"/>
    <mergeCell ref="M10:M11"/>
    <mergeCell ref="L6:L7"/>
    <mergeCell ref="L12:L13"/>
    <mergeCell ref="H16:H18"/>
    <mergeCell ref="D5:F5"/>
    <mergeCell ref="N17:R17"/>
    <mergeCell ref="L17:L18"/>
    <mergeCell ref="L16:R16"/>
    <mergeCell ref="E27:E34"/>
    <mergeCell ref="F27:F34"/>
    <mergeCell ref="J27:J30"/>
    <mergeCell ref="K16:K18"/>
    <mergeCell ref="M17:M18"/>
    <mergeCell ref="K19:K22"/>
    <mergeCell ref="J19:J22"/>
    <mergeCell ref="J23:J26"/>
    <mergeCell ref="K23:K26"/>
    <mergeCell ref="K27:K30"/>
    <mergeCell ref="D27:D34"/>
    <mergeCell ref="I19:I22"/>
    <mergeCell ref="I23:I26"/>
    <mergeCell ref="I27:I30"/>
    <mergeCell ref="F19:F26"/>
    <mergeCell ref="E19:E26"/>
    <mergeCell ref="D19:D26"/>
    <mergeCell ref="H19:H22"/>
    <mergeCell ref="H23:H26"/>
    <mergeCell ref="H27:H30"/>
    <mergeCell ref="I39:I42"/>
    <mergeCell ref="J39:J42"/>
    <mergeCell ref="K39:K42"/>
    <mergeCell ref="H39:H42"/>
    <mergeCell ref="I31:I34"/>
    <mergeCell ref="J31:J34"/>
    <mergeCell ref="K31:K34"/>
    <mergeCell ref="I35:I38"/>
    <mergeCell ref="J35:J38"/>
    <mergeCell ref="K35:K38"/>
    <mergeCell ref="H35:H38"/>
    <mergeCell ref="H31:H34"/>
    <mergeCell ref="C19:C26"/>
    <mergeCell ref="B19:B22"/>
    <mergeCell ref="B23:B26"/>
    <mergeCell ref="B27:B30"/>
    <mergeCell ref="C27:C34"/>
    <mergeCell ref="B31:B34"/>
    <mergeCell ref="B35:B38"/>
    <mergeCell ref="C35:C42"/>
    <mergeCell ref="D35:D42"/>
    <mergeCell ref="E35:E42"/>
    <mergeCell ref="F35:F42"/>
    <mergeCell ref="B39:B42"/>
  </mergeCells>
  <phoneticPr fontId="2" type="noConversion"/>
  <conditionalFormatting sqref="M19:R42">
    <cfRule type="cellIs" dxfId="183" priority="13" operator="greaterThanOrEqual">
      <formula>$K$19</formula>
    </cfRule>
    <cfRule type="cellIs" dxfId="182" priority="14" operator="lessThan">
      <formula>$K$19</formula>
    </cfRule>
  </conditionalFormatting>
  <conditionalFormatting sqref="N6:P7 N12:P13 M19:R42">
    <cfRule type="containsText" dxfId="181" priority="2" operator="containsText" text="Update Parameters">
      <formula>NOT(ISERROR(SEARCH("Update Parameters",M6)))</formula>
    </cfRule>
    <cfRule type="cellIs" dxfId="180" priority="6" operator="greaterThan">
      <formula>10000</formula>
    </cfRule>
    <cfRule type="cellIs" dxfId="179" priority="7" operator="between">
      <formula>10</formula>
      <formula>9999.999</formula>
    </cfRule>
    <cfRule type="cellIs" dxfId="178" priority="9" operator="between">
      <formula>1</formula>
      <formula>9.999</formula>
    </cfRule>
    <cfRule type="cellIs" dxfId="177" priority="11" operator="between">
      <formula>0.1</formula>
      <formula>0.999</formula>
    </cfRule>
    <cfRule type="cellIs" dxfId="176" priority="12" operator="lessThan">
      <formula>0.1</formula>
    </cfRule>
  </conditionalFormatting>
  <conditionalFormatting sqref="N12:P13 M19:R42">
    <cfRule type="containsText" dxfId="175" priority="1" operator="containsText" text="Not Applicable">
      <formula>NOT(ISERROR(SEARCH("Not Applicable",M12)))</formula>
    </cfRule>
  </conditionalFormatting>
  <dataValidations count="1">
    <dataValidation allowBlank="1" showErrorMessage="1" sqref="L4 L10" xr:uid="{0E2F5D05-59E6-4CA8-950E-8C0FEEEF3EDD}"/>
  </dataValidations>
  <pageMargins left="0.7" right="0.7" top="0.75" bottom="0.75" header="0.3" footer="0.3"/>
  <pageSetup orientation="portrait" r:id="rId1"/>
  <ignoredErrors>
    <ignoredError sqref="I27 I35" 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9122B31-4C53-41C5-BF28-044D9738993A}">
          <x14:formula1>
            <xm:f>_xlfn.ANCHORARRAY('List Values'!$AN$14)</xm:f>
          </x14:formula1>
          <xm:sqref>E4</xm:sqref>
        </x14:dataValidation>
        <x14:dataValidation type="list" allowBlank="1" showInputMessage="1" showErrorMessage="1" xr:uid="{12389E77-7211-48EC-9C3E-2A5B51634478}">
          <x14:formula1>
            <xm:f>_xlfn.ANCHORARRAY('List Values'!$AR$14)</xm:f>
          </x14:formula1>
          <xm:sqref>F4</xm:sqref>
        </x14:dataValidation>
        <x14:dataValidation type="list" allowBlank="1" showInputMessage="1" showErrorMessage="1" xr:uid="{5D056BA0-8D3C-4467-AE0B-3A021F765C59}">
          <x14:formula1>
            <xm:f>_xlfn.ANCHORARRAY('List Values'!$AQ$14)</xm:f>
          </x14:formula1>
          <xm:sqref>F4</xm:sqref>
        </x14:dataValidation>
        <x14:dataValidation type="list" allowBlank="1" showInputMessage="1" showErrorMessage="1" xr:uid="{51260FC3-CA66-417A-B196-E8B9ED9B34DA}">
          <x14:formula1>
            <xm:f>'List Values'!$L$3:$AJ$3</xm:f>
          </x14:formula1>
          <xm:sqref>C4</xm:sqref>
        </x14:dataValidation>
        <x14:dataValidation type="list" allowBlank="1" showInputMessage="1" showErrorMessage="1" xr:uid="{D3A9E5B7-B93E-4D75-8676-3A73390DFBC1}">
          <x14:formula1>
            <xm:f>_xlfn.ANCHORARRAY('List Values'!$N$14)</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A5B5F-0AEE-4091-9730-1BD73B386910}">
  <dimension ref="A1:BT150"/>
  <sheetViews>
    <sheetView zoomScale="70" zoomScaleNormal="70" workbookViewId="0">
      <pane xSplit="5" ySplit="6" topLeftCell="F7" activePane="bottomRight" state="frozen"/>
      <selection pane="topRight" activeCell="F1" sqref="F1"/>
      <selection pane="bottomLeft" activeCell="A7" sqref="A7"/>
      <selection pane="bottomRight" activeCell="BQ117" sqref="BQ117"/>
    </sheetView>
  </sheetViews>
  <sheetFormatPr defaultColWidth="8.90625" defaultRowHeight="14" x14ac:dyDescent="0.3"/>
  <cols>
    <col min="1" max="1" width="17" style="4" customWidth="1"/>
    <col min="2" max="2" width="17.54296875" style="4" customWidth="1"/>
    <col min="3" max="3" width="17.453125" style="4" customWidth="1"/>
    <col min="4" max="4" width="17.54296875" style="4" customWidth="1"/>
    <col min="5" max="5" width="11.6328125" style="4" customWidth="1"/>
    <col min="6" max="6" width="11.453125" style="4" customWidth="1"/>
    <col min="7" max="9" width="12.08984375" style="4" customWidth="1"/>
    <col min="10" max="10" width="12" style="4" customWidth="1"/>
    <col min="11" max="11" width="10.08984375" style="4" bestFit="1" customWidth="1"/>
    <col min="12" max="13" width="10.08984375" style="4" customWidth="1"/>
    <col min="14" max="14" width="10.453125" style="4" customWidth="1"/>
    <col min="15" max="15" width="11.08984375" style="4" customWidth="1"/>
    <col min="16" max="18" width="8.90625" style="4"/>
    <col min="19" max="20" width="8.90625" style="4" bestFit="1" customWidth="1"/>
    <col min="21" max="22" width="9.453125" style="4" bestFit="1" customWidth="1"/>
    <col min="23" max="23" width="8.90625" style="4" bestFit="1" customWidth="1"/>
    <col min="24" max="25" width="9.453125" style="4" bestFit="1" customWidth="1"/>
    <col min="26" max="26" width="10.453125" style="4" bestFit="1" customWidth="1"/>
    <col min="27" max="27" width="9.453125" style="4" bestFit="1" customWidth="1"/>
    <col min="28" max="29" width="10.453125" style="4" bestFit="1" customWidth="1"/>
    <col min="30" max="30" width="11.453125" style="4" bestFit="1" customWidth="1"/>
    <col min="31" max="31" width="8.90625" style="4"/>
    <col min="32" max="32" width="12.54296875" style="4" customWidth="1"/>
    <col min="33" max="33" width="10.54296875" style="4" customWidth="1"/>
    <col min="34" max="34" width="13.90625" style="4" bestFit="1" customWidth="1"/>
    <col min="35" max="37" width="10.54296875" style="4" customWidth="1"/>
    <col min="38" max="38" width="13.90625" style="4" bestFit="1" customWidth="1"/>
    <col min="39" max="41" width="10.54296875" style="4" customWidth="1"/>
    <col min="42" max="42" width="13.90625" style="4" bestFit="1" customWidth="1"/>
    <col min="43" max="43" width="10.54296875" style="4" customWidth="1"/>
    <col min="44" max="53" width="8.90625" style="4"/>
    <col min="54" max="55" width="10.54296875" style="415" customWidth="1"/>
    <col min="56" max="56" width="10.90625" style="415" customWidth="1"/>
    <col min="57" max="57" width="11.08984375" style="415" customWidth="1"/>
    <col min="58" max="58" width="10.90625" style="415" customWidth="1"/>
    <col min="59" max="59" width="11.08984375" style="415" customWidth="1"/>
    <col min="60" max="63" width="10.54296875" style="415" customWidth="1"/>
    <col min="64" max="64" width="16" style="415" customWidth="1"/>
    <col min="65" max="65" width="15.54296875" style="415" customWidth="1"/>
    <col min="66" max="66" width="12.08984375" style="415" customWidth="1"/>
    <col min="67" max="67" width="11.453125" style="415" customWidth="1"/>
    <col min="68" max="68" width="11.54296875" style="415" customWidth="1"/>
    <col min="69" max="69" width="10.90625" style="415" customWidth="1"/>
    <col min="70" max="70" width="11.54296875" style="415" customWidth="1"/>
    <col min="71" max="71" width="10.54296875" style="415" customWidth="1"/>
    <col min="72" max="72" width="12.6328125" style="415" customWidth="1"/>
    <col min="73" max="16384" width="8.90625" style="4"/>
  </cols>
  <sheetData>
    <row r="1" spans="1:72" ht="14.5" thickBot="1" x14ac:dyDescent="0.35">
      <c r="AF1" s="650" t="s">
        <v>437</v>
      </c>
      <c r="AG1" s="651"/>
      <c r="AH1" s="651"/>
      <c r="AI1" s="651"/>
      <c r="AJ1" s="651"/>
      <c r="AK1" s="651"/>
      <c r="AL1" s="651"/>
      <c r="AM1" s="651"/>
      <c r="AN1" s="651"/>
      <c r="AO1" s="651"/>
      <c r="AP1" s="651"/>
      <c r="AQ1" s="652"/>
    </row>
    <row r="2" spans="1:72" ht="15" customHeight="1" thickBot="1" x14ac:dyDescent="0.35">
      <c r="F2" s="650" t="s">
        <v>118</v>
      </c>
      <c r="G2" s="651"/>
      <c r="H2" s="651"/>
      <c r="I2" s="651"/>
      <c r="J2" s="651"/>
      <c r="K2" s="651"/>
      <c r="L2" s="651"/>
      <c r="M2" s="651"/>
      <c r="N2" s="651"/>
      <c r="O2" s="651"/>
      <c r="P2" s="651"/>
      <c r="Q2" s="652"/>
      <c r="S2" s="650" t="s">
        <v>436</v>
      </c>
      <c r="T2" s="651"/>
      <c r="U2" s="651"/>
      <c r="V2" s="651"/>
      <c r="W2" s="651"/>
      <c r="X2" s="651"/>
      <c r="Y2" s="651"/>
      <c r="Z2" s="651"/>
      <c r="AA2" s="651"/>
      <c r="AB2" s="651"/>
      <c r="AC2" s="651"/>
      <c r="AD2" s="652"/>
      <c r="AF2" s="668" t="s">
        <v>447</v>
      </c>
      <c r="AG2" s="669"/>
      <c r="AH2" s="658" t="s">
        <v>448</v>
      </c>
      <c r="AI2" s="659"/>
      <c r="AJ2" s="668" t="s">
        <v>449</v>
      </c>
      <c r="AK2" s="669"/>
      <c r="AL2" s="664" t="s">
        <v>450</v>
      </c>
      <c r="AM2" s="665"/>
      <c r="AN2" s="668" t="s">
        <v>451</v>
      </c>
      <c r="AO2" s="669"/>
      <c r="AP2" s="660" t="s">
        <v>452</v>
      </c>
      <c r="AQ2" s="660"/>
      <c r="BB2" s="636" t="s">
        <v>466</v>
      </c>
      <c r="BC2" s="637"/>
      <c r="BD2" s="637"/>
      <c r="BE2" s="637"/>
      <c r="BF2" s="637"/>
      <c r="BG2" s="637"/>
      <c r="BH2" s="637"/>
      <c r="BI2" s="638"/>
      <c r="BJ2" s="416"/>
      <c r="BK2" s="632" t="s">
        <v>425</v>
      </c>
      <c r="BL2" s="632"/>
      <c r="BM2" s="632"/>
      <c r="BN2" s="632"/>
      <c r="BO2" s="632"/>
      <c r="BP2" s="632"/>
      <c r="BQ2" s="632"/>
      <c r="BR2" s="632"/>
      <c r="BS2" s="632"/>
      <c r="BT2" s="632"/>
    </row>
    <row r="3" spans="1:72" ht="26.4" customHeight="1" thickBot="1" x14ac:dyDescent="0.35">
      <c r="F3" s="649" t="s">
        <v>438</v>
      </c>
      <c r="G3" s="649"/>
      <c r="H3" s="648" t="s">
        <v>463</v>
      </c>
      <c r="I3" s="653"/>
      <c r="J3" s="649" t="s">
        <v>439</v>
      </c>
      <c r="K3" s="649"/>
      <c r="L3" s="648" t="s">
        <v>464</v>
      </c>
      <c r="M3" s="648"/>
      <c r="N3" s="649" t="s">
        <v>440</v>
      </c>
      <c r="O3" s="649"/>
      <c r="P3" s="648" t="s">
        <v>465</v>
      </c>
      <c r="Q3" s="648"/>
      <c r="S3" s="649" t="s">
        <v>441</v>
      </c>
      <c r="T3" s="649"/>
      <c r="U3" s="658" t="s">
        <v>442</v>
      </c>
      <c r="V3" s="659"/>
      <c r="W3" s="649" t="s">
        <v>443</v>
      </c>
      <c r="X3" s="649"/>
      <c r="Y3" s="660" t="s">
        <v>444</v>
      </c>
      <c r="Z3" s="660"/>
      <c r="AA3" s="649" t="s">
        <v>445</v>
      </c>
      <c r="AB3" s="649"/>
      <c r="AC3" s="660" t="s">
        <v>446</v>
      </c>
      <c r="AD3" s="660"/>
      <c r="AF3" s="670"/>
      <c r="AG3" s="671"/>
      <c r="AH3" s="659"/>
      <c r="AI3" s="659"/>
      <c r="AJ3" s="670"/>
      <c r="AK3" s="671"/>
      <c r="AL3" s="666"/>
      <c r="AM3" s="667"/>
      <c r="AN3" s="670"/>
      <c r="AO3" s="671"/>
      <c r="AP3" s="660"/>
      <c r="AQ3" s="660"/>
      <c r="BB3" s="633" t="s">
        <v>273</v>
      </c>
      <c r="BC3" s="634"/>
      <c r="BD3" s="634" t="s">
        <v>308</v>
      </c>
      <c r="BE3" s="634"/>
      <c r="BF3" s="634" t="s">
        <v>313</v>
      </c>
      <c r="BG3" s="634"/>
      <c r="BH3" s="634" t="s">
        <v>312</v>
      </c>
      <c r="BI3" s="635"/>
      <c r="BJ3" s="383"/>
      <c r="BK3" s="383"/>
      <c r="BL3" s="383"/>
      <c r="BM3" s="383"/>
      <c r="BN3" s="383"/>
      <c r="BO3" s="571" t="s">
        <v>468</v>
      </c>
      <c r="BP3" s="571"/>
      <c r="BQ3" s="571" t="s">
        <v>357</v>
      </c>
      <c r="BR3" s="571"/>
      <c r="BS3" s="571" t="s">
        <v>385</v>
      </c>
      <c r="BT3" s="571"/>
    </row>
    <row r="4" spans="1:72" ht="14.4" customHeight="1" thickBot="1" x14ac:dyDescent="0.35">
      <c r="A4" s="311"/>
      <c r="B4" s="315"/>
      <c r="C4" s="313"/>
      <c r="D4" s="6"/>
      <c r="E4" s="373"/>
      <c r="F4" s="649"/>
      <c r="G4" s="649"/>
      <c r="H4" s="653"/>
      <c r="I4" s="653"/>
      <c r="J4" s="649"/>
      <c r="K4" s="649"/>
      <c r="L4" s="648"/>
      <c r="M4" s="648"/>
      <c r="N4" s="649"/>
      <c r="O4" s="649"/>
      <c r="P4" s="648"/>
      <c r="Q4" s="648"/>
      <c r="S4" s="649"/>
      <c r="T4" s="649"/>
      <c r="U4" s="659"/>
      <c r="V4" s="659"/>
      <c r="W4" s="649"/>
      <c r="X4" s="649"/>
      <c r="Y4" s="660"/>
      <c r="Z4" s="660"/>
      <c r="AA4" s="649"/>
      <c r="AB4" s="649"/>
      <c r="AC4" s="660"/>
      <c r="AD4" s="660"/>
      <c r="AF4" s="670"/>
      <c r="AG4" s="671"/>
      <c r="AH4" s="377" t="s">
        <v>428</v>
      </c>
      <c r="AI4" s="378">
        <v>5</v>
      </c>
      <c r="AJ4" s="670"/>
      <c r="AK4" s="671"/>
      <c r="AL4" s="377" t="s">
        <v>430</v>
      </c>
      <c r="AM4" s="378">
        <v>5</v>
      </c>
      <c r="AN4" s="670"/>
      <c r="AO4" s="671"/>
      <c r="AP4" s="377" t="s">
        <v>430</v>
      </c>
      <c r="AQ4" s="378">
        <v>5</v>
      </c>
      <c r="BB4" s="633"/>
      <c r="BC4" s="634"/>
      <c r="BD4" s="634"/>
      <c r="BE4" s="634"/>
      <c r="BF4" s="634"/>
      <c r="BG4" s="634"/>
      <c r="BH4" s="634"/>
      <c r="BI4" s="635"/>
      <c r="BJ4" s="383"/>
      <c r="BK4" s="383"/>
      <c r="BL4" s="383"/>
      <c r="BM4" s="383"/>
      <c r="BN4" s="383"/>
      <c r="BO4" s="572"/>
      <c r="BP4" s="572"/>
      <c r="BQ4" s="572"/>
      <c r="BR4" s="572"/>
      <c r="BS4" s="572"/>
      <c r="BT4" s="572"/>
    </row>
    <row r="5" spans="1:72" ht="14.4" customHeight="1" thickBot="1" x14ac:dyDescent="0.35">
      <c r="A5" s="312"/>
      <c r="B5" s="316"/>
      <c r="C5" s="314"/>
      <c r="D5" s="7"/>
      <c r="E5" s="374"/>
      <c r="F5" s="649"/>
      <c r="G5" s="649"/>
      <c r="H5" s="377" t="s">
        <v>427</v>
      </c>
      <c r="I5" s="378">
        <v>10</v>
      </c>
      <c r="J5" s="649"/>
      <c r="K5" s="649"/>
      <c r="L5" s="377" t="s">
        <v>427</v>
      </c>
      <c r="M5" s="378">
        <v>10</v>
      </c>
      <c r="N5" s="649"/>
      <c r="O5" s="649"/>
      <c r="P5" s="377" t="s">
        <v>427</v>
      </c>
      <c r="Q5" s="378">
        <v>10</v>
      </c>
      <c r="S5" s="649"/>
      <c r="T5" s="649"/>
      <c r="U5" s="377" t="s">
        <v>427</v>
      </c>
      <c r="V5" s="378">
        <v>5</v>
      </c>
      <c r="W5" s="649"/>
      <c r="X5" s="649"/>
      <c r="Y5" s="377" t="s">
        <v>427</v>
      </c>
      <c r="Z5" s="378">
        <v>5</v>
      </c>
      <c r="AA5" s="649"/>
      <c r="AB5" s="649"/>
      <c r="AC5" s="377" t="s">
        <v>427</v>
      </c>
      <c r="AD5" s="378">
        <v>5</v>
      </c>
      <c r="AF5" s="672"/>
      <c r="AG5" s="673"/>
      <c r="AH5" s="381" t="s">
        <v>429</v>
      </c>
      <c r="AI5" s="378">
        <v>10</v>
      </c>
      <c r="AJ5" s="672"/>
      <c r="AK5" s="673"/>
      <c r="AL5" s="381" t="s">
        <v>429</v>
      </c>
      <c r="AM5" s="378">
        <v>10</v>
      </c>
      <c r="AN5" s="672"/>
      <c r="AO5" s="673"/>
      <c r="AP5" s="381" t="s">
        <v>429</v>
      </c>
      <c r="AQ5" s="378">
        <v>10</v>
      </c>
      <c r="BB5" s="633" t="s">
        <v>467</v>
      </c>
      <c r="BC5" s="634"/>
      <c r="BD5" s="639" t="s">
        <v>309</v>
      </c>
      <c r="BE5" s="639"/>
      <c r="BF5" s="634" t="s">
        <v>310</v>
      </c>
      <c r="BG5" s="634"/>
      <c r="BH5" s="634" t="s">
        <v>311</v>
      </c>
      <c r="BI5" s="640"/>
      <c r="BJ5" s="384"/>
      <c r="BK5" s="384"/>
      <c r="BL5" s="384"/>
      <c r="BM5" s="384"/>
      <c r="BN5" s="384"/>
      <c r="BO5" s="573"/>
      <c r="BP5" s="573"/>
      <c r="BQ5" s="573"/>
      <c r="BR5" s="573"/>
      <c r="BS5" s="573"/>
      <c r="BT5" s="573"/>
    </row>
    <row r="6" spans="1:72" s="417" customFormat="1" ht="52.5" thickBot="1" x14ac:dyDescent="0.35">
      <c r="A6" s="466" t="s">
        <v>260</v>
      </c>
      <c r="B6" s="467" t="s">
        <v>95</v>
      </c>
      <c r="C6" s="468" t="s">
        <v>261</v>
      </c>
      <c r="D6" s="469" t="s">
        <v>87</v>
      </c>
      <c r="E6" s="470" t="s">
        <v>262</v>
      </c>
      <c r="F6" s="462" t="s">
        <v>52</v>
      </c>
      <c r="G6" s="462" t="s">
        <v>426</v>
      </c>
      <c r="H6" s="462" t="s">
        <v>52</v>
      </c>
      <c r="I6" s="462" t="s">
        <v>426</v>
      </c>
      <c r="J6" s="462" t="s">
        <v>52</v>
      </c>
      <c r="K6" s="462" t="s">
        <v>426</v>
      </c>
      <c r="L6" s="462" t="s">
        <v>52</v>
      </c>
      <c r="M6" s="462" t="s">
        <v>426</v>
      </c>
      <c r="N6" s="462" t="s">
        <v>52</v>
      </c>
      <c r="O6" s="462" t="s">
        <v>426</v>
      </c>
      <c r="P6" s="462" t="s">
        <v>52</v>
      </c>
      <c r="Q6" s="462" t="s">
        <v>426</v>
      </c>
      <c r="S6" s="462" t="s">
        <v>462</v>
      </c>
      <c r="T6" s="462" t="s">
        <v>435</v>
      </c>
      <c r="U6" s="462" t="s">
        <v>462</v>
      </c>
      <c r="V6" s="462" t="s">
        <v>435</v>
      </c>
      <c r="W6" s="462" t="s">
        <v>462</v>
      </c>
      <c r="X6" s="462" t="s">
        <v>435</v>
      </c>
      <c r="Y6" s="462" t="s">
        <v>462</v>
      </c>
      <c r="Z6" s="462" t="s">
        <v>435</v>
      </c>
      <c r="AA6" s="462" t="s">
        <v>462</v>
      </c>
      <c r="AB6" s="462" t="s">
        <v>435</v>
      </c>
      <c r="AC6" s="462" t="s">
        <v>462</v>
      </c>
      <c r="AD6" s="462" t="s">
        <v>435</v>
      </c>
      <c r="AF6" s="462" t="s">
        <v>52</v>
      </c>
      <c r="AG6" s="462" t="s">
        <v>426</v>
      </c>
      <c r="AH6" s="462" t="s">
        <v>52</v>
      </c>
      <c r="AI6" s="462" t="s">
        <v>426</v>
      </c>
      <c r="AJ6" s="462" t="s">
        <v>52</v>
      </c>
      <c r="AK6" s="462" t="s">
        <v>426</v>
      </c>
      <c r="AL6" s="462" t="s">
        <v>52</v>
      </c>
      <c r="AM6" s="462" t="s">
        <v>426</v>
      </c>
      <c r="AN6" s="462" t="s">
        <v>52</v>
      </c>
      <c r="AO6" s="462" t="s">
        <v>426</v>
      </c>
      <c r="AP6" s="462" t="s">
        <v>52</v>
      </c>
      <c r="AQ6" s="462" t="s">
        <v>426</v>
      </c>
      <c r="BB6" s="444" t="s">
        <v>98</v>
      </c>
      <c r="BC6" s="445" t="s">
        <v>99</v>
      </c>
      <c r="BD6" s="445" t="s">
        <v>100</v>
      </c>
      <c r="BE6" s="445" t="s">
        <v>101</v>
      </c>
      <c r="BF6" s="446" t="s">
        <v>102</v>
      </c>
      <c r="BG6" s="446" t="s">
        <v>103</v>
      </c>
      <c r="BH6" s="445" t="s">
        <v>314</v>
      </c>
      <c r="BI6" s="447" t="s">
        <v>315</v>
      </c>
      <c r="BJ6" s="383"/>
      <c r="BK6" s="457" t="s">
        <v>94</v>
      </c>
      <c r="BL6" s="458" t="s">
        <v>95</v>
      </c>
      <c r="BM6" s="458" t="s">
        <v>261</v>
      </c>
      <c r="BN6" s="458" t="s">
        <v>87</v>
      </c>
      <c r="BO6" s="457" t="s">
        <v>332</v>
      </c>
      <c r="BP6" s="457" t="s">
        <v>333</v>
      </c>
      <c r="BQ6" s="457" t="s">
        <v>358</v>
      </c>
      <c r="BR6" s="457" t="s">
        <v>359</v>
      </c>
      <c r="BS6" s="457" t="s">
        <v>360</v>
      </c>
      <c r="BT6" s="457" t="s">
        <v>361</v>
      </c>
    </row>
    <row r="7" spans="1:72" ht="14.5" thickTop="1" x14ac:dyDescent="0.3">
      <c r="A7" s="304">
        <v>1</v>
      </c>
      <c r="B7" s="647" t="s">
        <v>33</v>
      </c>
      <c r="C7" s="307" t="s">
        <v>263</v>
      </c>
      <c r="D7" s="284" t="s">
        <v>54</v>
      </c>
      <c r="E7" s="379" t="s">
        <v>107</v>
      </c>
      <c r="F7" s="463">
        <f>'Hazard Values'!$G$12/BD7</f>
        <v>518.62587235764136</v>
      </c>
      <c r="G7" s="464">
        <f>'Hazard Values'!$G$12/BE7</f>
        <v>518.62587235764136</v>
      </c>
      <c r="H7" s="464">
        <f>F7*$I$5</f>
        <v>5186.2587235764131</v>
      </c>
      <c r="I7" s="464">
        <f>G7*$I$5</f>
        <v>5186.2587235764131</v>
      </c>
      <c r="J7" s="464">
        <f>'Hazard Values'!$G$13/BF7</f>
        <v>368.81041220335243</v>
      </c>
      <c r="K7" s="464">
        <f>'Hazard Values'!$G$13/BG7</f>
        <v>368.81041220335243</v>
      </c>
      <c r="L7" s="464">
        <f>J7*$M$5</f>
        <v>3688.1041220335242</v>
      </c>
      <c r="M7" s="464">
        <f>K7*$M$5</f>
        <v>3688.1041220335242</v>
      </c>
      <c r="N7" s="464">
        <f>'Hazard Values'!$G$14/BH7</f>
        <v>394.87301466572268</v>
      </c>
      <c r="O7" s="464">
        <f>'Hazard Values'!$G$14/BI7</f>
        <v>394.87301466572268</v>
      </c>
      <c r="P7" s="464">
        <f>N7*$Q$5</f>
        <v>3948.7301466572267</v>
      </c>
      <c r="Q7" s="465">
        <f>O7*$Q$5</f>
        <v>3948.7301466572267</v>
      </c>
      <c r="S7" s="654">
        <f>'Hazard Values'!$I$12/BO7</f>
        <v>14.027592345349355</v>
      </c>
      <c r="T7" s="656">
        <f>'Hazard Values'!$I$12/BP7</f>
        <v>42.082777036048064</v>
      </c>
      <c r="U7" s="656">
        <f>'Hazard Values'!$I$12/(BO7/'Bridge Table'!$V$5)</f>
        <v>70.137961726746781</v>
      </c>
      <c r="V7" s="656">
        <f>'Hazard Values'!$I$12/(BP7/'Bridge Table'!$V$5)</f>
        <v>210.41388518024033</v>
      </c>
      <c r="W7" s="656">
        <f>'Hazard Values'!$I$13/BQ7</f>
        <v>15.827163490714893</v>
      </c>
      <c r="X7" s="656">
        <f>'Hazard Values'!$I$13/BR7</f>
        <v>47.481490472144678</v>
      </c>
      <c r="Y7" s="656">
        <f>'Hazard Values'!$I$13/(BQ7/$Z$5)</f>
        <v>79.135817453574461</v>
      </c>
      <c r="Z7" s="656">
        <f>'Hazard Values'!$I$13/(BR7/$Z$5)</f>
        <v>237.4074523607234</v>
      </c>
      <c r="AA7" s="656">
        <f>'Hazard Values'!$I$14/'Bridge Table'!BS7</f>
        <v>16.945616377392078</v>
      </c>
      <c r="AB7" s="656">
        <f>'Hazard Values'!$I$14/'Bridge Table'!BT7</f>
        <v>50.836849132176233</v>
      </c>
      <c r="AC7" s="656">
        <f>'Hazard Values'!$I$14/(BS7/$AD$5)</f>
        <v>84.728081886960396</v>
      </c>
      <c r="AD7" s="661">
        <f>'Hazard Values'!$I$14/(BT7/$AD$5)</f>
        <v>254.18424566088117</v>
      </c>
      <c r="AF7" s="459">
        <v>38.924345067893611</v>
      </c>
      <c r="AG7" s="460">
        <f>(1/((1/G7)+(1/T7)))</f>
        <v>38.924345067893611</v>
      </c>
      <c r="AH7" s="460">
        <f>1/((1/(F7*$AI$5))+((1/($T$7*$AI$4))))</f>
        <v>202.20994058578702</v>
      </c>
      <c r="AI7" s="460">
        <f>1/((1/(G7*$AI$5))+((1/($T$7*$AI$4))))</f>
        <v>202.20994058578702</v>
      </c>
      <c r="AJ7" s="460">
        <v>42.065838803287313</v>
      </c>
      <c r="AK7" s="460">
        <f>(1/((1/K7)+(1/$X$7)))</f>
        <v>42.065838803287313</v>
      </c>
      <c r="AL7" s="460">
        <v>223.0495024812592</v>
      </c>
      <c r="AM7" s="460">
        <f>1/((1/(K7*$AM$5))+(1/($X$7*$AM$4)))</f>
        <v>223.0495024812592</v>
      </c>
      <c r="AN7" s="460">
        <v>45.038491412052949</v>
      </c>
      <c r="AO7" s="460">
        <f>(1/((1/O7)+(1/$AB$7)))</f>
        <v>45.038491412052949</v>
      </c>
      <c r="AP7" s="460">
        <v>238.81166732326818</v>
      </c>
      <c r="AQ7" s="461">
        <f>1/((1/(O7*$AM$5))+(1/($AB$7*$AM$4)))</f>
        <v>238.81166732326818</v>
      </c>
      <c r="BB7" s="442">
        <f>'Inhalation Exposure'!I5</f>
        <v>0.30328220858895705</v>
      </c>
      <c r="BC7" s="443">
        <f>'Inhalation Exposure'!J5</f>
        <v>0.30328220858895705</v>
      </c>
      <c r="BD7" s="443">
        <f>'Inhalation Exposure'!K5</f>
        <v>0.2063144276115354</v>
      </c>
      <c r="BE7" s="443">
        <f>'Inhalation Exposure'!L5</f>
        <v>0.2063144276115354</v>
      </c>
      <c r="BF7" s="443">
        <f>'Inhalation Exposure'!M5</f>
        <v>0.15129724691512597</v>
      </c>
      <c r="BG7" s="443">
        <f>'Inhalation Exposure'!N5</f>
        <v>0.15129724691512597</v>
      </c>
      <c r="BH7" s="443">
        <f>'Inhalation Exposure'!O5</f>
        <v>0.14131125178872286</v>
      </c>
      <c r="BI7" s="450">
        <f>'Inhalation Exposure'!P5</f>
        <v>0.14131125178872286</v>
      </c>
      <c r="BJ7" s="420"/>
      <c r="BK7" s="454">
        <v>1</v>
      </c>
      <c r="BL7" s="421" t="s">
        <v>33</v>
      </c>
      <c r="BM7" s="422" t="s">
        <v>264</v>
      </c>
      <c r="BN7" s="423" t="s">
        <v>73</v>
      </c>
      <c r="BO7" s="455">
        <f>'Dermal Exposure'!T4</f>
        <v>28.087499999999999</v>
      </c>
      <c r="BP7" s="456">
        <f>'Dermal Exposure'!U4</f>
        <v>9.3625000000000007</v>
      </c>
      <c r="BQ7" s="456">
        <f>'Dermal Exposure'!V4</f>
        <v>20.5975</v>
      </c>
      <c r="BR7" s="456">
        <f>'Dermal Exposure'!W4</f>
        <v>6.8658333333333337</v>
      </c>
      <c r="BS7" s="456">
        <f>'Dermal Exposure'!X4</f>
        <v>19.238013698630137</v>
      </c>
      <c r="BT7" s="456">
        <f>'Dermal Exposure'!Y4</f>
        <v>6.4126712328767121</v>
      </c>
    </row>
    <row r="8" spans="1:72" ht="26" x14ac:dyDescent="0.3">
      <c r="A8" s="305">
        <v>1</v>
      </c>
      <c r="B8" s="647"/>
      <c r="C8" s="308" t="s">
        <v>264</v>
      </c>
      <c r="D8" s="206" t="s">
        <v>73</v>
      </c>
      <c r="E8" s="380" t="s">
        <v>107</v>
      </c>
      <c r="F8" s="424">
        <f>'Hazard Values'!$G$12/BD8</f>
        <v>16.207058511176296</v>
      </c>
      <c r="G8" s="425">
        <f>'Hazard Values'!$G$12/BE8</f>
        <v>54.023528370587634</v>
      </c>
      <c r="H8" s="425">
        <f t="shared" ref="H8:H71" si="0">F8*$I$5</f>
        <v>162.07058511176297</v>
      </c>
      <c r="I8" s="425">
        <f t="shared" ref="I8:I71" si="1">G8*$I$5</f>
        <v>540.23528370587633</v>
      </c>
      <c r="J8" s="425">
        <f>'Hazard Values'!$G$13/BF8</f>
        <v>11.525325381354765</v>
      </c>
      <c r="K8" s="425">
        <f>'Hazard Values'!$G$13/BG8</f>
        <v>38.417751271182539</v>
      </c>
      <c r="L8" s="425">
        <f t="shared" ref="L8:L71" si="2">J8*$M$5</f>
        <v>115.25325381354764</v>
      </c>
      <c r="M8" s="425">
        <f t="shared" ref="M8:M71" si="3">K8*$M$5</f>
        <v>384.17751271182539</v>
      </c>
      <c r="N8" s="425">
        <f>'Hazard Values'!$G$14/BH8</f>
        <v>12.339781708303837</v>
      </c>
      <c r="O8" s="425">
        <f>'Hazard Values'!$G$14/BI8</f>
        <v>41.132605694346111</v>
      </c>
      <c r="P8" s="425">
        <f t="shared" ref="P8:P71" si="4">N8*$Q$5</f>
        <v>123.39781708303838</v>
      </c>
      <c r="Q8" s="426">
        <f t="shared" ref="Q8:Q71" si="5">O8*$Q$5</f>
        <v>411.32605694346114</v>
      </c>
      <c r="S8" s="654"/>
      <c r="T8" s="657"/>
      <c r="U8" s="657"/>
      <c r="V8" s="657"/>
      <c r="W8" s="657"/>
      <c r="X8" s="657"/>
      <c r="Y8" s="657"/>
      <c r="Z8" s="657"/>
      <c r="AA8" s="657"/>
      <c r="AB8" s="657"/>
      <c r="AC8" s="657"/>
      <c r="AD8" s="662"/>
      <c r="AF8" s="427">
        <f t="shared" ref="AF8:AF14" si="6">(1/((1/F8)+(1/$S$7)))</f>
        <v>7.5193859850025966</v>
      </c>
      <c r="AG8" s="428">
        <f>(1/((1/G8)+(1/T7)))</f>
        <v>23.655680961835042</v>
      </c>
      <c r="AH8" s="428">
        <f t="shared" ref="AH8:AH14" si="7">1/((1/(F8*$AI$5))+((1/($S$7*$AI$4))))</f>
        <v>48.952980630405975</v>
      </c>
      <c r="AI8" s="428">
        <f t="shared" ref="AI8:AI14" si="8">1/((1/(G8*$AI$5))+((1/($T$7*$AI$4))))</f>
        <v>151.43293254381595</v>
      </c>
      <c r="AJ8" s="428">
        <f t="shared" ref="AJ8:AJ14" si="9">(1/((1/J8)+(1/$W$7)))</f>
        <v>6.6689802872255157</v>
      </c>
      <c r="AK8" s="428">
        <f t="shared" ref="AK8:AK14" si="10">(1/((1/K8)+(1/$X$7)))</f>
        <v>21.235718196378365</v>
      </c>
      <c r="AL8" s="428">
        <f t="shared" ref="AL8:AL14" si="11">1/((1/(J8*$AM$5))+(1/($W$7*$AM$4)))</f>
        <v>46.919615363489875</v>
      </c>
      <c r="AM8" s="428">
        <f t="shared" ref="AM8:AM14" si="12">1/((1/(K8*$AM$5))+(1/($X$7*$AM$4)))</f>
        <v>146.73232087675839</v>
      </c>
      <c r="AN8" s="428">
        <f t="shared" ref="AN8:AN14" si="13">(1/((1/N8)+(1/$AA$7)))</f>
        <v>7.1402548941894537</v>
      </c>
      <c r="AO8" s="428">
        <f t="shared" ref="AO8:AO14" si="14">(1/((1/O8)+(1/$AB$7)))</f>
        <v>22.736375615589104</v>
      </c>
      <c r="AP8" s="428">
        <f t="shared" ref="AP8:AP14" si="15">1/((1/(N8*$AM$5))+(1/($AA$7*$AM$4)))</f>
        <v>50.235268182509834</v>
      </c>
      <c r="AQ8" s="429">
        <f t="shared" ref="AQ8:AQ14" si="16">1/((1/(O8*$AM$5))+(1/($AB$7*$AM$4)))</f>
        <v>157.10140488538266</v>
      </c>
      <c r="BB8" s="418">
        <f>'Inhalation Exposure'!I6</f>
        <v>9.705030674846622</v>
      </c>
      <c r="BC8" s="419">
        <f>'Inhalation Exposure'!J6</f>
        <v>2.9115092024539879</v>
      </c>
      <c r="BD8" s="419">
        <f>'Inhalation Exposure'!K6</f>
        <v>6.602061683569131</v>
      </c>
      <c r="BE8" s="419">
        <f>'Inhalation Exposure'!L6</f>
        <v>1.9806185050707401</v>
      </c>
      <c r="BF8" s="419">
        <f>'Inhalation Exposure'!M6</f>
        <v>4.8415119012840302</v>
      </c>
      <c r="BG8" s="419">
        <f>'Inhalation Exposure'!N6</f>
        <v>1.4524535703852095</v>
      </c>
      <c r="BH8" s="419">
        <f>'Inhalation Exposure'!O6</f>
        <v>4.5219600572391307</v>
      </c>
      <c r="BI8" s="448">
        <f>'Inhalation Exposure'!P6</f>
        <v>1.3565880171717397</v>
      </c>
      <c r="BJ8" s="449"/>
      <c r="BK8" s="430">
        <v>1</v>
      </c>
      <c r="BL8" s="431" t="s">
        <v>33</v>
      </c>
      <c r="BM8" s="432" t="s">
        <v>265</v>
      </c>
      <c r="BN8" s="433" t="s">
        <v>73</v>
      </c>
      <c r="BO8" s="434">
        <f>'Dermal Exposure'!T5</f>
        <v>28.087499999999999</v>
      </c>
      <c r="BP8" s="435">
        <f>'Dermal Exposure'!U5</f>
        <v>9.3625000000000007</v>
      </c>
      <c r="BQ8" s="435">
        <f>'Dermal Exposure'!V5</f>
        <v>20.5975</v>
      </c>
      <c r="BR8" s="435">
        <f>'Dermal Exposure'!W5</f>
        <v>6.8658333333333337</v>
      </c>
      <c r="BS8" s="435">
        <f>'Dermal Exposure'!X5</f>
        <v>19.238013698630137</v>
      </c>
      <c r="BT8" s="435">
        <f>'Dermal Exposure'!Y5</f>
        <v>6.4126712328767121</v>
      </c>
    </row>
    <row r="9" spans="1:72" x14ac:dyDescent="0.3">
      <c r="A9" s="305">
        <v>1</v>
      </c>
      <c r="B9" s="647"/>
      <c r="C9" s="308" t="s">
        <v>265</v>
      </c>
      <c r="D9" s="206" t="s">
        <v>73</v>
      </c>
      <c r="E9" s="380" t="s">
        <v>107</v>
      </c>
      <c r="F9" s="424">
        <f>'Hazard Values'!$G$12/BD9</f>
        <v>3.3677004698548143</v>
      </c>
      <c r="G9" s="425">
        <f>'Hazard Values'!$G$12/BE9</f>
        <v>648.28234044705164</v>
      </c>
      <c r="H9" s="425">
        <f t="shared" si="0"/>
        <v>33.677004698548146</v>
      </c>
      <c r="I9" s="425">
        <f t="shared" si="1"/>
        <v>6482.8234044705168</v>
      </c>
      <c r="J9" s="425">
        <f>'Hazard Values'!$G$13/BF9</f>
        <v>2.3948728065152758</v>
      </c>
      <c r="K9" s="425">
        <f>'Hazard Values'!$G$13/BG9</f>
        <v>461.01301525419041</v>
      </c>
      <c r="L9" s="425">
        <f t="shared" si="2"/>
        <v>23.948728065152757</v>
      </c>
      <c r="M9" s="425">
        <f t="shared" si="3"/>
        <v>4610.130152541904</v>
      </c>
      <c r="N9" s="425">
        <f>'Hazard Values'!$G$14/BH9</f>
        <v>2.564110484842355</v>
      </c>
      <c r="O9" s="425">
        <f>'Hazard Values'!$G$14/BI9</f>
        <v>493.59126833215322</v>
      </c>
      <c r="P9" s="425">
        <f t="shared" si="4"/>
        <v>25.641104848423552</v>
      </c>
      <c r="Q9" s="426">
        <f t="shared" si="5"/>
        <v>4935.9126833215323</v>
      </c>
      <c r="S9" s="654"/>
      <c r="T9" s="657"/>
      <c r="U9" s="657"/>
      <c r="V9" s="657"/>
      <c r="W9" s="657"/>
      <c r="X9" s="657"/>
      <c r="Y9" s="657"/>
      <c r="Z9" s="657"/>
      <c r="AA9" s="657"/>
      <c r="AB9" s="657"/>
      <c r="AC9" s="657"/>
      <c r="AD9" s="662"/>
      <c r="AF9" s="427">
        <f t="shared" si="6"/>
        <v>2.7157191220762069</v>
      </c>
      <c r="AG9" s="428">
        <f>(1/((1/G9)+(1/$T$7)))</f>
        <v>39.517525579656095</v>
      </c>
      <c r="AH9" s="428">
        <f t="shared" si="7"/>
        <v>22.752369412149825</v>
      </c>
      <c r="AI9" s="428">
        <f>1/((1/(G9*$AI$5))+((1/($T$7*$AI$4))))</f>
        <v>203.79914837043071</v>
      </c>
      <c r="AJ9" s="428">
        <f t="shared" si="9"/>
        <v>2.0801211692211408</v>
      </c>
      <c r="AK9" s="428">
        <f t="shared" si="10"/>
        <v>43.047830104003545</v>
      </c>
      <c r="AL9" s="428">
        <f t="shared" si="11"/>
        <v>18.384930183981123</v>
      </c>
      <c r="AM9" s="428">
        <f t="shared" si="12"/>
        <v>225.78045675383913</v>
      </c>
      <c r="AN9" s="428">
        <f t="shared" si="13"/>
        <v>2.2271163985127678</v>
      </c>
      <c r="AO9" s="428">
        <f t="shared" si="14"/>
        <v>46.089876764686466</v>
      </c>
      <c r="AP9" s="428">
        <f t="shared" si="15"/>
        <v>19.684131916982455</v>
      </c>
      <c r="AQ9" s="429">
        <f t="shared" si="16"/>
        <v>241.73560903111044</v>
      </c>
      <c r="BB9" s="418">
        <f>'Inhalation Exposure'!I7</f>
        <v>46.705460122699385</v>
      </c>
      <c r="BC9" s="419">
        <f>'Inhalation Exposure'!J7</f>
        <v>0.24262576687116569</v>
      </c>
      <c r="BD9" s="419">
        <f>'Inhalation Exposure'!K7</f>
        <v>31.77242185217645</v>
      </c>
      <c r="BE9" s="419">
        <f>'Inhalation Exposure'!L7</f>
        <v>0.16505154208922834</v>
      </c>
      <c r="BF9" s="419">
        <f>'Inhalation Exposure'!M7</f>
        <v>23.299776024929397</v>
      </c>
      <c r="BG9" s="419">
        <f>'Inhalation Exposure'!N7</f>
        <v>0.1210377975321008</v>
      </c>
      <c r="BH9" s="419">
        <f>'Inhalation Exposure'!O7</f>
        <v>21.761932775463322</v>
      </c>
      <c r="BI9" s="448">
        <f>'Inhalation Exposure'!P7</f>
        <v>0.11304900143097833</v>
      </c>
      <c r="BJ9" s="420"/>
      <c r="BK9" s="436">
        <v>1</v>
      </c>
      <c r="BL9" s="431" t="s">
        <v>33</v>
      </c>
      <c r="BM9" s="432" t="s">
        <v>266</v>
      </c>
      <c r="BN9" s="433" t="s">
        <v>73</v>
      </c>
      <c r="BO9" s="434">
        <f>'Dermal Exposure'!T6</f>
        <v>28.087499999999999</v>
      </c>
      <c r="BP9" s="435">
        <f>'Dermal Exposure'!U6</f>
        <v>9.3625000000000007</v>
      </c>
      <c r="BQ9" s="435">
        <f>'Dermal Exposure'!V6</f>
        <v>20.5975</v>
      </c>
      <c r="BR9" s="435">
        <f>'Dermal Exposure'!W6</f>
        <v>6.8658333333333337</v>
      </c>
      <c r="BS9" s="435">
        <f>'Dermal Exposure'!X6</f>
        <v>19.238013698630137</v>
      </c>
      <c r="BT9" s="435">
        <f>'Dermal Exposure'!Y6</f>
        <v>6.4126712328767121</v>
      </c>
    </row>
    <row r="10" spans="1:72" x14ac:dyDescent="0.3">
      <c r="A10" s="306">
        <v>1</v>
      </c>
      <c r="B10" s="647"/>
      <c r="C10" s="308" t="s">
        <v>266</v>
      </c>
      <c r="D10" s="206" t="s">
        <v>73</v>
      </c>
      <c r="E10" s="380" t="s">
        <v>269</v>
      </c>
      <c r="F10" s="424">
        <f>'Hazard Values'!$G$12/BD10</f>
        <v>30.628416529482646</v>
      </c>
      <c r="G10" s="425">
        <f>'Hazard Values'!$G$12/BE10</f>
        <v>314.84344960245346</v>
      </c>
      <c r="H10" s="425">
        <f t="shared" si="0"/>
        <v>306.28416529482644</v>
      </c>
      <c r="I10" s="425">
        <f t="shared" si="1"/>
        <v>3148.4344960245344</v>
      </c>
      <c r="J10" s="425">
        <f>'Hazard Values'!$G$13/BF10</f>
        <v>21.780785586386553</v>
      </c>
      <c r="K10" s="425">
        <f>'Hazard Values'!$G$13/BG10</f>
        <v>223.89461964082713</v>
      </c>
      <c r="L10" s="425">
        <f t="shared" si="2"/>
        <v>217.80785586386554</v>
      </c>
      <c r="M10" s="425">
        <f>K10*$M$5</f>
        <v>2238.9461964082711</v>
      </c>
      <c r="N10" s="425">
        <f>'Hazard Values'!$G$14/BH10</f>
        <v>23.319961101157872</v>
      </c>
      <c r="O10" s="425">
        <f>'Hazard Values'!$G$14/BI10</f>
        <v>239.71650609544557</v>
      </c>
      <c r="P10" s="425">
        <f t="shared" si="4"/>
        <v>233.19961101157872</v>
      </c>
      <c r="Q10" s="426">
        <f t="shared" si="5"/>
        <v>2397.1650609544558</v>
      </c>
      <c r="S10" s="654"/>
      <c r="T10" s="657"/>
      <c r="U10" s="657"/>
      <c r="V10" s="657"/>
      <c r="W10" s="657"/>
      <c r="X10" s="657"/>
      <c r="Y10" s="657"/>
      <c r="Z10" s="657"/>
      <c r="AA10" s="657"/>
      <c r="AB10" s="657"/>
      <c r="AC10" s="657"/>
      <c r="AD10" s="662"/>
      <c r="AF10" s="427">
        <f t="shared" si="6"/>
        <v>9.6211674998409453</v>
      </c>
      <c r="AG10" s="428">
        <f t="shared" ref="AG10:AG14" si="17">(1/((1/G10)+(1/$T$7)))</f>
        <v>37.121079097108485</v>
      </c>
      <c r="AH10" s="428">
        <f t="shared" si="7"/>
        <v>57.069299387190242</v>
      </c>
      <c r="AI10" s="428">
        <f t="shared" si="8"/>
        <v>197.23258074137701</v>
      </c>
      <c r="AJ10" s="428">
        <f t="shared" si="9"/>
        <v>9.1663614446298762</v>
      </c>
      <c r="AK10" s="428">
        <f t="shared" si="10"/>
        <v>39.173861858418</v>
      </c>
      <c r="AL10" s="428">
        <f t="shared" si="11"/>
        <v>58.046034552725395</v>
      </c>
      <c r="AM10" s="428">
        <f t="shared" si="12"/>
        <v>214.64725473530461</v>
      </c>
      <c r="AN10" s="428">
        <f t="shared" si="13"/>
        <v>9.81411765338372</v>
      </c>
      <c r="AO10" s="428">
        <f t="shared" si="14"/>
        <v>41.942148096412872</v>
      </c>
      <c r="AP10" s="428">
        <f t="shared" si="15"/>
        <v>62.147954327784639</v>
      </c>
      <c r="AQ10" s="429">
        <f t="shared" si="16"/>
        <v>229.81566073659951</v>
      </c>
      <c r="BB10" s="418">
        <f>'Inhalation Exposure'!I8</f>
        <v>3.42361806066803</v>
      </c>
      <c r="BC10" s="419">
        <f>'Inhalation Exposure'!J8</f>
        <v>0.33305441206543968</v>
      </c>
      <c r="BD10" s="419">
        <f>'Inhalation Exposure'!K8</f>
        <v>3.4934878170081936</v>
      </c>
      <c r="BE10" s="419">
        <f>'Inhalation Exposure'!L8</f>
        <v>0.33985144088310165</v>
      </c>
      <c r="BF10" s="419">
        <f>'Inhalation Exposure'!M8</f>
        <v>2.5618910658060088</v>
      </c>
      <c r="BG10" s="419">
        <f>'Inhalation Exposure'!N8</f>
        <v>0.24922438998094121</v>
      </c>
      <c r="BH10" s="419">
        <f>'Inhalation Exposure'!O8</f>
        <v>2.392799874663146</v>
      </c>
      <c r="BI10" s="448">
        <f>'Inhalation Exposure'!P8</f>
        <v>0.23277495950897373</v>
      </c>
      <c r="BJ10" s="420"/>
      <c r="BK10" s="436">
        <v>1</v>
      </c>
      <c r="BL10" s="431" t="s">
        <v>33</v>
      </c>
      <c r="BM10" s="432" t="s">
        <v>267</v>
      </c>
      <c r="BN10" s="433" t="s">
        <v>73</v>
      </c>
      <c r="BO10" s="434">
        <f>'Dermal Exposure'!T7</f>
        <v>28.087499999999999</v>
      </c>
      <c r="BP10" s="435">
        <f>'Dermal Exposure'!U7</f>
        <v>9.3625000000000007</v>
      </c>
      <c r="BQ10" s="435">
        <f>'Dermal Exposure'!V7</f>
        <v>20.5975</v>
      </c>
      <c r="BR10" s="435">
        <f>'Dermal Exposure'!W7</f>
        <v>6.8658333333333337</v>
      </c>
      <c r="BS10" s="435">
        <f>'Dermal Exposure'!X7</f>
        <v>19.238013698630137</v>
      </c>
      <c r="BT10" s="435">
        <f>'Dermal Exposure'!Y7</f>
        <v>6.4126712328767121</v>
      </c>
    </row>
    <row r="11" spans="1:72" ht="26" x14ac:dyDescent="0.3">
      <c r="A11" s="306">
        <v>1</v>
      </c>
      <c r="B11" s="647"/>
      <c r="C11" s="308" t="s">
        <v>267</v>
      </c>
      <c r="D11" s="206" t="s">
        <v>73</v>
      </c>
      <c r="E11" s="380" t="s">
        <v>107</v>
      </c>
      <c r="F11" s="424">
        <f>'Hazard Values'!$G$12/BD11</f>
        <v>997.35744684161796</v>
      </c>
      <c r="G11" s="425">
        <f>'Hazard Values'!$G$12/BE11</f>
        <v>997.35744684161796</v>
      </c>
      <c r="H11" s="425">
        <f t="shared" si="0"/>
        <v>9973.57446841618</v>
      </c>
      <c r="I11" s="425">
        <f t="shared" si="1"/>
        <v>9973.57446841618</v>
      </c>
      <c r="J11" s="425">
        <f>'Hazard Values'!$G$13/BF11</f>
        <v>709.25079269875471</v>
      </c>
      <c r="K11" s="425">
        <f>'Hazard Values'!$G$13/BG11</f>
        <v>709.25079269875471</v>
      </c>
      <c r="L11" s="425">
        <f t="shared" si="2"/>
        <v>7092.5079269875469</v>
      </c>
      <c r="M11" s="425">
        <f t="shared" si="3"/>
        <v>7092.5079269875469</v>
      </c>
      <c r="N11" s="425">
        <f>'Hazard Values'!$G$14/BH11</f>
        <v>759.3711820494666</v>
      </c>
      <c r="O11" s="425">
        <f>'Hazard Values'!$G$14/BI11</f>
        <v>759.3711820494666</v>
      </c>
      <c r="P11" s="425">
        <f t="shared" si="4"/>
        <v>7593.7118204946655</v>
      </c>
      <c r="Q11" s="426">
        <f t="shared" si="5"/>
        <v>7593.7118204946655</v>
      </c>
      <c r="S11" s="654"/>
      <c r="T11" s="657"/>
      <c r="U11" s="657"/>
      <c r="V11" s="657"/>
      <c r="W11" s="657"/>
      <c r="X11" s="657"/>
      <c r="Y11" s="657"/>
      <c r="Z11" s="657"/>
      <c r="AA11" s="657"/>
      <c r="AB11" s="657"/>
      <c r="AC11" s="657"/>
      <c r="AD11" s="662"/>
      <c r="AF11" s="427">
        <f t="shared" si="6"/>
        <v>13.833034052134453</v>
      </c>
      <c r="AG11" s="428">
        <f t="shared" si="17"/>
        <v>40.379013719616928</v>
      </c>
      <c r="AH11" s="428">
        <f t="shared" si="7"/>
        <v>69.648169360687092</v>
      </c>
      <c r="AI11" s="428">
        <f t="shared" si="8"/>
        <v>206.06647220809097</v>
      </c>
      <c r="AJ11" s="428">
        <f t="shared" si="9"/>
        <v>15.481684632857631</v>
      </c>
      <c r="AK11" s="428">
        <f t="shared" si="10"/>
        <v>44.502244062820793</v>
      </c>
      <c r="AL11" s="428">
        <f t="shared" si="11"/>
        <v>78.262589804906113</v>
      </c>
      <c r="AM11" s="428">
        <f t="shared" si="12"/>
        <v>229.71810050337351</v>
      </c>
      <c r="AN11" s="428">
        <f t="shared" si="13"/>
        <v>16.575723680246231</v>
      </c>
      <c r="AO11" s="428">
        <f t="shared" si="14"/>
        <v>47.647069309926792</v>
      </c>
      <c r="AP11" s="428">
        <f t="shared" si="15"/>
        <v>83.793146151119458</v>
      </c>
      <c r="AQ11" s="429">
        <f t="shared" si="16"/>
        <v>245.95151293894526</v>
      </c>
      <c r="BB11" s="418">
        <f>'Inhalation Exposure'!I9</f>
        <v>0.15770674846625768</v>
      </c>
      <c r="BC11" s="419">
        <f>'Inhalation Exposure'!J9</f>
        <v>0.15770674846625768</v>
      </c>
      <c r="BD11" s="419">
        <f>'Inhalation Exposure'!K9</f>
        <v>0.10728350235799841</v>
      </c>
      <c r="BE11" s="419">
        <f>'Inhalation Exposure'!L9</f>
        <v>0.10728350235799841</v>
      </c>
      <c r="BF11" s="419">
        <f>'Inhalation Exposure'!M9</f>
        <v>7.8674568395865493E-2</v>
      </c>
      <c r="BG11" s="419">
        <f>'Inhalation Exposure'!N9</f>
        <v>7.8674568395865493E-2</v>
      </c>
      <c r="BH11" s="419">
        <f>'Inhalation Exposure'!O9</f>
        <v>7.34818509301359E-2</v>
      </c>
      <c r="BI11" s="448">
        <f>'Inhalation Exposure'!P9</f>
        <v>7.34818509301359E-2</v>
      </c>
      <c r="BJ11" s="420"/>
      <c r="BK11" s="436">
        <v>1</v>
      </c>
      <c r="BL11" s="431" t="s">
        <v>33</v>
      </c>
      <c r="BM11" s="432" t="s">
        <v>268</v>
      </c>
      <c r="BN11" s="433" t="s">
        <v>73</v>
      </c>
      <c r="BO11" s="434">
        <f>'Dermal Exposure'!T8</f>
        <v>28.087499999999999</v>
      </c>
      <c r="BP11" s="435">
        <f>'Dermal Exposure'!U8</f>
        <v>9.3625000000000007</v>
      </c>
      <c r="BQ11" s="435">
        <f>'Dermal Exposure'!V8</f>
        <v>20.5975</v>
      </c>
      <c r="BR11" s="435">
        <f>'Dermal Exposure'!W8</f>
        <v>6.8658333333333337</v>
      </c>
      <c r="BS11" s="435">
        <f>'Dermal Exposure'!X8</f>
        <v>19.238013698630137</v>
      </c>
      <c r="BT11" s="435">
        <f>'Dermal Exposure'!Y8</f>
        <v>6.4126712328767121</v>
      </c>
    </row>
    <row r="12" spans="1:72" x14ac:dyDescent="0.3">
      <c r="A12" s="306">
        <v>1</v>
      </c>
      <c r="B12" s="647"/>
      <c r="C12" s="308" t="s">
        <v>268</v>
      </c>
      <c r="D12" s="206" t="s">
        <v>73</v>
      </c>
      <c r="E12" s="380" t="s">
        <v>107</v>
      </c>
      <c r="F12" s="424">
        <f>'Hazard Values'!$G$12/BD12</f>
        <v>19.541168632110153</v>
      </c>
      <c r="G12" s="425">
        <f>'Hazard Values'!$G$12/BE12</f>
        <v>308.01833547595629</v>
      </c>
      <c r="H12" s="425">
        <f t="shared" si="0"/>
        <v>195.41168632110154</v>
      </c>
      <c r="I12" s="425">
        <f t="shared" si="1"/>
        <v>3080.1833547595629</v>
      </c>
      <c r="J12" s="425">
        <f>'Hazard Values'!$G$13/BF12</f>
        <v>13.896311083327271</v>
      </c>
      <c r="K12" s="425">
        <f>'Hazard Values'!$G$13/BG12</f>
        <v>219.04107629003857</v>
      </c>
      <c r="L12" s="425">
        <f t="shared" si="2"/>
        <v>138.96311083327271</v>
      </c>
      <c r="M12" s="425">
        <f t="shared" si="3"/>
        <v>2190.4107629003856</v>
      </c>
      <c r="N12" s="425">
        <f>'Hazard Values'!$G$14/BH12</f>
        <v>14.878317066549062</v>
      </c>
      <c r="O12" s="425">
        <f>'Hazard Values'!$G$14/BI12</f>
        <v>234.51997901453461</v>
      </c>
      <c r="P12" s="425">
        <f t="shared" si="4"/>
        <v>148.78317066549062</v>
      </c>
      <c r="Q12" s="426">
        <f t="shared" si="5"/>
        <v>2345.199790145346</v>
      </c>
      <c r="S12" s="654"/>
      <c r="T12" s="657"/>
      <c r="U12" s="657"/>
      <c r="V12" s="657"/>
      <c r="W12" s="657"/>
      <c r="X12" s="657"/>
      <c r="Y12" s="657"/>
      <c r="Z12" s="657"/>
      <c r="AA12" s="657"/>
      <c r="AB12" s="657"/>
      <c r="AC12" s="657"/>
      <c r="AD12" s="662"/>
      <c r="AF12" s="427">
        <f t="shared" si="6"/>
        <v>8.1657928246750107</v>
      </c>
      <c r="AG12" s="428">
        <f t="shared" si="17"/>
        <v>37.024352313090318</v>
      </c>
      <c r="AH12" s="428">
        <f t="shared" si="7"/>
        <v>51.612862140487096</v>
      </c>
      <c r="AI12" s="428">
        <f t="shared" si="8"/>
        <v>196.95918384539897</v>
      </c>
      <c r="AJ12" s="428">
        <f t="shared" si="9"/>
        <v>7.399511348707847</v>
      </c>
      <c r="AK12" s="428">
        <f t="shared" si="10"/>
        <v>39.022574723115298</v>
      </c>
      <c r="AL12" s="428">
        <f t="shared" si="11"/>
        <v>50.421886334165428</v>
      </c>
      <c r="AM12" s="428">
        <f t="shared" si="12"/>
        <v>214.19224700386457</v>
      </c>
      <c r="AN12" s="428">
        <f t="shared" si="13"/>
        <v>7.9224101506831985</v>
      </c>
      <c r="AO12" s="428">
        <f t="shared" si="14"/>
        <v>41.780170003548783</v>
      </c>
      <c r="AP12" s="428">
        <f t="shared" si="15"/>
        <v>53.98503296844644</v>
      </c>
      <c r="AQ12" s="429">
        <f t="shared" si="16"/>
        <v>229.32849912547098</v>
      </c>
      <c r="BB12" s="418">
        <f>'Inhalation Exposure'!I10</f>
        <v>8.0491603629856723</v>
      </c>
      <c r="BC12" s="419">
        <f>'Inhalation Exposure'!J10</f>
        <v>0.51065141871165642</v>
      </c>
      <c r="BD12" s="419">
        <f>'Inhalation Exposure'!K10</f>
        <v>5.4756192945480766</v>
      </c>
      <c r="BE12" s="419">
        <f>'Inhalation Exposure'!L10</f>
        <v>0.34738191749092273</v>
      </c>
      <c r="BF12" s="419">
        <f>'Inhalation Exposure'!M10</f>
        <v>4.0154541493352562</v>
      </c>
      <c r="BG12" s="419">
        <f>'Inhalation Exposure'!N10</f>
        <v>0.25474673949334331</v>
      </c>
      <c r="BH12" s="419">
        <f>'Inhalation Exposure'!O10</f>
        <v>3.750424174347998</v>
      </c>
      <c r="BI12" s="448">
        <f>'Inhalation Exposure'!P10</f>
        <v>0.23793282019926215</v>
      </c>
      <c r="BJ12" s="420"/>
      <c r="BK12" s="436"/>
      <c r="BL12" s="431"/>
      <c r="BM12" s="432"/>
      <c r="BN12" s="433"/>
      <c r="BO12" s="434"/>
      <c r="BP12" s="435"/>
      <c r="BQ12" s="435"/>
      <c r="BR12" s="435"/>
      <c r="BS12" s="435"/>
      <c r="BT12" s="435"/>
    </row>
    <row r="13" spans="1:72" x14ac:dyDescent="0.3">
      <c r="A13" s="306">
        <v>1</v>
      </c>
      <c r="B13" s="647"/>
      <c r="C13" s="308" t="s">
        <v>268</v>
      </c>
      <c r="D13" s="206" t="s">
        <v>73</v>
      </c>
      <c r="E13" s="380" t="s">
        <v>270</v>
      </c>
      <c r="F13" s="424">
        <f>'Hazard Values'!$G$12/BD13</f>
        <v>58.934758222459244</v>
      </c>
      <c r="G13" s="425">
        <f>'Hazard Values'!$G$12/BE13</f>
        <v>137.93241286107485</v>
      </c>
      <c r="H13" s="425">
        <f t="shared" si="0"/>
        <v>589.34758222459243</v>
      </c>
      <c r="I13" s="425">
        <f t="shared" si="1"/>
        <v>1379.3241286107486</v>
      </c>
      <c r="J13" s="425">
        <f>'Hazard Values'!$G$13/BF13</f>
        <v>41.910274114017312</v>
      </c>
      <c r="K13" s="425">
        <f>'Hazard Values'!$G$13/BG13</f>
        <v>98.087875585998006</v>
      </c>
      <c r="L13" s="425">
        <f t="shared" si="2"/>
        <v>419.10274114017312</v>
      </c>
      <c r="M13" s="425">
        <f t="shared" si="3"/>
        <v>980.87875585998006</v>
      </c>
      <c r="N13" s="425">
        <f>'Hazard Values'!$G$14/BH13</f>
        <v>44.871933484741213</v>
      </c>
      <c r="O13" s="425">
        <f>'Hazard Values'!$G$14/BI13</f>
        <v>105.01941879407518</v>
      </c>
      <c r="P13" s="425">
        <f t="shared" si="4"/>
        <v>448.71933484741214</v>
      </c>
      <c r="Q13" s="426">
        <f t="shared" si="5"/>
        <v>1050.1941879407518</v>
      </c>
      <c r="S13" s="654"/>
      <c r="T13" s="657"/>
      <c r="U13" s="657"/>
      <c r="V13" s="657"/>
      <c r="W13" s="657"/>
      <c r="X13" s="657"/>
      <c r="Y13" s="657"/>
      <c r="Z13" s="657"/>
      <c r="AA13" s="657"/>
      <c r="AB13" s="657"/>
      <c r="AC13" s="657"/>
      <c r="AD13" s="662"/>
      <c r="AF13" s="427">
        <f t="shared" si="6"/>
        <v>11.330676121077911</v>
      </c>
      <c r="AG13" s="428">
        <f t="shared" si="17"/>
        <v>32.244939884206474</v>
      </c>
      <c r="AH13" s="428">
        <f t="shared" si="7"/>
        <v>62.678611449395461</v>
      </c>
      <c r="AI13" s="428">
        <f>1/((1/(G13*$AI$5))+((1/($T$7*$AI$4))))</f>
        <v>182.56401136923117</v>
      </c>
      <c r="AJ13" s="428">
        <f t="shared" si="9"/>
        <v>11.488572888951033</v>
      </c>
      <c r="AK13" s="428">
        <f t="shared" si="10"/>
        <v>31.994084031452434</v>
      </c>
      <c r="AL13" s="428">
        <f t="shared" si="11"/>
        <v>66.566582303005276</v>
      </c>
      <c r="AM13" s="428">
        <f t="shared" si="12"/>
        <v>191.14385842352712</v>
      </c>
      <c r="AN13" s="428">
        <f t="shared" si="13"/>
        <v>12.300432039770239</v>
      </c>
      <c r="AO13" s="428">
        <f t="shared" si="14"/>
        <v>34.254999303008404</v>
      </c>
      <c r="AP13" s="428">
        <f t="shared" si="15"/>
        <v>71.270620785750964</v>
      </c>
      <c r="AQ13" s="429">
        <f t="shared" si="16"/>
        <v>204.65135775212306</v>
      </c>
      <c r="BB13" s="418">
        <f>'Inhalation Exposure'!I11</f>
        <v>2.1351067484662578</v>
      </c>
      <c r="BC13" s="419">
        <f>'Inhalation Exposure'!J11</f>
        <v>0.91227288343558299</v>
      </c>
      <c r="BD13" s="419">
        <f>'Inhalation Exposure'!K11</f>
        <v>1.8155669629815117</v>
      </c>
      <c r="BE13" s="419">
        <f>'Inhalation Exposure'!L11</f>
        <v>0.77574224781937307</v>
      </c>
      <c r="BF13" s="419">
        <f>'Inhalation Exposure'!M11</f>
        <v>1.3314157728531086</v>
      </c>
      <c r="BG13" s="419">
        <f>'Inhalation Exposure'!N11</f>
        <v>0.56887764840087351</v>
      </c>
      <c r="BH13" s="419">
        <f>'Inhalation Exposure'!O11</f>
        <v>1.2435390157407613</v>
      </c>
      <c r="BI13" s="448">
        <f>'Inhalation Exposure'!P11</f>
        <v>0.531330306725598</v>
      </c>
      <c r="BJ13" s="420"/>
      <c r="BK13" s="436"/>
      <c r="BL13" s="431"/>
      <c r="BM13" s="432"/>
      <c r="BN13" s="433"/>
      <c r="BO13" s="434"/>
      <c r="BP13" s="435"/>
      <c r="BQ13" s="435"/>
      <c r="BR13" s="435"/>
      <c r="BS13" s="435"/>
      <c r="BT13" s="435"/>
    </row>
    <row r="14" spans="1:72" x14ac:dyDescent="0.3">
      <c r="A14" s="306">
        <v>1</v>
      </c>
      <c r="B14" s="646"/>
      <c r="C14" s="308" t="s">
        <v>268</v>
      </c>
      <c r="D14" s="206" t="s">
        <v>73</v>
      </c>
      <c r="E14" s="380" t="s">
        <v>269</v>
      </c>
      <c r="F14" s="424">
        <f>'Hazard Values'!$G$12/BD14</f>
        <v>55.773619335643964</v>
      </c>
      <c r="G14" s="425">
        <f>'Hazard Values'!$G$12/BE14</f>
        <v>568.04586238514935</v>
      </c>
      <c r="H14" s="425">
        <f t="shared" si="0"/>
        <v>557.73619335643968</v>
      </c>
      <c r="I14" s="425">
        <f t="shared" si="1"/>
        <v>5680.458623851493</v>
      </c>
      <c r="J14" s="425">
        <f>'Hazard Values'!$G$13/BF14</f>
        <v>39.662293444293965</v>
      </c>
      <c r="K14" s="425">
        <f>'Hazard Values'!$G$13/BG14</f>
        <v>403.95444929173323</v>
      </c>
      <c r="L14" s="425">
        <f t="shared" si="2"/>
        <v>396.62293444293965</v>
      </c>
      <c r="M14" s="425">
        <f t="shared" si="3"/>
        <v>4039.5444929173323</v>
      </c>
      <c r="N14" s="425">
        <f>'Hazard Values'!$G$14/BH14</f>
        <v>42.465095514357401</v>
      </c>
      <c r="O14" s="425">
        <f>'Hazard Values'!$G$14/BI14</f>
        <v>432.50056370834909</v>
      </c>
      <c r="P14" s="425">
        <f t="shared" si="4"/>
        <v>424.65095514357404</v>
      </c>
      <c r="Q14" s="426">
        <f t="shared" si="5"/>
        <v>4325.0056370834909</v>
      </c>
      <c r="S14" s="655"/>
      <c r="T14" s="657"/>
      <c r="U14" s="657"/>
      <c r="V14" s="657"/>
      <c r="W14" s="657"/>
      <c r="X14" s="657"/>
      <c r="Y14" s="657"/>
      <c r="Z14" s="657"/>
      <c r="AA14" s="657"/>
      <c r="AB14" s="657"/>
      <c r="AC14" s="657"/>
      <c r="AD14" s="662"/>
      <c r="AF14" s="427">
        <f t="shared" si="6"/>
        <v>11.208538889564078</v>
      </c>
      <c r="AG14" s="428">
        <f t="shared" si="17"/>
        <v>39.180175832561261</v>
      </c>
      <c r="AH14" s="428">
        <f t="shared" si="7"/>
        <v>62.303057812711891</v>
      </c>
      <c r="AI14" s="428">
        <f t="shared" si="8"/>
        <v>202.89818983820678</v>
      </c>
      <c r="AJ14" s="428">
        <f t="shared" si="9"/>
        <v>11.312808548383931</v>
      </c>
      <c r="AK14" s="428">
        <f t="shared" si="10"/>
        <v>42.487444276718655</v>
      </c>
      <c r="AL14" s="428">
        <f t="shared" si="11"/>
        <v>65.972680508470702</v>
      </c>
      <c r="AM14" s="428">
        <f t="shared" si="12"/>
        <v>224.22930606458937</v>
      </c>
      <c r="AN14" s="428">
        <f t="shared" si="13"/>
        <v>12.112247019136392</v>
      </c>
      <c r="AO14" s="428">
        <f t="shared" si="14"/>
        <v>45.489890338940107</v>
      </c>
      <c r="AP14" s="428">
        <f t="shared" si="15"/>
        <v>70.634749931069294</v>
      </c>
      <c r="AQ14" s="429">
        <f t="shared" si="16"/>
        <v>240.07484369315372</v>
      </c>
      <c r="BB14" s="418">
        <f>'Inhalation Exposure'!I12</f>
        <v>1.8801003278800263</v>
      </c>
      <c r="BC14" s="419">
        <f>'Inhalation Exposure'!J12</f>
        <v>0.18459777096114521</v>
      </c>
      <c r="BD14" s="419">
        <f>'Inhalation Exposure'!K12</f>
        <v>1.9184697223265577</v>
      </c>
      <c r="BE14" s="419">
        <f>'Inhalation Exposure'!L12</f>
        <v>0.18836507240933181</v>
      </c>
      <c r="BF14" s="419">
        <f>'Inhalation Exposure'!M12</f>
        <v>1.406877796372809</v>
      </c>
      <c r="BG14" s="419">
        <f>'Inhalation Exposure'!N12</f>
        <v>0.13813438643351</v>
      </c>
      <c r="BH14" s="419">
        <f>'Inhalation Exposure'!O12</f>
        <v>1.3140203577579164</v>
      </c>
      <c r="BI14" s="448">
        <f>'Inhalation Exposure'!P12</f>
        <v>0.12901717288310396</v>
      </c>
      <c r="BJ14" s="420"/>
      <c r="BK14" s="436"/>
      <c r="BL14" s="431"/>
      <c r="BM14" s="432"/>
      <c r="BN14" s="433"/>
      <c r="BO14" s="434"/>
      <c r="BP14" s="435"/>
      <c r="BQ14" s="435"/>
      <c r="BR14" s="435"/>
      <c r="BS14" s="435"/>
      <c r="BT14" s="435"/>
    </row>
    <row r="15" spans="1:72" ht="26" x14ac:dyDescent="0.3">
      <c r="A15" s="305">
        <v>1</v>
      </c>
      <c r="B15" s="645" t="s">
        <v>243</v>
      </c>
      <c r="C15" s="308" t="s">
        <v>263</v>
      </c>
      <c r="D15" s="206" t="s">
        <v>54</v>
      </c>
      <c r="E15" s="380" t="s">
        <v>107</v>
      </c>
      <c r="F15" s="424">
        <f>'Hazard Values'!$G$12/BD15</f>
        <v>518.62587235764136</v>
      </c>
      <c r="G15" s="425">
        <f>'Hazard Values'!$G$12/BE15</f>
        <v>518.62587235764136</v>
      </c>
      <c r="H15" s="425">
        <f t="shared" si="0"/>
        <v>5186.2587235764131</v>
      </c>
      <c r="I15" s="425">
        <f t="shared" si="1"/>
        <v>5186.2587235764131</v>
      </c>
      <c r="J15" s="425">
        <f>'Hazard Values'!$G$13/BF15</f>
        <v>368.81041220335243</v>
      </c>
      <c r="K15" s="425">
        <f>'Hazard Values'!$G$13/BG15</f>
        <v>368.81041220335243</v>
      </c>
      <c r="L15" s="425">
        <f t="shared" si="2"/>
        <v>3688.1041220335242</v>
      </c>
      <c r="M15" s="425">
        <f t="shared" si="3"/>
        <v>3688.1041220335242</v>
      </c>
      <c r="N15" s="425">
        <f>'Hazard Values'!$G$14/BH15</f>
        <v>394.87301466572268</v>
      </c>
      <c r="O15" s="425">
        <f>'Hazard Values'!$G$14/BI15</f>
        <v>420.07767517630072</v>
      </c>
      <c r="P15" s="425">
        <f t="shared" si="4"/>
        <v>3948.7301466572267</v>
      </c>
      <c r="Q15" s="426">
        <f t="shared" si="5"/>
        <v>4200.7767517630073</v>
      </c>
      <c r="S15" s="663">
        <f>'Hazard Values'!$I$12/'Bridge Table'!BO15</f>
        <v>14.027592345349355</v>
      </c>
      <c r="T15" s="657">
        <f>'Hazard Values'!$I$12/BP15</f>
        <v>42.082777036048064</v>
      </c>
      <c r="U15" s="657">
        <f>'Hazard Values'!$I$12/(BO15/'Bridge Table'!$V$5)</f>
        <v>70.137961726746781</v>
      </c>
      <c r="V15" s="657">
        <f>'Hazard Values'!$I$12/(BP15/'Bridge Table'!$V$5)</f>
        <v>210.41388518024033</v>
      </c>
      <c r="W15" s="657">
        <f>'Hazard Values'!$I$13/BQ15</f>
        <v>15.827163490714893</v>
      </c>
      <c r="X15" s="657">
        <f>'Hazard Values'!$I$13/BR15</f>
        <v>47.481490472144678</v>
      </c>
      <c r="Y15" s="657">
        <f>'Hazard Values'!$I$13/(BQ15/$Z$5)</f>
        <v>79.135817453574461</v>
      </c>
      <c r="Z15" s="657">
        <f>'Hazard Values'!$I$13/(BR15/$Z$5)</f>
        <v>237.4074523607234</v>
      </c>
      <c r="AA15" s="657">
        <f>'Hazard Values'!$I$14/'Bridge Table'!BS15</f>
        <v>16.945616377392078</v>
      </c>
      <c r="AB15" s="657">
        <f>'Hazard Values'!$I$14/'Bridge Table'!BT15</f>
        <v>54.081754395932165</v>
      </c>
      <c r="AC15" s="657">
        <f>'Hazard Values'!$I$14/(BS15/$AD$5)</f>
        <v>84.728081886960396</v>
      </c>
      <c r="AD15" s="662">
        <f>'Hazard Values'!$I$14/(BT15/$AD$5)</f>
        <v>270.40877197966086</v>
      </c>
      <c r="AF15" s="427">
        <v>39</v>
      </c>
      <c r="AG15" s="428">
        <f>(1/((1/G15)+(1/$T$15)))</f>
        <v>38.924345067893611</v>
      </c>
      <c r="AH15" s="428">
        <v>202</v>
      </c>
      <c r="AI15" s="428">
        <f>1/((1/(G15*$AI$5))+((1/($T$15*$AI$4))))</f>
        <v>202.20994058578702</v>
      </c>
      <c r="AJ15" s="428">
        <v>42</v>
      </c>
      <c r="AK15" s="428">
        <f>(1/((1/K15)+(1/$X$15)))</f>
        <v>42.065838803287313</v>
      </c>
      <c r="AL15" s="428">
        <v>223</v>
      </c>
      <c r="AM15" s="428">
        <f>1/((1/(K15*$AM$5))+(1/($X$15*$AM$4)))</f>
        <v>223.0495024812592</v>
      </c>
      <c r="AN15" s="428">
        <v>48</v>
      </c>
      <c r="AO15" s="428">
        <f>(1/((1/O15)+(1/$AB$15)))</f>
        <v>47.913288736226534</v>
      </c>
      <c r="AP15" s="428">
        <v>254</v>
      </c>
      <c r="AQ15" s="429">
        <f>1/((1/(O15*$AM$5))+(1/($AB$15*$AM$4)))</f>
        <v>254.05496523751938</v>
      </c>
      <c r="BB15" s="418">
        <f>'Inhalation Exposure'!I13</f>
        <v>0.30328220858895705</v>
      </c>
      <c r="BC15" s="419">
        <f>'Inhalation Exposure'!J13</f>
        <v>0.30328220858895705</v>
      </c>
      <c r="BD15" s="419">
        <f>'Inhalation Exposure'!K13</f>
        <v>0.2063144276115354</v>
      </c>
      <c r="BE15" s="419">
        <f>'Inhalation Exposure'!L13</f>
        <v>0.2063144276115354</v>
      </c>
      <c r="BF15" s="419">
        <f>'Inhalation Exposure'!M13</f>
        <v>0.15129724691512597</v>
      </c>
      <c r="BG15" s="419">
        <f>'Inhalation Exposure'!N13</f>
        <v>0.15129724691512597</v>
      </c>
      <c r="BH15" s="419">
        <f>'Inhalation Exposure'!O13</f>
        <v>0.14131125178872286</v>
      </c>
      <c r="BI15" s="448">
        <f>'Inhalation Exposure'!P13</f>
        <v>0.1328325766813995</v>
      </c>
      <c r="BJ15" s="420"/>
      <c r="BK15" s="430">
        <v>1</v>
      </c>
      <c r="BL15" s="431" t="s">
        <v>243</v>
      </c>
      <c r="BM15" s="432" t="s">
        <v>264</v>
      </c>
      <c r="BN15" s="433" t="s">
        <v>73</v>
      </c>
      <c r="BO15" s="434">
        <f>'Dermal Exposure'!T9</f>
        <v>28.087499999999999</v>
      </c>
      <c r="BP15" s="435">
        <f>'Dermal Exposure'!U9</f>
        <v>9.3625000000000007</v>
      </c>
      <c r="BQ15" s="435">
        <f>'Dermal Exposure'!V9</f>
        <v>20.5975</v>
      </c>
      <c r="BR15" s="435">
        <f>'Dermal Exposure'!W9</f>
        <v>6.8658333333333337</v>
      </c>
      <c r="BS15" s="435">
        <f>'Dermal Exposure'!X9</f>
        <v>19.238013698630137</v>
      </c>
      <c r="BT15" s="435">
        <f>'Dermal Exposure'!Y9</f>
        <v>6.0279109589041093</v>
      </c>
    </row>
    <row r="16" spans="1:72" ht="26" x14ac:dyDescent="0.3">
      <c r="A16" s="305">
        <v>1</v>
      </c>
      <c r="B16" s="647"/>
      <c r="C16" s="308" t="s">
        <v>264</v>
      </c>
      <c r="D16" s="206" t="s">
        <v>73</v>
      </c>
      <c r="E16" s="380" t="s">
        <v>107</v>
      </c>
      <c r="F16" s="424">
        <f>'Hazard Values'!$G$12/BD16</f>
        <v>16.207058511176296</v>
      </c>
      <c r="G16" s="425">
        <f>'Hazard Values'!$G$12/BE16</f>
        <v>54.023528370587634</v>
      </c>
      <c r="H16" s="425">
        <f t="shared" si="0"/>
        <v>162.07058511176297</v>
      </c>
      <c r="I16" s="425">
        <f t="shared" si="1"/>
        <v>540.23528370587633</v>
      </c>
      <c r="J16" s="425">
        <f>'Hazard Values'!$G$13/BF16</f>
        <v>11.525325381354765</v>
      </c>
      <c r="K16" s="425">
        <f>'Hazard Values'!$G$13/BG16</f>
        <v>38.417751271182539</v>
      </c>
      <c r="L16" s="425">
        <f t="shared" si="2"/>
        <v>115.25325381354764</v>
      </c>
      <c r="M16" s="425">
        <f t="shared" si="3"/>
        <v>384.17751271182539</v>
      </c>
      <c r="N16" s="425">
        <f>'Hazard Values'!$G$14/BH16</f>
        <v>12.339781708303837</v>
      </c>
      <c r="O16" s="425">
        <f>'Hazard Values'!$G$14/BI16</f>
        <v>43.758091164197992</v>
      </c>
      <c r="P16" s="425">
        <f t="shared" si="4"/>
        <v>123.39781708303838</v>
      </c>
      <c r="Q16" s="426">
        <f t="shared" si="5"/>
        <v>437.58091164197992</v>
      </c>
      <c r="S16" s="663"/>
      <c r="T16" s="657"/>
      <c r="U16" s="657"/>
      <c r="V16" s="657"/>
      <c r="W16" s="657"/>
      <c r="X16" s="657"/>
      <c r="Y16" s="657"/>
      <c r="Z16" s="657"/>
      <c r="AA16" s="657"/>
      <c r="AB16" s="657"/>
      <c r="AC16" s="657"/>
      <c r="AD16" s="662"/>
      <c r="AF16" s="427">
        <f t="shared" ref="AF16:AF22" si="18">(1/((1/F16)+(1/$S$15)))</f>
        <v>7.5193859850025966</v>
      </c>
      <c r="AG16" s="428">
        <f t="shared" ref="AG16:AG22" si="19">(1/((1/G16)+(1/$T$15)))</f>
        <v>23.655680961835042</v>
      </c>
      <c r="AH16" s="428">
        <f t="shared" ref="AH16:AH22" si="20">1/((1/(F16*$AI$5))+((1/($S$15*$AI$4))))</f>
        <v>48.952980630405975</v>
      </c>
      <c r="AI16" s="428">
        <f t="shared" ref="AI16:AI22" si="21">1/((1/(G16*$AI$5))+((1/($T$15*$AI$4))))</f>
        <v>151.43293254381595</v>
      </c>
      <c r="AJ16" s="428">
        <f t="shared" ref="AJ16:AJ22" si="22">(1/((1/J16)+(1/$W$15)))</f>
        <v>6.6689802872255157</v>
      </c>
      <c r="AK16" s="428">
        <f t="shared" ref="AK16:AK22" si="23">(1/((1/K16)+(1/$X$15)))</f>
        <v>21.235718196378365</v>
      </c>
      <c r="AL16" s="428">
        <f t="shared" ref="AL16:AL22" si="24">1/((1/(J16*$AM$5))+(1/($W$15*$AM$4)))</f>
        <v>46.919615363489875</v>
      </c>
      <c r="AM16" s="428">
        <f t="shared" ref="AM16:AM22" si="25">1/((1/(K16*$AM$5))+(1/($X$15*$AM$4)))</f>
        <v>146.73232087675839</v>
      </c>
      <c r="AN16" s="428">
        <f t="shared" ref="AN16:AN22" si="26">(1/((1/N16)+(1/$AA$15)))</f>
        <v>7.1402548941894537</v>
      </c>
      <c r="AO16" s="428">
        <f t="shared" ref="AO16:AO22" si="27">(1/((1/O16)+(1/$AB$15)))</f>
        <v>24.187633633605433</v>
      </c>
      <c r="AP16" s="428">
        <f t="shared" ref="AP16:AP22" si="28">1/((1/(N16*$AM$5))+(1/($AA$15*$AM$4)))</f>
        <v>50.235268182509834</v>
      </c>
      <c r="AQ16" s="429">
        <f t="shared" ref="AQ16:AQ22" si="29">1/((1/(O16*$AM$5))+(1/($AB$15*$AM$4)))</f>
        <v>167.12915413338584</v>
      </c>
      <c r="BB16" s="418">
        <f>'Inhalation Exposure'!I14</f>
        <v>9.705030674846622</v>
      </c>
      <c r="BC16" s="419">
        <f>'Inhalation Exposure'!J14</f>
        <v>2.9115092024539879</v>
      </c>
      <c r="BD16" s="419">
        <f>'Inhalation Exposure'!K14</f>
        <v>6.602061683569131</v>
      </c>
      <c r="BE16" s="419">
        <f>'Inhalation Exposure'!L14</f>
        <v>1.9806185050707401</v>
      </c>
      <c r="BF16" s="419">
        <f>'Inhalation Exposure'!M14</f>
        <v>4.8415119012840302</v>
      </c>
      <c r="BG16" s="419">
        <f>'Inhalation Exposure'!N14</f>
        <v>1.4524535703852095</v>
      </c>
      <c r="BH16" s="419">
        <f>'Inhalation Exposure'!O14</f>
        <v>4.5219600572391307</v>
      </c>
      <c r="BI16" s="448">
        <f>'Inhalation Exposure'!P14</f>
        <v>1.2751927361414352</v>
      </c>
      <c r="BJ16" s="420"/>
      <c r="BK16" s="430">
        <v>1</v>
      </c>
      <c r="BL16" s="431" t="s">
        <v>243</v>
      </c>
      <c r="BM16" s="432" t="s">
        <v>265</v>
      </c>
      <c r="BN16" s="433" t="s">
        <v>73</v>
      </c>
      <c r="BO16" s="434">
        <f>'Dermal Exposure'!T10</f>
        <v>28.087499999999999</v>
      </c>
      <c r="BP16" s="435">
        <f>'Dermal Exposure'!U10</f>
        <v>9.3625000000000007</v>
      </c>
      <c r="BQ16" s="435">
        <f>'Dermal Exposure'!V10</f>
        <v>20.5975</v>
      </c>
      <c r="BR16" s="435">
        <f>'Dermal Exposure'!W10</f>
        <v>6.8658333333333337</v>
      </c>
      <c r="BS16" s="435">
        <f>'Dermal Exposure'!X10</f>
        <v>19.238013698630137</v>
      </c>
      <c r="BT16" s="435">
        <f>'Dermal Exposure'!Y10</f>
        <v>6.0279109589041093</v>
      </c>
    </row>
    <row r="17" spans="1:72" ht="26" x14ac:dyDescent="0.3">
      <c r="A17" s="305">
        <v>1</v>
      </c>
      <c r="B17" s="647"/>
      <c r="C17" s="308" t="s">
        <v>265</v>
      </c>
      <c r="D17" s="206" t="s">
        <v>73</v>
      </c>
      <c r="E17" s="380" t="s">
        <v>107</v>
      </c>
      <c r="F17" s="424">
        <f>'Hazard Values'!$G$12/BD17</f>
        <v>3.3677004698548143</v>
      </c>
      <c r="G17" s="425">
        <f>'Hazard Values'!$G$12/BE17</f>
        <v>648.28234044705164</v>
      </c>
      <c r="H17" s="425">
        <f t="shared" si="0"/>
        <v>33.677004698548146</v>
      </c>
      <c r="I17" s="425">
        <f t="shared" si="1"/>
        <v>6482.8234044705168</v>
      </c>
      <c r="J17" s="425">
        <f>'Hazard Values'!$G$13/BF17</f>
        <v>2.3948728065152758</v>
      </c>
      <c r="K17" s="425">
        <f>'Hazard Values'!$G$13/BG17</f>
        <v>461.01301525419041</v>
      </c>
      <c r="L17" s="425">
        <f t="shared" si="2"/>
        <v>23.948728065152757</v>
      </c>
      <c r="M17" s="425">
        <f t="shared" si="3"/>
        <v>4610.130152541904</v>
      </c>
      <c r="N17" s="425">
        <f>'Hazard Values'!$G$14/BH17</f>
        <v>2.564110484842355</v>
      </c>
      <c r="O17" s="425">
        <f>'Hazard Values'!$G$14/BI17</f>
        <v>525.09709397037579</v>
      </c>
      <c r="P17" s="425">
        <f t="shared" si="4"/>
        <v>25.641104848423552</v>
      </c>
      <c r="Q17" s="426">
        <f>O17*$Q$5</f>
        <v>5250.9709397037577</v>
      </c>
      <c r="S17" s="663"/>
      <c r="T17" s="657"/>
      <c r="U17" s="657"/>
      <c r="V17" s="657"/>
      <c r="W17" s="657"/>
      <c r="X17" s="657"/>
      <c r="Y17" s="657"/>
      <c r="Z17" s="657"/>
      <c r="AA17" s="657"/>
      <c r="AB17" s="657"/>
      <c r="AC17" s="657"/>
      <c r="AD17" s="662"/>
      <c r="AF17" s="427">
        <f t="shared" si="18"/>
        <v>2.7157191220762069</v>
      </c>
      <c r="AG17" s="428">
        <f t="shared" si="19"/>
        <v>39.517525579656095</v>
      </c>
      <c r="AH17" s="428">
        <f t="shared" si="20"/>
        <v>22.752369412149825</v>
      </c>
      <c r="AI17" s="428">
        <f t="shared" si="21"/>
        <v>203.79914837043071</v>
      </c>
      <c r="AJ17" s="428">
        <f t="shared" si="22"/>
        <v>2.0801211692211408</v>
      </c>
      <c r="AK17" s="428">
        <f t="shared" si="23"/>
        <v>43.047830104003545</v>
      </c>
      <c r="AL17" s="428">
        <f t="shared" si="24"/>
        <v>18.384930183981123</v>
      </c>
      <c r="AM17" s="428">
        <f t="shared" si="25"/>
        <v>225.78045675383913</v>
      </c>
      <c r="AN17" s="428">
        <f t="shared" si="26"/>
        <v>2.2271163985127678</v>
      </c>
      <c r="AO17" s="428">
        <f t="shared" si="27"/>
        <v>49.031783792219642</v>
      </c>
      <c r="AP17" s="428">
        <f t="shared" si="28"/>
        <v>19.684131916982455</v>
      </c>
      <c r="AQ17" s="429">
        <f t="shared" si="29"/>
        <v>257.16554152245794</v>
      </c>
      <c r="BB17" s="418">
        <f>'Inhalation Exposure'!I15</f>
        <v>46.705460122699385</v>
      </c>
      <c r="BC17" s="419">
        <f>'Inhalation Exposure'!J15</f>
        <v>0.24262576687116569</v>
      </c>
      <c r="BD17" s="419">
        <f>'Inhalation Exposure'!K15</f>
        <v>31.77242185217645</v>
      </c>
      <c r="BE17" s="419">
        <f>'Inhalation Exposure'!L15</f>
        <v>0.16505154208922834</v>
      </c>
      <c r="BF17" s="419">
        <f>'Inhalation Exposure'!M15</f>
        <v>23.299776024929397</v>
      </c>
      <c r="BG17" s="419">
        <f>'Inhalation Exposure'!N15</f>
        <v>0.1210377975321008</v>
      </c>
      <c r="BH17" s="419">
        <f>'Inhalation Exposure'!O15</f>
        <v>21.761932775463322</v>
      </c>
      <c r="BI17" s="448">
        <f>'Inhalation Exposure'!P15</f>
        <v>0.10626606134511962</v>
      </c>
      <c r="BJ17" s="420"/>
      <c r="BK17" s="436">
        <v>1</v>
      </c>
      <c r="BL17" s="431" t="s">
        <v>243</v>
      </c>
      <c r="BM17" s="432" t="s">
        <v>266</v>
      </c>
      <c r="BN17" s="433" t="s">
        <v>73</v>
      </c>
      <c r="BO17" s="434">
        <f>'Dermal Exposure'!T11</f>
        <v>28.087499999999999</v>
      </c>
      <c r="BP17" s="435">
        <f>'Dermal Exposure'!U11</f>
        <v>9.3625000000000007</v>
      </c>
      <c r="BQ17" s="435">
        <f>'Dermal Exposure'!V11</f>
        <v>20.5975</v>
      </c>
      <c r="BR17" s="435">
        <f>'Dermal Exposure'!W11</f>
        <v>6.8658333333333337</v>
      </c>
      <c r="BS17" s="435">
        <f>'Dermal Exposure'!X11</f>
        <v>19.238013698630137</v>
      </c>
      <c r="BT17" s="435">
        <f>'Dermal Exposure'!Y11</f>
        <v>6.0279109589041093</v>
      </c>
    </row>
    <row r="18" spans="1:72" ht="26" x14ac:dyDescent="0.3">
      <c r="A18" s="306">
        <v>1</v>
      </c>
      <c r="B18" s="647"/>
      <c r="C18" s="308" t="s">
        <v>266</v>
      </c>
      <c r="D18" s="206" t="s">
        <v>73</v>
      </c>
      <c r="E18" s="380" t="s">
        <v>269</v>
      </c>
      <c r="F18" s="424">
        <f>'Hazard Values'!$G$12/BD18</f>
        <v>30.628416529482646</v>
      </c>
      <c r="G18" s="425">
        <f>'Hazard Values'!$G$12/BE18</f>
        <v>314.84344960245346</v>
      </c>
      <c r="H18" s="425">
        <f t="shared" si="0"/>
        <v>306.28416529482644</v>
      </c>
      <c r="I18" s="425">
        <f t="shared" si="1"/>
        <v>3148.4344960245344</v>
      </c>
      <c r="J18" s="425">
        <f>'Hazard Values'!$G$13/BF18</f>
        <v>21.780785586386553</v>
      </c>
      <c r="K18" s="425">
        <f>'Hazard Values'!$G$13/BG18</f>
        <v>223.89461964082713</v>
      </c>
      <c r="L18" s="425">
        <f t="shared" si="2"/>
        <v>217.80785586386554</v>
      </c>
      <c r="M18" s="425">
        <f t="shared" si="3"/>
        <v>2238.9461964082711</v>
      </c>
      <c r="N18" s="425">
        <f>'Hazard Values'!$G$14/BH18</f>
        <v>23.319961101157872</v>
      </c>
      <c r="O18" s="425">
        <f>'Hazard Values'!$G$14/BI18</f>
        <v>255.01755967600593</v>
      </c>
      <c r="P18" s="425">
        <f t="shared" si="4"/>
        <v>233.19961101157872</v>
      </c>
      <c r="Q18" s="426">
        <f t="shared" si="5"/>
        <v>2550.1755967600593</v>
      </c>
      <c r="S18" s="663"/>
      <c r="T18" s="657"/>
      <c r="U18" s="657"/>
      <c r="V18" s="657"/>
      <c r="W18" s="657"/>
      <c r="X18" s="657"/>
      <c r="Y18" s="657"/>
      <c r="Z18" s="657"/>
      <c r="AA18" s="657"/>
      <c r="AB18" s="657"/>
      <c r="AC18" s="657"/>
      <c r="AD18" s="662"/>
      <c r="AF18" s="427">
        <f t="shared" si="18"/>
        <v>9.6211674998409453</v>
      </c>
      <c r="AG18" s="428">
        <f t="shared" si="19"/>
        <v>37.121079097108485</v>
      </c>
      <c r="AH18" s="428">
        <f t="shared" si="20"/>
        <v>57.069299387190242</v>
      </c>
      <c r="AI18" s="428">
        <f t="shared" si="21"/>
        <v>197.23258074137701</v>
      </c>
      <c r="AJ18" s="428">
        <f t="shared" si="22"/>
        <v>9.1663614446298762</v>
      </c>
      <c r="AK18" s="428">
        <f t="shared" si="23"/>
        <v>39.173861858418</v>
      </c>
      <c r="AL18" s="428">
        <f t="shared" si="24"/>
        <v>58.046034552725395</v>
      </c>
      <c r="AM18" s="428">
        <f t="shared" si="25"/>
        <v>214.64725473530461</v>
      </c>
      <c r="AN18" s="428">
        <f t="shared" si="26"/>
        <v>9.81411765338372</v>
      </c>
      <c r="AO18" s="428">
        <f t="shared" si="27"/>
        <v>44.619306485545607</v>
      </c>
      <c r="AP18" s="428">
        <f t="shared" si="28"/>
        <v>62.147954327784639</v>
      </c>
      <c r="AQ18" s="429">
        <f t="shared" si="29"/>
        <v>244.48474546446758</v>
      </c>
      <c r="BB18" s="418">
        <f>'Inhalation Exposure'!I16</f>
        <v>3.42361806066803</v>
      </c>
      <c r="BC18" s="419">
        <f>'Inhalation Exposure'!J16</f>
        <v>0.33305441206543968</v>
      </c>
      <c r="BD18" s="419">
        <f>'Inhalation Exposure'!K16</f>
        <v>3.4934878170081936</v>
      </c>
      <c r="BE18" s="419">
        <f>'Inhalation Exposure'!L16</f>
        <v>0.33985144088310165</v>
      </c>
      <c r="BF18" s="419">
        <f>'Inhalation Exposure'!M16</f>
        <v>2.5618910658060088</v>
      </c>
      <c r="BG18" s="419">
        <f>'Inhalation Exposure'!N16</f>
        <v>0.24922438998094121</v>
      </c>
      <c r="BH18" s="419">
        <f>'Inhalation Exposure'!O16</f>
        <v>2.392799874663146</v>
      </c>
      <c r="BI18" s="448">
        <f>'Inhalation Exposure'!P16</f>
        <v>0.21880846193843531</v>
      </c>
      <c r="BJ18" s="420"/>
      <c r="BK18" s="436">
        <v>1</v>
      </c>
      <c r="BL18" s="431" t="s">
        <v>243</v>
      </c>
      <c r="BM18" s="432" t="s">
        <v>267</v>
      </c>
      <c r="BN18" s="433" t="s">
        <v>73</v>
      </c>
      <c r="BO18" s="434">
        <f>'Dermal Exposure'!T12</f>
        <v>28.087499999999999</v>
      </c>
      <c r="BP18" s="435">
        <f>'Dermal Exposure'!U12</f>
        <v>9.3625000000000007</v>
      </c>
      <c r="BQ18" s="435">
        <f>'Dermal Exposure'!V12</f>
        <v>20.5975</v>
      </c>
      <c r="BR18" s="435">
        <f>'Dermal Exposure'!W12</f>
        <v>6.8658333333333337</v>
      </c>
      <c r="BS18" s="435">
        <f>'Dermal Exposure'!X12</f>
        <v>19.238013698630137</v>
      </c>
      <c r="BT18" s="435">
        <f>'Dermal Exposure'!Y12</f>
        <v>6.0279109589041093</v>
      </c>
    </row>
    <row r="19" spans="1:72" ht="26" x14ac:dyDescent="0.3">
      <c r="A19" s="306">
        <v>1</v>
      </c>
      <c r="B19" s="647"/>
      <c r="C19" s="308" t="s">
        <v>267</v>
      </c>
      <c r="D19" s="206" t="s">
        <v>73</v>
      </c>
      <c r="E19" s="380" t="s">
        <v>107</v>
      </c>
      <c r="F19" s="424">
        <f>'Hazard Values'!$G$12/BD19</f>
        <v>997.35744684161796</v>
      </c>
      <c r="G19" s="425">
        <f>'Hazard Values'!$G$12/BE19</f>
        <v>997.35744684161796</v>
      </c>
      <c r="H19" s="425">
        <f t="shared" si="0"/>
        <v>9973.57446841618</v>
      </c>
      <c r="I19" s="425">
        <f t="shared" si="1"/>
        <v>9973.57446841618</v>
      </c>
      <c r="J19" s="425">
        <f>'Hazard Values'!$G$13/BF19</f>
        <v>709.25079269875471</v>
      </c>
      <c r="K19" s="425">
        <f>'Hazard Values'!$G$13/BG19</f>
        <v>709.25079269875471</v>
      </c>
      <c r="L19" s="425">
        <f t="shared" si="2"/>
        <v>7092.5079269875469</v>
      </c>
      <c r="M19" s="425">
        <f t="shared" si="3"/>
        <v>7092.5079269875469</v>
      </c>
      <c r="N19" s="425">
        <f>'Hazard Values'!$G$14/BH19</f>
        <v>759.3711820494666</v>
      </c>
      <c r="O19" s="425">
        <f>'Hazard Values'!$G$14/BI19</f>
        <v>807.84168303134743</v>
      </c>
      <c r="P19" s="425">
        <f t="shared" si="4"/>
        <v>7593.7118204946655</v>
      </c>
      <c r="Q19" s="426">
        <f t="shared" si="5"/>
        <v>8078.4168303134738</v>
      </c>
      <c r="S19" s="663"/>
      <c r="T19" s="657"/>
      <c r="U19" s="657"/>
      <c r="V19" s="657"/>
      <c r="W19" s="657"/>
      <c r="X19" s="657"/>
      <c r="Y19" s="657"/>
      <c r="Z19" s="657"/>
      <c r="AA19" s="657"/>
      <c r="AB19" s="657"/>
      <c r="AC19" s="657"/>
      <c r="AD19" s="662"/>
      <c r="AF19" s="427">
        <f t="shared" si="18"/>
        <v>13.833034052134453</v>
      </c>
      <c r="AG19" s="428">
        <f t="shared" si="19"/>
        <v>40.379013719616928</v>
      </c>
      <c r="AH19" s="428">
        <f t="shared" si="20"/>
        <v>69.648169360687092</v>
      </c>
      <c r="AI19" s="428">
        <f t="shared" si="21"/>
        <v>206.06647220809097</v>
      </c>
      <c r="AJ19" s="428">
        <f t="shared" si="22"/>
        <v>15.481684632857631</v>
      </c>
      <c r="AK19" s="428">
        <f t="shared" si="23"/>
        <v>44.502244062820793</v>
      </c>
      <c r="AL19" s="428">
        <f t="shared" si="24"/>
        <v>78.262589804906113</v>
      </c>
      <c r="AM19" s="428">
        <f t="shared" si="25"/>
        <v>229.71810050337351</v>
      </c>
      <c r="AN19" s="428">
        <f t="shared" si="26"/>
        <v>16.575723680246231</v>
      </c>
      <c r="AO19" s="428">
        <f t="shared" si="27"/>
        <v>50.688371606305097</v>
      </c>
      <c r="AP19" s="428">
        <f t="shared" si="28"/>
        <v>83.793146151119458</v>
      </c>
      <c r="AQ19" s="429">
        <f t="shared" si="29"/>
        <v>261.65054567972902</v>
      </c>
      <c r="BB19" s="418">
        <f>'Inhalation Exposure'!I17</f>
        <v>0.15770674846625768</v>
      </c>
      <c r="BC19" s="419">
        <f>'Inhalation Exposure'!J17</f>
        <v>0.15770674846625768</v>
      </c>
      <c r="BD19" s="419">
        <f>'Inhalation Exposure'!K17</f>
        <v>0.10728350235799841</v>
      </c>
      <c r="BE19" s="419">
        <f>'Inhalation Exposure'!L17</f>
        <v>0.10728350235799841</v>
      </c>
      <c r="BF19" s="419">
        <f>'Inhalation Exposure'!M17</f>
        <v>7.8674568395865493E-2</v>
      </c>
      <c r="BG19" s="419">
        <f>'Inhalation Exposure'!N17</f>
        <v>7.8674568395865493E-2</v>
      </c>
      <c r="BH19" s="419">
        <f>'Inhalation Exposure'!O17</f>
        <v>7.34818509301359E-2</v>
      </c>
      <c r="BI19" s="448">
        <f>'Inhalation Exposure'!P17</f>
        <v>6.9072939874327749E-2</v>
      </c>
      <c r="BJ19" s="420"/>
      <c r="BK19" s="436">
        <v>1</v>
      </c>
      <c r="BL19" s="431" t="s">
        <v>243</v>
      </c>
      <c r="BM19" s="432" t="s">
        <v>268</v>
      </c>
      <c r="BN19" s="433" t="s">
        <v>73</v>
      </c>
      <c r="BO19" s="434">
        <f>'Dermal Exposure'!T13</f>
        <v>28.087499999999999</v>
      </c>
      <c r="BP19" s="435">
        <f>'Dermal Exposure'!U13</f>
        <v>9.3625000000000007</v>
      </c>
      <c r="BQ19" s="435">
        <f>'Dermal Exposure'!V13</f>
        <v>20.5975</v>
      </c>
      <c r="BR19" s="435">
        <f>'Dermal Exposure'!W13</f>
        <v>6.8658333333333337</v>
      </c>
      <c r="BS19" s="435">
        <f>'Dermal Exposure'!X13</f>
        <v>19.238013698630137</v>
      </c>
      <c r="BT19" s="435">
        <f>'Dermal Exposure'!Y13</f>
        <v>6.0279109589041093</v>
      </c>
    </row>
    <row r="20" spans="1:72" x14ac:dyDescent="0.3">
      <c r="A20" s="306">
        <v>1</v>
      </c>
      <c r="B20" s="647"/>
      <c r="C20" s="308" t="s">
        <v>268</v>
      </c>
      <c r="D20" s="206" t="s">
        <v>73</v>
      </c>
      <c r="E20" s="380" t="s">
        <v>107</v>
      </c>
      <c r="F20" s="424">
        <f>'Hazard Values'!$G$12/BD20</f>
        <v>19.541168632110153</v>
      </c>
      <c r="G20" s="425">
        <f>'Hazard Values'!$G$12/BE20</f>
        <v>308.01833547595629</v>
      </c>
      <c r="H20" s="425">
        <f t="shared" si="0"/>
        <v>195.41168632110154</v>
      </c>
      <c r="I20" s="425">
        <f t="shared" si="1"/>
        <v>3080.1833547595629</v>
      </c>
      <c r="J20" s="425">
        <f>'Hazard Values'!$G$13/BF20</f>
        <v>13.896311083327271</v>
      </c>
      <c r="K20" s="425">
        <f>'Hazard Values'!$G$13/BG20</f>
        <v>219.04107629003857</v>
      </c>
      <c r="L20" s="425">
        <f t="shared" si="2"/>
        <v>138.96311083327271</v>
      </c>
      <c r="M20" s="425">
        <f t="shared" si="3"/>
        <v>2190.4107629003856</v>
      </c>
      <c r="N20" s="425">
        <f>'Hazard Values'!$G$14/BH20</f>
        <v>14.878317066549062</v>
      </c>
      <c r="O20" s="425">
        <f>'Hazard Values'!$G$14/BI20</f>
        <v>249.48933937716447</v>
      </c>
      <c r="P20" s="425">
        <f t="shared" si="4"/>
        <v>148.78317066549062</v>
      </c>
      <c r="Q20" s="426">
        <f t="shared" si="5"/>
        <v>2494.8933937716447</v>
      </c>
      <c r="S20" s="663"/>
      <c r="T20" s="657"/>
      <c r="U20" s="657"/>
      <c r="V20" s="657"/>
      <c r="W20" s="657"/>
      <c r="X20" s="657"/>
      <c r="Y20" s="657"/>
      <c r="Z20" s="657"/>
      <c r="AA20" s="657"/>
      <c r="AB20" s="657"/>
      <c r="AC20" s="657"/>
      <c r="AD20" s="662"/>
      <c r="AF20" s="427">
        <f t="shared" si="18"/>
        <v>8.1657928246750107</v>
      </c>
      <c r="AG20" s="428">
        <f t="shared" si="19"/>
        <v>37.024352313090318</v>
      </c>
      <c r="AH20" s="428">
        <f t="shared" si="20"/>
        <v>51.612862140487096</v>
      </c>
      <c r="AI20" s="428">
        <f t="shared" si="21"/>
        <v>196.95918384539897</v>
      </c>
      <c r="AJ20" s="428">
        <f t="shared" si="22"/>
        <v>7.399511348707847</v>
      </c>
      <c r="AK20" s="428">
        <f t="shared" si="23"/>
        <v>39.022574723115298</v>
      </c>
      <c r="AL20" s="428">
        <f t="shared" si="24"/>
        <v>50.421886334165428</v>
      </c>
      <c r="AM20" s="428">
        <f t="shared" si="25"/>
        <v>214.19224700386457</v>
      </c>
      <c r="AN20" s="428">
        <f t="shared" si="26"/>
        <v>7.9224101506831985</v>
      </c>
      <c r="AO20" s="428">
        <f t="shared" si="27"/>
        <v>44.446989365477421</v>
      </c>
      <c r="AP20" s="428">
        <f t="shared" si="28"/>
        <v>53.98503296844644</v>
      </c>
      <c r="AQ20" s="429">
        <f t="shared" si="29"/>
        <v>243.96648843135216</v>
      </c>
      <c r="BB20" s="418">
        <f>'Inhalation Exposure'!I18</f>
        <v>8.0491603629856723</v>
      </c>
      <c r="BC20" s="419">
        <f>'Inhalation Exposure'!J18</f>
        <v>0.51065141871165642</v>
      </c>
      <c r="BD20" s="419">
        <f>'Inhalation Exposure'!K18</f>
        <v>5.4756192945480766</v>
      </c>
      <c r="BE20" s="419">
        <f>'Inhalation Exposure'!L18</f>
        <v>0.34738191749092273</v>
      </c>
      <c r="BF20" s="419">
        <f>'Inhalation Exposure'!M18</f>
        <v>4.0154541493352562</v>
      </c>
      <c r="BG20" s="419">
        <f>'Inhalation Exposure'!N18</f>
        <v>0.25474673949334331</v>
      </c>
      <c r="BH20" s="419">
        <f>'Inhalation Exposure'!O18</f>
        <v>3.750424174347998</v>
      </c>
      <c r="BI20" s="448">
        <f>'Inhalation Exposure'!P18</f>
        <v>0.22365685098730642</v>
      </c>
      <c r="BJ20" s="420"/>
      <c r="BK20" s="436"/>
      <c r="BL20" s="431"/>
      <c r="BM20" s="432"/>
      <c r="BN20" s="433"/>
      <c r="BO20" s="434"/>
      <c r="BP20" s="435"/>
      <c r="BQ20" s="435"/>
      <c r="BR20" s="435"/>
      <c r="BS20" s="435"/>
      <c r="BT20" s="435"/>
    </row>
    <row r="21" spans="1:72" x14ac:dyDescent="0.3">
      <c r="A21" s="306">
        <v>1</v>
      </c>
      <c r="B21" s="647"/>
      <c r="C21" s="308" t="s">
        <v>268</v>
      </c>
      <c r="D21" s="206" t="s">
        <v>73</v>
      </c>
      <c r="E21" s="380" t="s">
        <v>270</v>
      </c>
      <c r="F21" s="424">
        <f>'Hazard Values'!$G$12/BD21</f>
        <v>58.934758222459244</v>
      </c>
      <c r="G21" s="425">
        <f>'Hazard Values'!$G$12/BE21</f>
        <v>137.93241286107485</v>
      </c>
      <c r="H21" s="425">
        <f t="shared" si="0"/>
        <v>589.34758222459243</v>
      </c>
      <c r="I21" s="425">
        <f t="shared" si="1"/>
        <v>1379.3241286107486</v>
      </c>
      <c r="J21" s="425">
        <f>'Hazard Values'!$G$13/BF21</f>
        <v>41.910274114017312</v>
      </c>
      <c r="K21" s="425">
        <f>'Hazard Values'!$G$13/BG21</f>
        <v>98.087875585998006</v>
      </c>
      <c r="L21" s="425">
        <f t="shared" si="2"/>
        <v>419.10274114017312</v>
      </c>
      <c r="M21" s="425">
        <f t="shared" si="3"/>
        <v>980.87875585998006</v>
      </c>
      <c r="N21" s="425">
        <f>'Hazard Values'!$G$14/BH21</f>
        <v>44.871933484741213</v>
      </c>
      <c r="O21" s="425">
        <f>'Hazard Values'!$G$14/BI21</f>
        <v>111.72278595114382</v>
      </c>
      <c r="P21" s="425">
        <f t="shared" si="4"/>
        <v>448.71933484741214</v>
      </c>
      <c r="Q21" s="426">
        <f t="shared" si="5"/>
        <v>1117.2278595114383</v>
      </c>
      <c r="S21" s="663"/>
      <c r="T21" s="657"/>
      <c r="U21" s="657"/>
      <c r="V21" s="657"/>
      <c r="W21" s="657"/>
      <c r="X21" s="657"/>
      <c r="Y21" s="657"/>
      <c r="Z21" s="657"/>
      <c r="AA21" s="657"/>
      <c r="AB21" s="657"/>
      <c r="AC21" s="657"/>
      <c r="AD21" s="662"/>
      <c r="AF21" s="427">
        <f t="shared" si="18"/>
        <v>11.330676121077911</v>
      </c>
      <c r="AG21" s="428">
        <f t="shared" si="19"/>
        <v>32.244939884206474</v>
      </c>
      <c r="AH21" s="428">
        <f t="shared" si="20"/>
        <v>62.678611449395461</v>
      </c>
      <c r="AI21" s="428">
        <f t="shared" si="21"/>
        <v>182.56401136923117</v>
      </c>
      <c r="AJ21" s="428">
        <f t="shared" si="22"/>
        <v>11.488572888951033</v>
      </c>
      <c r="AK21" s="428">
        <f t="shared" si="23"/>
        <v>31.994084031452434</v>
      </c>
      <c r="AL21" s="428">
        <f t="shared" si="24"/>
        <v>66.566582303005276</v>
      </c>
      <c r="AM21" s="428">
        <f t="shared" si="25"/>
        <v>191.14385842352712</v>
      </c>
      <c r="AN21" s="428">
        <f t="shared" si="26"/>
        <v>12.300432039770239</v>
      </c>
      <c r="AO21" s="428">
        <f t="shared" si="27"/>
        <v>36.441488620221712</v>
      </c>
      <c r="AP21" s="428">
        <f t="shared" si="28"/>
        <v>71.270620785750964</v>
      </c>
      <c r="AQ21" s="429">
        <f t="shared" si="29"/>
        <v>217.71421037459902</v>
      </c>
      <c r="BB21" s="418">
        <f>'Inhalation Exposure'!I19</f>
        <v>2.1351067484662578</v>
      </c>
      <c r="BC21" s="419">
        <f>'Inhalation Exposure'!J19</f>
        <v>0.91227288343558299</v>
      </c>
      <c r="BD21" s="419">
        <f>'Inhalation Exposure'!K19</f>
        <v>1.8155669629815117</v>
      </c>
      <c r="BE21" s="419">
        <f>'Inhalation Exposure'!L19</f>
        <v>0.77574224781937307</v>
      </c>
      <c r="BF21" s="419">
        <f>'Inhalation Exposure'!M19</f>
        <v>1.3314157728531086</v>
      </c>
      <c r="BG21" s="419">
        <f>'Inhalation Exposure'!N19</f>
        <v>0.56887764840087351</v>
      </c>
      <c r="BH21" s="419">
        <f>'Inhalation Exposure'!O19</f>
        <v>1.2435390157407613</v>
      </c>
      <c r="BI21" s="448">
        <f>'Inhalation Exposure'!P19</f>
        <v>0.49945048832206207</v>
      </c>
      <c r="BJ21" s="420"/>
      <c r="BK21" s="436"/>
      <c r="BL21" s="431"/>
      <c r="BM21" s="432"/>
      <c r="BN21" s="433"/>
      <c r="BO21" s="434"/>
      <c r="BP21" s="435"/>
      <c r="BQ21" s="435"/>
      <c r="BR21" s="435"/>
      <c r="BS21" s="435"/>
      <c r="BT21" s="435"/>
    </row>
    <row r="22" spans="1:72" x14ac:dyDescent="0.3">
      <c r="A22" s="306">
        <v>1</v>
      </c>
      <c r="B22" s="646"/>
      <c r="C22" s="308" t="s">
        <v>268</v>
      </c>
      <c r="D22" s="206" t="s">
        <v>73</v>
      </c>
      <c r="E22" s="380" t="s">
        <v>269</v>
      </c>
      <c r="F22" s="424">
        <f>'Hazard Values'!$G$12/BD22</f>
        <v>55.773619335643964</v>
      </c>
      <c r="G22" s="425">
        <f>'Hazard Values'!$G$12/BE22</f>
        <v>568.04586238514935</v>
      </c>
      <c r="H22" s="425">
        <f t="shared" si="0"/>
        <v>557.73619335643968</v>
      </c>
      <c r="I22" s="425">
        <f t="shared" si="1"/>
        <v>5680.458623851493</v>
      </c>
      <c r="J22" s="425">
        <f>'Hazard Values'!$G$13/BF22</f>
        <v>39.662293444293965</v>
      </c>
      <c r="K22" s="425">
        <f>'Hazard Values'!$G$13/BG22</f>
        <v>403.95444929173323</v>
      </c>
      <c r="L22" s="425">
        <f t="shared" si="2"/>
        <v>396.62293444293965</v>
      </c>
      <c r="M22" s="425">
        <f t="shared" si="3"/>
        <v>4039.5444929173323</v>
      </c>
      <c r="N22" s="425">
        <f>'Hazard Values'!$G$14/BH22</f>
        <v>42.465095514357401</v>
      </c>
      <c r="O22" s="425">
        <f>'Hazard Values'!$G$14/BI22</f>
        <v>460.10698266845645</v>
      </c>
      <c r="P22" s="425">
        <f t="shared" si="4"/>
        <v>424.65095514357404</v>
      </c>
      <c r="Q22" s="426">
        <f t="shared" si="5"/>
        <v>4601.0698266845648</v>
      </c>
      <c r="S22" s="663"/>
      <c r="T22" s="657"/>
      <c r="U22" s="657"/>
      <c r="V22" s="657"/>
      <c r="W22" s="657"/>
      <c r="X22" s="657"/>
      <c r="Y22" s="657"/>
      <c r="Z22" s="657"/>
      <c r="AA22" s="657"/>
      <c r="AB22" s="657"/>
      <c r="AC22" s="657"/>
      <c r="AD22" s="662"/>
      <c r="AF22" s="427">
        <f t="shared" si="18"/>
        <v>11.208538889564078</v>
      </c>
      <c r="AG22" s="428">
        <f t="shared" si="19"/>
        <v>39.180175832561261</v>
      </c>
      <c r="AH22" s="428">
        <f t="shared" si="20"/>
        <v>62.303057812711891</v>
      </c>
      <c r="AI22" s="428">
        <f t="shared" si="21"/>
        <v>202.89818983820678</v>
      </c>
      <c r="AJ22" s="428">
        <f t="shared" si="22"/>
        <v>11.312808548383931</v>
      </c>
      <c r="AK22" s="428">
        <f t="shared" si="23"/>
        <v>42.487444276718655</v>
      </c>
      <c r="AL22" s="428">
        <f t="shared" si="24"/>
        <v>65.972680508470702</v>
      </c>
      <c r="AM22" s="428">
        <f t="shared" si="25"/>
        <v>224.22930606458937</v>
      </c>
      <c r="AN22" s="428">
        <f t="shared" si="26"/>
        <v>12.112247019136392</v>
      </c>
      <c r="AO22" s="428">
        <f t="shared" si="27"/>
        <v>48.393500360574578</v>
      </c>
      <c r="AP22" s="428">
        <f t="shared" si="28"/>
        <v>70.634749931069294</v>
      </c>
      <c r="AQ22" s="429">
        <f t="shared" si="29"/>
        <v>255.39876988633378</v>
      </c>
      <c r="BB22" s="418">
        <f>'Inhalation Exposure'!I20</f>
        <v>1.8801003278800263</v>
      </c>
      <c r="BC22" s="419">
        <f>'Inhalation Exposure'!J20</f>
        <v>0.18459777096114521</v>
      </c>
      <c r="BD22" s="419">
        <f>'Inhalation Exposure'!K20</f>
        <v>1.9184697223265577</v>
      </c>
      <c r="BE22" s="419">
        <f>'Inhalation Exposure'!L20</f>
        <v>0.18836507240933181</v>
      </c>
      <c r="BF22" s="419">
        <f>'Inhalation Exposure'!M20</f>
        <v>1.406877796372809</v>
      </c>
      <c r="BG22" s="419">
        <f>'Inhalation Exposure'!N20</f>
        <v>0.13813438643351</v>
      </c>
      <c r="BH22" s="419">
        <f>'Inhalation Exposure'!O20</f>
        <v>1.3140203577579164</v>
      </c>
      <c r="BI22" s="448">
        <f>'Inhalation Exposure'!P20</f>
        <v>0.12127614251011774</v>
      </c>
      <c r="BJ22" s="420"/>
      <c r="BK22" s="436"/>
      <c r="BL22" s="431"/>
      <c r="BM22" s="432"/>
      <c r="BN22" s="433"/>
      <c r="BO22" s="434"/>
      <c r="BP22" s="435"/>
      <c r="BQ22" s="435"/>
      <c r="BR22" s="435"/>
      <c r="BS22" s="435"/>
      <c r="BT22" s="435"/>
    </row>
    <row r="23" spans="1:72" ht="26" x14ac:dyDescent="0.3">
      <c r="A23" s="305">
        <v>2</v>
      </c>
      <c r="B23" s="645" t="s">
        <v>244</v>
      </c>
      <c r="C23" s="308" t="s">
        <v>275</v>
      </c>
      <c r="D23" s="206" t="s">
        <v>73</v>
      </c>
      <c r="E23" s="380" t="s">
        <v>107</v>
      </c>
      <c r="F23" s="424">
        <f>'Hazard Values'!$G$12/BD23</f>
        <v>9.5997384980590699</v>
      </c>
      <c r="G23" s="425">
        <f>'Hazard Values'!$G$12/BE23</f>
        <v>48.492367681873908</v>
      </c>
      <c r="H23" s="425">
        <f t="shared" si="0"/>
        <v>95.997384980590695</v>
      </c>
      <c r="I23" s="425">
        <f t="shared" si="1"/>
        <v>484.92367681873907</v>
      </c>
      <c r="J23" s="425">
        <f>'Hazard Values'!$G$13/BF23</f>
        <v>6.8266619565636706</v>
      </c>
      <c r="K23" s="425">
        <f>'Hazard Values'!$G$13/BG23</f>
        <v>34.484377017611266</v>
      </c>
      <c r="L23" s="425">
        <f t="shared" si="2"/>
        <v>68.266619565636702</v>
      </c>
      <c r="M23" s="425">
        <f t="shared" si="3"/>
        <v>344.84377017611268</v>
      </c>
      <c r="N23" s="425">
        <f>'Hazard Values'!$G$14/BH23</f>
        <v>7.3090794014941709</v>
      </c>
      <c r="O23" s="425">
        <f>'Hazard Values'!$G$14/BI23</f>
        <v>36.921272993522457</v>
      </c>
      <c r="P23" s="425">
        <f t="shared" si="4"/>
        <v>73.090794014941707</v>
      </c>
      <c r="Q23" s="426">
        <f t="shared" si="5"/>
        <v>369.21272993522456</v>
      </c>
      <c r="S23" s="663">
        <f>'Hazard Values'!$I$12/'Bridge Table'!BO23</f>
        <v>14.027592345349355</v>
      </c>
      <c r="T23" s="657">
        <f>'Hazard Values'!$I$12/BP23</f>
        <v>42.082777036048064</v>
      </c>
      <c r="U23" s="657">
        <f>'Hazard Values'!$I$12/(BO23/'Bridge Table'!$V$5)</f>
        <v>70.137961726746781</v>
      </c>
      <c r="V23" s="657">
        <f>'Hazard Values'!$I$12/(BP23/'Bridge Table'!$V$5)</f>
        <v>210.41388518024033</v>
      </c>
      <c r="W23" s="657">
        <f>'Hazard Values'!$I$13/BQ23</f>
        <v>15.827163490714893</v>
      </c>
      <c r="X23" s="657">
        <f>'Hazard Values'!$I$13/BR23</f>
        <v>47.481490472144678</v>
      </c>
      <c r="Y23" s="657">
        <f>'Hazard Values'!$I$13/(BQ23/$Z$5)</f>
        <v>79.135817453574461</v>
      </c>
      <c r="Z23" s="657">
        <f>'Hazard Values'!$I$13/(BR23/$Z$5)</f>
        <v>237.4074523607234</v>
      </c>
      <c r="AA23" s="657">
        <f>'Hazard Values'!$I$14/'Bridge Table'!BS23</f>
        <v>16.945616377392078</v>
      </c>
      <c r="AB23" s="657">
        <f>'Hazard Values'!$I$14/'Bridge Table'!BT23</f>
        <v>50.836849132176233</v>
      </c>
      <c r="AC23" s="657">
        <f>'Hazard Values'!$I$14/(BS23/$AD$5)</f>
        <v>84.728081886960396</v>
      </c>
      <c r="AD23" s="662">
        <f>'Hazard Values'!$I$14/(BT23/$AD$5)</f>
        <v>254.18424566088117</v>
      </c>
      <c r="AF23" s="427">
        <f>(1/((1/F23)+(1/$S$23)))</f>
        <v>5.699383445603921</v>
      </c>
      <c r="AG23" s="428">
        <f>(1/((1/G23)+(1/$T$23)))</f>
        <v>22.530391791939071</v>
      </c>
      <c r="AH23" s="428">
        <f>1/((1/(F23*$AI$5))+((1/($S$23*$AI$4))))</f>
        <v>40.527564104087645</v>
      </c>
      <c r="AI23" s="428">
        <f>1/((1/(G23*$AI$5))+((1/($T$23*$AI$4))))</f>
        <v>146.74120949540747</v>
      </c>
      <c r="AJ23" s="428">
        <f>(1/((1/J23)+(1/$W$23)))</f>
        <v>4.7694679706008163</v>
      </c>
      <c r="AK23" s="428">
        <f>(1/((1/K23)+(1/$X$23)))</f>
        <v>19.976237291750643</v>
      </c>
      <c r="AL23" s="428">
        <f>1/((1/(J23*$AM$5))+(1/($W$23*$AM$4)))</f>
        <v>36.650240344498151</v>
      </c>
      <c r="AM23" s="428">
        <f>1/((1/(K23*$AM$5))+(1/($X$23*$AM$4)))</f>
        <v>140.60679955858456</v>
      </c>
      <c r="AN23" s="428">
        <f>(1/((1/N23)+(1/$AA$23)))</f>
        <v>5.106510373856608</v>
      </c>
      <c r="AO23" s="428">
        <f>(1/((1/O23)+(1/$AB$23)))</f>
        <v>21.387891393701018</v>
      </c>
      <c r="AP23" s="428">
        <f>1/((1/(N23*$AM$5))+(1/($AA$23*$AM$4)))</f>
        <v>39.240190662176019</v>
      </c>
      <c r="AQ23" s="429">
        <f>1/((1/(O23*$AM$5))+(1/($AB$23*$AM$4)))</f>
        <v>150.54301339405785</v>
      </c>
      <c r="BB23" s="418">
        <f>'Inhalation Exposure'!I21</f>
        <v>16.384821319018407</v>
      </c>
      <c r="BC23" s="419">
        <f>'Inhalation Exposure'!J21</f>
        <v>3.2436032208588959</v>
      </c>
      <c r="BD23" s="419">
        <f>'Inhalation Exposure'!K21</f>
        <v>11.146136951713203</v>
      </c>
      <c r="BE23" s="419">
        <f>'Inhalation Exposure'!L21</f>
        <v>2.2065328033053708</v>
      </c>
      <c r="BF23" s="419">
        <f>'Inhalation Exposure'!M21</f>
        <v>8.1738337645896824</v>
      </c>
      <c r="BG23" s="419">
        <f>'Inhalation Exposure'!N21</f>
        <v>1.6181240557572718</v>
      </c>
      <c r="BH23" s="419">
        <f>'Inhalation Exposure'!O21</f>
        <v>7.6343403778857555</v>
      </c>
      <c r="BI23" s="448">
        <f>'Inhalation Exposure'!P21</f>
        <v>1.511323837880391</v>
      </c>
      <c r="BJ23" s="420"/>
      <c r="BK23" s="430">
        <v>2</v>
      </c>
      <c r="BL23" s="431" t="s">
        <v>244</v>
      </c>
      <c r="BM23" s="432" t="s">
        <v>275</v>
      </c>
      <c r="BN23" s="433" t="s">
        <v>73</v>
      </c>
      <c r="BO23" s="434">
        <f>'Dermal Exposure'!T14</f>
        <v>28.087499999999999</v>
      </c>
      <c r="BP23" s="435">
        <f>'Dermal Exposure'!U14</f>
        <v>9.3625000000000007</v>
      </c>
      <c r="BQ23" s="435">
        <f>'Dermal Exposure'!V14</f>
        <v>20.5975</v>
      </c>
      <c r="BR23" s="435">
        <f>'Dermal Exposure'!W14</f>
        <v>6.8658333333333337</v>
      </c>
      <c r="BS23" s="435">
        <f>'Dermal Exposure'!X14</f>
        <v>19.238013698630137</v>
      </c>
      <c r="BT23" s="435">
        <f>'Dermal Exposure'!Y14</f>
        <v>6.4126712328767121</v>
      </c>
    </row>
    <row r="24" spans="1:72" ht="26" x14ac:dyDescent="0.3">
      <c r="A24" s="305">
        <v>2</v>
      </c>
      <c r="B24" s="647"/>
      <c r="C24" s="308" t="s">
        <v>263</v>
      </c>
      <c r="D24" s="206" t="s">
        <v>54</v>
      </c>
      <c r="E24" s="380" t="s">
        <v>107</v>
      </c>
      <c r="F24" s="424">
        <f>'Hazard Values'!$G$12/BD24</f>
        <v>518.62587235764136</v>
      </c>
      <c r="G24" s="425">
        <f>'Hazard Values'!$G$12/BE24</f>
        <v>518.62587235764136</v>
      </c>
      <c r="H24" s="425">
        <f t="shared" si="0"/>
        <v>5186.2587235764131</v>
      </c>
      <c r="I24" s="425">
        <f t="shared" si="1"/>
        <v>5186.2587235764131</v>
      </c>
      <c r="J24" s="425">
        <f>'Hazard Values'!$G$13/BF24</f>
        <v>368.81041220335243</v>
      </c>
      <c r="K24" s="425">
        <f>'Hazard Values'!$G$13/BG24</f>
        <v>368.81041220335243</v>
      </c>
      <c r="L24" s="425">
        <f t="shared" si="2"/>
        <v>3688.1041220335242</v>
      </c>
      <c r="M24" s="425">
        <f t="shared" si="3"/>
        <v>3688.1041220335242</v>
      </c>
      <c r="N24" s="425">
        <f>'Hazard Values'!$G$14/BH24</f>
        <v>394.87301466572268</v>
      </c>
      <c r="O24" s="425">
        <f>'Hazard Values'!$G$14/BI24</f>
        <v>394.87301466572268</v>
      </c>
      <c r="P24" s="425">
        <f t="shared" si="4"/>
        <v>3948.7301466572267</v>
      </c>
      <c r="Q24" s="426">
        <f t="shared" si="5"/>
        <v>3948.7301466572267</v>
      </c>
      <c r="S24" s="663"/>
      <c r="T24" s="657"/>
      <c r="U24" s="657"/>
      <c r="V24" s="657"/>
      <c r="W24" s="657"/>
      <c r="X24" s="657"/>
      <c r="Y24" s="657"/>
      <c r="Z24" s="657"/>
      <c r="AA24" s="657"/>
      <c r="AB24" s="657"/>
      <c r="AC24" s="657"/>
      <c r="AD24" s="662"/>
      <c r="AF24" s="427">
        <v>39</v>
      </c>
      <c r="AG24" s="428">
        <f t="shared" ref="AG24:AG31" si="30">(1/((1/G24)+(1/$T$23)))</f>
        <v>38.924345067893611</v>
      </c>
      <c r="AH24" s="428">
        <v>202</v>
      </c>
      <c r="AI24" s="428">
        <f t="shared" ref="AI24:AI31" si="31">1/((1/(G24*$AI$5))+((1/($T$23*$AI$4))))</f>
        <v>202.20994058578702</v>
      </c>
      <c r="AJ24" s="428">
        <v>42</v>
      </c>
      <c r="AK24" s="428">
        <f t="shared" ref="AK24:AK31" si="32">(1/((1/K24)+(1/$X$23)))</f>
        <v>42.065838803287313</v>
      </c>
      <c r="AL24" s="428">
        <v>223</v>
      </c>
      <c r="AM24" s="428">
        <f t="shared" ref="AM24:AM31" si="33">1/((1/(K24*$AM$5))+(1/($X$23*$AM$4)))</f>
        <v>223.0495024812592</v>
      </c>
      <c r="AN24" s="428">
        <v>45</v>
      </c>
      <c r="AO24" s="428">
        <f t="shared" ref="AO24:AO31" si="34">(1/((1/O24)+(1/$AB$23)))</f>
        <v>45.038491412052949</v>
      </c>
      <c r="AP24" s="428">
        <v>239</v>
      </c>
      <c r="AQ24" s="429">
        <f t="shared" ref="AQ24:AQ31" si="35">1/((1/(O24*$AM$5))+(1/($AB$23*$AM$4)))</f>
        <v>238.81166732326818</v>
      </c>
      <c r="BB24" s="418">
        <f>'Inhalation Exposure'!I22</f>
        <v>0.30328220858895705</v>
      </c>
      <c r="BC24" s="419">
        <f>'Inhalation Exposure'!J22</f>
        <v>0.30328220858895705</v>
      </c>
      <c r="BD24" s="419">
        <f>'Inhalation Exposure'!K22</f>
        <v>0.2063144276115354</v>
      </c>
      <c r="BE24" s="419">
        <f>'Inhalation Exposure'!L22</f>
        <v>0.2063144276115354</v>
      </c>
      <c r="BF24" s="419">
        <f>'Inhalation Exposure'!M22</f>
        <v>0.15129724691512597</v>
      </c>
      <c r="BG24" s="419">
        <f>'Inhalation Exposure'!N22</f>
        <v>0.15129724691512597</v>
      </c>
      <c r="BH24" s="419">
        <f>'Inhalation Exposure'!O22</f>
        <v>0.14131125178872286</v>
      </c>
      <c r="BI24" s="448">
        <f>'Inhalation Exposure'!P22</f>
        <v>0.14131125178872286</v>
      </c>
      <c r="BJ24" s="420"/>
      <c r="BK24" s="430">
        <v>2</v>
      </c>
      <c r="BL24" s="431" t="s">
        <v>244</v>
      </c>
      <c r="BM24" s="432" t="s">
        <v>264</v>
      </c>
      <c r="BN24" s="433" t="s">
        <v>73</v>
      </c>
      <c r="BO24" s="434">
        <f>'Dermal Exposure'!T15</f>
        <v>28.087499999999999</v>
      </c>
      <c r="BP24" s="435">
        <f>'Dermal Exposure'!U15</f>
        <v>9.3625000000000007</v>
      </c>
      <c r="BQ24" s="435">
        <f>'Dermal Exposure'!V15</f>
        <v>20.5975</v>
      </c>
      <c r="BR24" s="435">
        <f>'Dermal Exposure'!W15</f>
        <v>6.8658333333333337</v>
      </c>
      <c r="BS24" s="435">
        <f>'Dermal Exposure'!X15</f>
        <v>19.238013698630137</v>
      </c>
      <c r="BT24" s="435">
        <f>'Dermal Exposure'!Y15</f>
        <v>6.4126712328767121</v>
      </c>
    </row>
    <row r="25" spans="1:72" ht="26" x14ac:dyDescent="0.3">
      <c r="A25" s="305">
        <v>2</v>
      </c>
      <c r="B25" s="647"/>
      <c r="C25" s="308" t="s">
        <v>264</v>
      </c>
      <c r="D25" s="206" t="s">
        <v>73</v>
      </c>
      <c r="E25" s="380" t="s">
        <v>107</v>
      </c>
      <c r="F25" s="424">
        <f>'Hazard Values'!$G$12/BD25</f>
        <v>16.207058511176296</v>
      </c>
      <c r="G25" s="425">
        <f>'Hazard Values'!$G$12/BE25</f>
        <v>54.023528370587634</v>
      </c>
      <c r="H25" s="425">
        <f t="shared" si="0"/>
        <v>162.07058511176297</v>
      </c>
      <c r="I25" s="425">
        <f t="shared" si="1"/>
        <v>540.23528370587633</v>
      </c>
      <c r="J25" s="425">
        <f>'Hazard Values'!$G$13/BF25</f>
        <v>11.525325381354765</v>
      </c>
      <c r="K25" s="425">
        <f>'Hazard Values'!$G$13/BG25</f>
        <v>38.417751271182539</v>
      </c>
      <c r="L25" s="425">
        <f t="shared" si="2"/>
        <v>115.25325381354764</v>
      </c>
      <c r="M25" s="425">
        <f t="shared" si="3"/>
        <v>384.17751271182539</v>
      </c>
      <c r="N25" s="425">
        <f>'Hazard Values'!$G$14/BH25</f>
        <v>12.339781708303837</v>
      </c>
      <c r="O25" s="425">
        <f>'Hazard Values'!$G$14/BI25</f>
        <v>41.132605694346111</v>
      </c>
      <c r="P25" s="425">
        <f t="shared" si="4"/>
        <v>123.39781708303838</v>
      </c>
      <c r="Q25" s="426">
        <f t="shared" si="5"/>
        <v>411.32605694346114</v>
      </c>
      <c r="S25" s="663"/>
      <c r="T25" s="657"/>
      <c r="U25" s="657"/>
      <c r="V25" s="657"/>
      <c r="W25" s="657"/>
      <c r="X25" s="657"/>
      <c r="Y25" s="657"/>
      <c r="Z25" s="657"/>
      <c r="AA25" s="657"/>
      <c r="AB25" s="657"/>
      <c r="AC25" s="657"/>
      <c r="AD25" s="662"/>
      <c r="AF25" s="427">
        <f t="shared" ref="AF25:AF31" si="36">(1/((1/F25)+(1/$S$23)))</f>
        <v>7.5193859850025966</v>
      </c>
      <c r="AG25" s="428">
        <f t="shared" si="30"/>
        <v>23.655680961835042</v>
      </c>
      <c r="AH25" s="428">
        <f t="shared" ref="AH25:AH31" si="37">1/((1/(F25*$AI$5))+((1/($S$23*$AI$4))))</f>
        <v>48.952980630405975</v>
      </c>
      <c r="AI25" s="428">
        <f t="shared" si="31"/>
        <v>151.43293254381595</v>
      </c>
      <c r="AJ25" s="428">
        <f t="shared" ref="AJ25:AJ31" si="38">(1/((1/J25)+(1/$W$23)))</f>
        <v>6.6689802872255157</v>
      </c>
      <c r="AK25" s="428">
        <f t="shared" si="32"/>
        <v>21.235718196378365</v>
      </c>
      <c r="AL25" s="428">
        <f t="shared" ref="AL25:AL31" si="39">1/((1/(J25*$AM$5))+(1/($W$23*$AM$4)))</f>
        <v>46.919615363489875</v>
      </c>
      <c r="AM25" s="428">
        <f t="shared" si="33"/>
        <v>146.73232087675839</v>
      </c>
      <c r="AN25" s="428">
        <f t="shared" ref="AN25:AN31" si="40">(1/((1/N25)+(1/$AA$23)))</f>
        <v>7.1402548941894537</v>
      </c>
      <c r="AO25" s="428">
        <f t="shared" si="34"/>
        <v>22.736375615589104</v>
      </c>
      <c r="AP25" s="428">
        <f t="shared" ref="AP25:AP31" si="41">1/((1/(N25*$AM$5))+(1/($AA$23*$AM$4)))</f>
        <v>50.235268182509834</v>
      </c>
      <c r="AQ25" s="429">
        <f t="shared" si="35"/>
        <v>157.10140488538266</v>
      </c>
      <c r="BB25" s="418">
        <f>'Inhalation Exposure'!I23</f>
        <v>9.705030674846622</v>
      </c>
      <c r="BC25" s="419">
        <f>'Inhalation Exposure'!J23</f>
        <v>2.9115092024539879</v>
      </c>
      <c r="BD25" s="419">
        <f>'Inhalation Exposure'!K23</f>
        <v>6.602061683569131</v>
      </c>
      <c r="BE25" s="419">
        <f>'Inhalation Exposure'!L23</f>
        <v>1.9806185050707401</v>
      </c>
      <c r="BF25" s="419">
        <f>'Inhalation Exposure'!M23</f>
        <v>4.8415119012840302</v>
      </c>
      <c r="BG25" s="419">
        <f>'Inhalation Exposure'!N23</f>
        <v>1.4524535703852095</v>
      </c>
      <c r="BH25" s="419">
        <f>'Inhalation Exposure'!O23</f>
        <v>4.5219600572391307</v>
      </c>
      <c r="BI25" s="448">
        <f>'Inhalation Exposure'!P23</f>
        <v>1.3565880171717397</v>
      </c>
      <c r="BJ25" s="420"/>
      <c r="BK25" s="430">
        <v>2</v>
      </c>
      <c r="BL25" s="431" t="s">
        <v>244</v>
      </c>
      <c r="BM25" s="432" t="s">
        <v>265</v>
      </c>
      <c r="BN25" s="433" t="s">
        <v>73</v>
      </c>
      <c r="BO25" s="434">
        <f>'Dermal Exposure'!T16</f>
        <v>28.087499999999999</v>
      </c>
      <c r="BP25" s="435">
        <f>'Dermal Exposure'!U16</f>
        <v>9.3625000000000007</v>
      </c>
      <c r="BQ25" s="435">
        <f>'Dermal Exposure'!V16</f>
        <v>20.5975</v>
      </c>
      <c r="BR25" s="435">
        <f>'Dermal Exposure'!W16</f>
        <v>6.8658333333333337</v>
      </c>
      <c r="BS25" s="435">
        <f>'Dermal Exposure'!X16</f>
        <v>19.238013698630137</v>
      </c>
      <c r="BT25" s="435">
        <f>'Dermal Exposure'!Y16</f>
        <v>6.4126712328767121</v>
      </c>
    </row>
    <row r="26" spans="1:72" ht="26" x14ac:dyDescent="0.3">
      <c r="A26" s="305">
        <v>2</v>
      </c>
      <c r="B26" s="647"/>
      <c r="C26" s="308" t="s">
        <v>265</v>
      </c>
      <c r="D26" s="206" t="s">
        <v>73</v>
      </c>
      <c r="E26" s="380" t="s">
        <v>107</v>
      </c>
      <c r="F26" s="424">
        <f>'Hazard Values'!$G$12/BD26</f>
        <v>3.3677004698548143</v>
      </c>
      <c r="G26" s="425">
        <f>'Hazard Values'!$G$12/BE26</f>
        <v>648.28234044705164</v>
      </c>
      <c r="H26" s="425">
        <f t="shared" si="0"/>
        <v>33.677004698548146</v>
      </c>
      <c r="I26" s="425">
        <f t="shared" si="1"/>
        <v>6482.8234044705168</v>
      </c>
      <c r="J26" s="425">
        <f>'Hazard Values'!$G$13/BF26</f>
        <v>2.3948728065152758</v>
      </c>
      <c r="K26" s="425">
        <f>'Hazard Values'!$G$13/BG26</f>
        <v>461.01301525419041</v>
      </c>
      <c r="L26" s="425">
        <f t="shared" si="2"/>
        <v>23.948728065152757</v>
      </c>
      <c r="M26" s="425">
        <f t="shared" si="3"/>
        <v>4610.130152541904</v>
      </c>
      <c r="N26" s="425">
        <f>'Hazard Values'!$G$14/BH26</f>
        <v>2.564110484842355</v>
      </c>
      <c r="O26" s="425">
        <f>'Hazard Values'!$G$14/BI26</f>
        <v>493.59126833215322</v>
      </c>
      <c r="P26" s="425">
        <f t="shared" si="4"/>
        <v>25.641104848423552</v>
      </c>
      <c r="Q26" s="426">
        <f t="shared" si="5"/>
        <v>4935.9126833215323</v>
      </c>
      <c r="S26" s="663"/>
      <c r="T26" s="657"/>
      <c r="U26" s="657"/>
      <c r="V26" s="657"/>
      <c r="W26" s="657"/>
      <c r="X26" s="657"/>
      <c r="Y26" s="657"/>
      <c r="Z26" s="657"/>
      <c r="AA26" s="657"/>
      <c r="AB26" s="657"/>
      <c r="AC26" s="657"/>
      <c r="AD26" s="662"/>
      <c r="AF26" s="427">
        <f t="shared" si="36"/>
        <v>2.7157191220762069</v>
      </c>
      <c r="AG26" s="428">
        <f t="shared" si="30"/>
        <v>39.517525579656095</v>
      </c>
      <c r="AH26" s="428">
        <f t="shared" si="37"/>
        <v>22.752369412149825</v>
      </c>
      <c r="AI26" s="428">
        <f t="shared" si="31"/>
        <v>203.79914837043071</v>
      </c>
      <c r="AJ26" s="428">
        <f t="shared" si="38"/>
        <v>2.0801211692211408</v>
      </c>
      <c r="AK26" s="428">
        <f t="shared" si="32"/>
        <v>43.047830104003545</v>
      </c>
      <c r="AL26" s="428">
        <f t="shared" si="39"/>
        <v>18.384930183981123</v>
      </c>
      <c r="AM26" s="428">
        <f t="shared" si="33"/>
        <v>225.78045675383913</v>
      </c>
      <c r="AN26" s="428">
        <f t="shared" si="40"/>
        <v>2.2271163985127678</v>
      </c>
      <c r="AO26" s="428">
        <f t="shared" si="34"/>
        <v>46.089876764686466</v>
      </c>
      <c r="AP26" s="428">
        <f t="shared" si="41"/>
        <v>19.684131916982455</v>
      </c>
      <c r="AQ26" s="429">
        <f t="shared" si="35"/>
        <v>241.73560903111044</v>
      </c>
      <c r="BB26" s="418">
        <f>'Inhalation Exposure'!I24</f>
        <v>46.705460122699385</v>
      </c>
      <c r="BC26" s="419">
        <f>'Inhalation Exposure'!J24</f>
        <v>0.24262576687116569</v>
      </c>
      <c r="BD26" s="419">
        <f>'Inhalation Exposure'!K24</f>
        <v>31.77242185217645</v>
      </c>
      <c r="BE26" s="419">
        <f>'Inhalation Exposure'!L24</f>
        <v>0.16505154208922834</v>
      </c>
      <c r="BF26" s="419">
        <f>'Inhalation Exposure'!M24</f>
        <v>23.299776024929397</v>
      </c>
      <c r="BG26" s="419">
        <f>'Inhalation Exposure'!N24</f>
        <v>0.1210377975321008</v>
      </c>
      <c r="BH26" s="419">
        <f>'Inhalation Exposure'!O24</f>
        <v>21.761932775463322</v>
      </c>
      <c r="BI26" s="448">
        <f>'Inhalation Exposure'!P24</f>
        <v>0.11304900143097833</v>
      </c>
      <c r="BJ26" s="420"/>
      <c r="BK26" s="430">
        <v>2</v>
      </c>
      <c r="BL26" s="431" t="s">
        <v>244</v>
      </c>
      <c r="BM26" s="432" t="s">
        <v>266</v>
      </c>
      <c r="BN26" s="433" t="s">
        <v>73</v>
      </c>
      <c r="BO26" s="434">
        <f>'Dermal Exposure'!T17</f>
        <v>28.087499999999999</v>
      </c>
      <c r="BP26" s="435">
        <f>'Dermal Exposure'!U17</f>
        <v>9.3625000000000007</v>
      </c>
      <c r="BQ26" s="435">
        <f>'Dermal Exposure'!V17</f>
        <v>20.5975</v>
      </c>
      <c r="BR26" s="435">
        <f>'Dermal Exposure'!W17</f>
        <v>6.8658333333333337</v>
      </c>
      <c r="BS26" s="435">
        <f>'Dermal Exposure'!X17</f>
        <v>19.238013698630137</v>
      </c>
      <c r="BT26" s="435">
        <f>'Dermal Exposure'!Y17</f>
        <v>6.4126712328767121</v>
      </c>
    </row>
    <row r="27" spans="1:72" ht="26" x14ac:dyDescent="0.3">
      <c r="A27" s="305">
        <v>2</v>
      </c>
      <c r="B27" s="647"/>
      <c r="C27" s="308" t="s">
        <v>266</v>
      </c>
      <c r="D27" s="206" t="s">
        <v>73</v>
      </c>
      <c r="E27" s="380" t="s">
        <v>269</v>
      </c>
      <c r="F27" s="424">
        <f>'Hazard Values'!$G$12/BD27</f>
        <v>30.628416529482646</v>
      </c>
      <c r="G27" s="425">
        <f>'Hazard Values'!$G$12/BE27</f>
        <v>314.84344960245346</v>
      </c>
      <c r="H27" s="425">
        <f t="shared" si="0"/>
        <v>306.28416529482644</v>
      </c>
      <c r="I27" s="425">
        <f t="shared" si="1"/>
        <v>3148.4344960245344</v>
      </c>
      <c r="J27" s="425">
        <f>'Hazard Values'!$G$13/BF27</f>
        <v>21.780785586386553</v>
      </c>
      <c r="K27" s="425">
        <f>'Hazard Values'!$G$13/BG27</f>
        <v>223.89461964082713</v>
      </c>
      <c r="L27" s="425">
        <f t="shared" si="2"/>
        <v>217.80785586386554</v>
      </c>
      <c r="M27" s="425">
        <f t="shared" si="3"/>
        <v>2238.9461964082711</v>
      </c>
      <c r="N27" s="425">
        <f>'Hazard Values'!$G$14/BH27</f>
        <v>23.319961101157872</v>
      </c>
      <c r="O27" s="425">
        <f>'Hazard Values'!$G$14/BI27</f>
        <v>239.71650609544557</v>
      </c>
      <c r="P27" s="425">
        <f t="shared" si="4"/>
        <v>233.19961101157872</v>
      </c>
      <c r="Q27" s="426">
        <f t="shared" si="5"/>
        <v>2397.1650609544558</v>
      </c>
      <c r="S27" s="663"/>
      <c r="T27" s="657"/>
      <c r="U27" s="657"/>
      <c r="V27" s="657"/>
      <c r="W27" s="657"/>
      <c r="X27" s="657"/>
      <c r="Y27" s="657"/>
      <c r="Z27" s="657"/>
      <c r="AA27" s="657"/>
      <c r="AB27" s="657"/>
      <c r="AC27" s="657"/>
      <c r="AD27" s="662"/>
      <c r="AF27" s="427">
        <f t="shared" si="36"/>
        <v>9.6211674998409453</v>
      </c>
      <c r="AG27" s="428">
        <f t="shared" si="30"/>
        <v>37.121079097108485</v>
      </c>
      <c r="AH27" s="428">
        <f t="shared" si="37"/>
        <v>57.069299387190242</v>
      </c>
      <c r="AI27" s="428">
        <f t="shared" si="31"/>
        <v>197.23258074137701</v>
      </c>
      <c r="AJ27" s="428">
        <f t="shared" si="38"/>
        <v>9.1663614446298762</v>
      </c>
      <c r="AK27" s="428">
        <f t="shared" si="32"/>
        <v>39.173861858418</v>
      </c>
      <c r="AL27" s="428">
        <f t="shared" si="39"/>
        <v>58.046034552725395</v>
      </c>
      <c r="AM27" s="428">
        <f t="shared" si="33"/>
        <v>214.64725473530461</v>
      </c>
      <c r="AN27" s="428">
        <f t="shared" si="40"/>
        <v>9.81411765338372</v>
      </c>
      <c r="AO27" s="428">
        <f t="shared" si="34"/>
        <v>41.942148096412872</v>
      </c>
      <c r="AP27" s="428">
        <f t="shared" si="41"/>
        <v>62.147954327784639</v>
      </c>
      <c r="AQ27" s="429">
        <f t="shared" si="35"/>
        <v>229.81566073659951</v>
      </c>
      <c r="BB27" s="418">
        <f>'Inhalation Exposure'!I25</f>
        <v>3.42361806066803</v>
      </c>
      <c r="BC27" s="419">
        <f>'Inhalation Exposure'!J25</f>
        <v>0.33305441206543968</v>
      </c>
      <c r="BD27" s="419">
        <f>'Inhalation Exposure'!K25</f>
        <v>3.4934878170081936</v>
      </c>
      <c r="BE27" s="419">
        <f>'Inhalation Exposure'!L25</f>
        <v>0.33985144088310165</v>
      </c>
      <c r="BF27" s="419">
        <f>'Inhalation Exposure'!M25</f>
        <v>2.5618910658060088</v>
      </c>
      <c r="BG27" s="419">
        <f>'Inhalation Exposure'!N25</f>
        <v>0.24922438998094121</v>
      </c>
      <c r="BH27" s="419">
        <f>'Inhalation Exposure'!O25</f>
        <v>2.392799874663146</v>
      </c>
      <c r="BI27" s="448">
        <f>'Inhalation Exposure'!P25</f>
        <v>0.23277495950897373</v>
      </c>
      <c r="BJ27" s="420"/>
      <c r="BK27" s="430">
        <v>2</v>
      </c>
      <c r="BL27" s="431" t="s">
        <v>244</v>
      </c>
      <c r="BM27" s="432" t="s">
        <v>267</v>
      </c>
      <c r="BN27" s="433" t="s">
        <v>73</v>
      </c>
      <c r="BO27" s="434">
        <f>'Dermal Exposure'!T18</f>
        <v>28.087499999999999</v>
      </c>
      <c r="BP27" s="435">
        <f>'Dermal Exposure'!U18</f>
        <v>9.3625000000000007</v>
      </c>
      <c r="BQ27" s="435">
        <f>'Dermal Exposure'!V18</f>
        <v>20.5975</v>
      </c>
      <c r="BR27" s="435">
        <f>'Dermal Exposure'!W18</f>
        <v>6.8658333333333337</v>
      </c>
      <c r="BS27" s="435">
        <f>'Dermal Exposure'!X18</f>
        <v>19.238013698630137</v>
      </c>
      <c r="BT27" s="435">
        <f>'Dermal Exposure'!Y18</f>
        <v>6.4126712328767121</v>
      </c>
    </row>
    <row r="28" spans="1:72" ht="26" x14ac:dyDescent="0.3">
      <c r="A28" s="305">
        <v>2</v>
      </c>
      <c r="B28" s="647"/>
      <c r="C28" s="308" t="s">
        <v>267</v>
      </c>
      <c r="D28" s="206" t="s">
        <v>73</v>
      </c>
      <c r="E28" s="380" t="s">
        <v>107</v>
      </c>
      <c r="F28" s="424">
        <f>'Hazard Values'!$G$12/BD28</f>
        <v>997.35744684161796</v>
      </c>
      <c r="G28" s="425">
        <f>'Hazard Values'!$G$12/BE28</f>
        <v>997.35744684161796</v>
      </c>
      <c r="H28" s="425">
        <f t="shared" si="0"/>
        <v>9973.57446841618</v>
      </c>
      <c r="I28" s="425">
        <f t="shared" si="1"/>
        <v>9973.57446841618</v>
      </c>
      <c r="J28" s="425">
        <f>'Hazard Values'!$G$13/BF28</f>
        <v>709.25079269875471</v>
      </c>
      <c r="K28" s="425">
        <f>'Hazard Values'!$G$13/BG28</f>
        <v>709.25079269875471</v>
      </c>
      <c r="L28" s="425">
        <f t="shared" si="2"/>
        <v>7092.5079269875469</v>
      </c>
      <c r="M28" s="425">
        <f t="shared" si="3"/>
        <v>7092.5079269875469</v>
      </c>
      <c r="N28" s="425">
        <f>'Hazard Values'!$G$14/BH28</f>
        <v>759.3711820494666</v>
      </c>
      <c r="O28" s="425">
        <f>'Hazard Values'!$G$14/BI28</f>
        <v>759.3711820494666</v>
      </c>
      <c r="P28" s="425">
        <f t="shared" si="4"/>
        <v>7593.7118204946655</v>
      </c>
      <c r="Q28" s="426">
        <f t="shared" si="5"/>
        <v>7593.7118204946655</v>
      </c>
      <c r="S28" s="663"/>
      <c r="T28" s="657"/>
      <c r="U28" s="657"/>
      <c r="V28" s="657"/>
      <c r="W28" s="657"/>
      <c r="X28" s="657"/>
      <c r="Y28" s="657"/>
      <c r="Z28" s="657"/>
      <c r="AA28" s="657"/>
      <c r="AB28" s="657"/>
      <c r="AC28" s="657"/>
      <c r="AD28" s="662"/>
      <c r="AF28" s="427">
        <f t="shared" si="36"/>
        <v>13.833034052134453</v>
      </c>
      <c r="AG28" s="428">
        <f t="shared" si="30"/>
        <v>40.379013719616928</v>
      </c>
      <c r="AH28" s="428">
        <f t="shared" si="37"/>
        <v>69.648169360687092</v>
      </c>
      <c r="AI28" s="428">
        <f t="shared" si="31"/>
        <v>206.06647220809097</v>
      </c>
      <c r="AJ28" s="428">
        <f t="shared" si="38"/>
        <v>15.481684632857631</v>
      </c>
      <c r="AK28" s="428">
        <f t="shared" si="32"/>
        <v>44.502244062820793</v>
      </c>
      <c r="AL28" s="428">
        <f t="shared" si="39"/>
        <v>78.262589804906113</v>
      </c>
      <c r="AM28" s="428">
        <f t="shared" si="33"/>
        <v>229.71810050337351</v>
      </c>
      <c r="AN28" s="428">
        <f t="shared" si="40"/>
        <v>16.575723680246231</v>
      </c>
      <c r="AO28" s="428">
        <f t="shared" si="34"/>
        <v>47.647069309926792</v>
      </c>
      <c r="AP28" s="428">
        <f t="shared" si="41"/>
        <v>83.793146151119458</v>
      </c>
      <c r="AQ28" s="429">
        <f t="shared" si="35"/>
        <v>245.95151293894526</v>
      </c>
      <c r="BB28" s="418">
        <f>'Inhalation Exposure'!I26</f>
        <v>0.15770674846625768</v>
      </c>
      <c r="BC28" s="419">
        <f>'Inhalation Exposure'!J26</f>
        <v>0.15770674846625768</v>
      </c>
      <c r="BD28" s="419">
        <f>'Inhalation Exposure'!K26</f>
        <v>0.10728350235799841</v>
      </c>
      <c r="BE28" s="419">
        <f>'Inhalation Exposure'!L26</f>
        <v>0.10728350235799841</v>
      </c>
      <c r="BF28" s="419">
        <f>'Inhalation Exposure'!M26</f>
        <v>7.8674568395865493E-2</v>
      </c>
      <c r="BG28" s="419">
        <f>'Inhalation Exposure'!N26</f>
        <v>7.8674568395865493E-2</v>
      </c>
      <c r="BH28" s="419">
        <f>'Inhalation Exposure'!O26</f>
        <v>7.34818509301359E-2</v>
      </c>
      <c r="BI28" s="448">
        <f>'Inhalation Exposure'!P26</f>
        <v>7.34818509301359E-2</v>
      </c>
      <c r="BJ28" s="420"/>
      <c r="BK28" s="430">
        <v>2</v>
      </c>
      <c r="BL28" s="431" t="s">
        <v>244</v>
      </c>
      <c r="BM28" s="432" t="s">
        <v>268</v>
      </c>
      <c r="BN28" s="433" t="s">
        <v>73</v>
      </c>
      <c r="BO28" s="434">
        <f>'Dermal Exposure'!T19</f>
        <v>28.087499999999999</v>
      </c>
      <c r="BP28" s="435">
        <f>'Dermal Exposure'!U19</f>
        <v>9.3625000000000007</v>
      </c>
      <c r="BQ28" s="435">
        <f>'Dermal Exposure'!V19</f>
        <v>20.5975</v>
      </c>
      <c r="BR28" s="435">
        <f>'Dermal Exposure'!W19</f>
        <v>6.8658333333333337</v>
      </c>
      <c r="BS28" s="435">
        <f>'Dermal Exposure'!X19</f>
        <v>19.238013698630137</v>
      </c>
      <c r="BT28" s="435">
        <f>'Dermal Exposure'!Y19</f>
        <v>6.4126712328767121</v>
      </c>
    </row>
    <row r="29" spans="1:72" x14ac:dyDescent="0.3">
      <c r="A29" s="305">
        <v>2</v>
      </c>
      <c r="B29" s="647"/>
      <c r="C29" s="308" t="s">
        <v>268</v>
      </c>
      <c r="D29" s="206" t="s">
        <v>73</v>
      </c>
      <c r="E29" s="380" t="s">
        <v>107</v>
      </c>
      <c r="F29" s="424">
        <f>'Hazard Values'!$G$12/BD29</f>
        <v>19.541168632110153</v>
      </c>
      <c r="G29" s="425">
        <f>'Hazard Values'!$G$12/BE29</f>
        <v>308.01833547595629</v>
      </c>
      <c r="H29" s="425">
        <f t="shared" si="0"/>
        <v>195.41168632110154</v>
      </c>
      <c r="I29" s="425">
        <f t="shared" si="1"/>
        <v>3080.1833547595629</v>
      </c>
      <c r="J29" s="425">
        <f>'Hazard Values'!$G$13/BF29</f>
        <v>13.896311083327271</v>
      </c>
      <c r="K29" s="425">
        <f>'Hazard Values'!$G$13/BG29</f>
        <v>219.04107629003857</v>
      </c>
      <c r="L29" s="425">
        <f t="shared" si="2"/>
        <v>138.96311083327271</v>
      </c>
      <c r="M29" s="425">
        <f t="shared" si="3"/>
        <v>2190.4107629003856</v>
      </c>
      <c r="N29" s="425">
        <f>'Hazard Values'!$G$14/BH29</f>
        <v>14.878317066549062</v>
      </c>
      <c r="O29" s="425">
        <f>'Hazard Values'!$G$14/BI29</f>
        <v>234.51997901453461</v>
      </c>
      <c r="P29" s="425">
        <f t="shared" si="4"/>
        <v>148.78317066549062</v>
      </c>
      <c r="Q29" s="426">
        <f t="shared" si="5"/>
        <v>2345.199790145346</v>
      </c>
      <c r="S29" s="663"/>
      <c r="T29" s="657"/>
      <c r="U29" s="657"/>
      <c r="V29" s="657"/>
      <c r="W29" s="657"/>
      <c r="X29" s="657"/>
      <c r="Y29" s="657"/>
      <c r="Z29" s="657"/>
      <c r="AA29" s="657"/>
      <c r="AB29" s="657"/>
      <c r="AC29" s="657"/>
      <c r="AD29" s="662"/>
      <c r="AF29" s="427">
        <f t="shared" si="36"/>
        <v>8.1657928246750107</v>
      </c>
      <c r="AG29" s="428">
        <f t="shared" si="30"/>
        <v>37.024352313090318</v>
      </c>
      <c r="AH29" s="428">
        <f t="shared" si="37"/>
        <v>51.612862140487096</v>
      </c>
      <c r="AI29" s="428">
        <f t="shared" si="31"/>
        <v>196.95918384539897</v>
      </c>
      <c r="AJ29" s="428">
        <f t="shared" si="38"/>
        <v>7.399511348707847</v>
      </c>
      <c r="AK29" s="428">
        <f t="shared" si="32"/>
        <v>39.022574723115298</v>
      </c>
      <c r="AL29" s="428">
        <f t="shared" si="39"/>
        <v>50.421886334165428</v>
      </c>
      <c r="AM29" s="428">
        <f t="shared" si="33"/>
        <v>214.19224700386457</v>
      </c>
      <c r="AN29" s="428">
        <f t="shared" si="40"/>
        <v>7.9224101506831985</v>
      </c>
      <c r="AO29" s="428">
        <f t="shared" si="34"/>
        <v>41.780170003548783</v>
      </c>
      <c r="AP29" s="428">
        <f t="shared" si="41"/>
        <v>53.98503296844644</v>
      </c>
      <c r="AQ29" s="429">
        <f t="shared" si="35"/>
        <v>229.32849912547098</v>
      </c>
      <c r="BB29" s="418">
        <f>'Inhalation Exposure'!I27</f>
        <v>8.0491603629856723</v>
      </c>
      <c r="BC29" s="419">
        <f>'Inhalation Exposure'!J27</f>
        <v>0.51065141871165642</v>
      </c>
      <c r="BD29" s="419">
        <f>'Inhalation Exposure'!K27</f>
        <v>5.4756192945480766</v>
      </c>
      <c r="BE29" s="419">
        <f>'Inhalation Exposure'!L27</f>
        <v>0.34738191749092273</v>
      </c>
      <c r="BF29" s="419">
        <f>'Inhalation Exposure'!M27</f>
        <v>4.0154541493352562</v>
      </c>
      <c r="BG29" s="419">
        <f>'Inhalation Exposure'!N27</f>
        <v>0.25474673949334331</v>
      </c>
      <c r="BH29" s="419">
        <f>'Inhalation Exposure'!O27</f>
        <v>3.750424174347998</v>
      </c>
      <c r="BI29" s="448">
        <f>'Inhalation Exposure'!P27</f>
        <v>0.23793282019926215</v>
      </c>
      <c r="BJ29" s="420"/>
      <c r="BK29" s="430"/>
      <c r="BL29" s="431"/>
      <c r="BM29" s="432"/>
      <c r="BN29" s="433"/>
      <c r="BO29" s="434"/>
      <c r="BP29" s="435"/>
      <c r="BQ29" s="435"/>
      <c r="BR29" s="435"/>
      <c r="BS29" s="435"/>
      <c r="BT29" s="435"/>
    </row>
    <row r="30" spans="1:72" x14ac:dyDescent="0.3">
      <c r="A30" s="305">
        <v>2</v>
      </c>
      <c r="B30" s="647"/>
      <c r="C30" s="308" t="s">
        <v>268</v>
      </c>
      <c r="D30" s="206" t="s">
        <v>73</v>
      </c>
      <c r="E30" s="380" t="s">
        <v>270</v>
      </c>
      <c r="F30" s="424">
        <f>'Hazard Values'!$G$12/BD30</f>
        <v>58.934758222459244</v>
      </c>
      <c r="G30" s="425">
        <f>'Hazard Values'!$G$12/BE30</f>
        <v>137.93241286107485</v>
      </c>
      <c r="H30" s="425">
        <f t="shared" si="0"/>
        <v>589.34758222459243</v>
      </c>
      <c r="I30" s="425">
        <f t="shared" si="1"/>
        <v>1379.3241286107486</v>
      </c>
      <c r="J30" s="425">
        <f>'Hazard Values'!$G$13/BF30</f>
        <v>41.910274114017312</v>
      </c>
      <c r="K30" s="425">
        <f>'Hazard Values'!$G$13/BG30</f>
        <v>98.087875585998006</v>
      </c>
      <c r="L30" s="425">
        <f t="shared" si="2"/>
        <v>419.10274114017312</v>
      </c>
      <c r="M30" s="425">
        <f t="shared" si="3"/>
        <v>980.87875585998006</v>
      </c>
      <c r="N30" s="425">
        <f>'Hazard Values'!$G$14/BH30</f>
        <v>44.871933484741213</v>
      </c>
      <c r="O30" s="425">
        <f>'Hazard Values'!$G$14/BI30</f>
        <v>105.01941879407518</v>
      </c>
      <c r="P30" s="425">
        <f t="shared" si="4"/>
        <v>448.71933484741214</v>
      </c>
      <c r="Q30" s="426">
        <f t="shared" si="5"/>
        <v>1050.1941879407518</v>
      </c>
      <c r="S30" s="663"/>
      <c r="T30" s="657"/>
      <c r="U30" s="657"/>
      <c r="V30" s="657"/>
      <c r="W30" s="657"/>
      <c r="X30" s="657"/>
      <c r="Y30" s="657"/>
      <c r="Z30" s="657"/>
      <c r="AA30" s="657"/>
      <c r="AB30" s="657"/>
      <c r="AC30" s="657"/>
      <c r="AD30" s="662"/>
      <c r="AF30" s="427">
        <f t="shared" si="36"/>
        <v>11.330676121077911</v>
      </c>
      <c r="AG30" s="428">
        <f t="shared" si="30"/>
        <v>32.244939884206474</v>
      </c>
      <c r="AH30" s="428">
        <f t="shared" si="37"/>
        <v>62.678611449395461</v>
      </c>
      <c r="AI30" s="428">
        <f t="shared" si="31"/>
        <v>182.56401136923117</v>
      </c>
      <c r="AJ30" s="428">
        <f t="shared" si="38"/>
        <v>11.488572888951033</v>
      </c>
      <c r="AK30" s="428">
        <f t="shared" si="32"/>
        <v>31.994084031452434</v>
      </c>
      <c r="AL30" s="428">
        <f t="shared" si="39"/>
        <v>66.566582303005276</v>
      </c>
      <c r="AM30" s="428">
        <f t="shared" si="33"/>
        <v>191.14385842352712</v>
      </c>
      <c r="AN30" s="428">
        <f t="shared" si="40"/>
        <v>12.300432039770239</v>
      </c>
      <c r="AO30" s="428">
        <f t="shared" si="34"/>
        <v>34.254999303008404</v>
      </c>
      <c r="AP30" s="428">
        <f t="shared" si="41"/>
        <v>71.270620785750964</v>
      </c>
      <c r="AQ30" s="429">
        <f t="shared" si="35"/>
        <v>204.65135775212306</v>
      </c>
      <c r="BB30" s="418">
        <f>'Inhalation Exposure'!I28</f>
        <v>2.1351067484662578</v>
      </c>
      <c r="BC30" s="419">
        <f>'Inhalation Exposure'!J28</f>
        <v>0.91227288343558299</v>
      </c>
      <c r="BD30" s="419">
        <f>'Inhalation Exposure'!K28</f>
        <v>1.8155669629815117</v>
      </c>
      <c r="BE30" s="419">
        <f>'Inhalation Exposure'!L28</f>
        <v>0.77574224781937307</v>
      </c>
      <c r="BF30" s="419">
        <f>'Inhalation Exposure'!M28</f>
        <v>1.3314157728531086</v>
      </c>
      <c r="BG30" s="419">
        <f>'Inhalation Exposure'!N28</f>
        <v>0.56887764840087351</v>
      </c>
      <c r="BH30" s="419">
        <f>'Inhalation Exposure'!O28</f>
        <v>1.2435390157407613</v>
      </c>
      <c r="BI30" s="448">
        <f>'Inhalation Exposure'!P28</f>
        <v>0.531330306725598</v>
      </c>
      <c r="BJ30" s="420"/>
      <c r="BK30" s="430"/>
      <c r="BL30" s="431"/>
      <c r="BM30" s="432"/>
      <c r="BN30" s="433"/>
      <c r="BO30" s="434"/>
      <c r="BP30" s="435"/>
      <c r="BQ30" s="435"/>
      <c r="BR30" s="435"/>
      <c r="BS30" s="435"/>
      <c r="BT30" s="435"/>
    </row>
    <row r="31" spans="1:72" x14ac:dyDescent="0.3">
      <c r="A31" s="305">
        <v>2</v>
      </c>
      <c r="B31" s="646"/>
      <c r="C31" s="308" t="s">
        <v>268</v>
      </c>
      <c r="D31" s="206" t="s">
        <v>73</v>
      </c>
      <c r="E31" s="380" t="s">
        <v>269</v>
      </c>
      <c r="F31" s="424">
        <f>'Hazard Values'!$G$12/BD31</f>
        <v>55.773619335643964</v>
      </c>
      <c r="G31" s="425">
        <f>'Hazard Values'!$G$12/BE31</f>
        <v>568.04586238514935</v>
      </c>
      <c r="H31" s="425">
        <f t="shared" si="0"/>
        <v>557.73619335643968</v>
      </c>
      <c r="I31" s="425">
        <f t="shared" si="1"/>
        <v>5680.458623851493</v>
      </c>
      <c r="J31" s="425">
        <f>'Hazard Values'!$G$13/BF31</f>
        <v>39.662293444293965</v>
      </c>
      <c r="K31" s="425">
        <f>'Hazard Values'!$G$13/BG31</f>
        <v>403.95444929173323</v>
      </c>
      <c r="L31" s="425">
        <f t="shared" si="2"/>
        <v>396.62293444293965</v>
      </c>
      <c r="M31" s="425">
        <f t="shared" si="3"/>
        <v>4039.5444929173323</v>
      </c>
      <c r="N31" s="425">
        <f>'Hazard Values'!$G$14/BH31</f>
        <v>42.465095514357401</v>
      </c>
      <c r="O31" s="425">
        <f>'Hazard Values'!$G$14/BI31</f>
        <v>432.50056370834909</v>
      </c>
      <c r="P31" s="425">
        <f t="shared" si="4"/>
        <v>424.65095514357404</v>
      </c>
      <c r="Q31" s="426">
        <f t="shared" si="5"/>
        <v>4325.0056370834909</v>
      </c>
      <c r="S31" s="663"/>
      <c r="T31" s="657"/>
      <c r="U31" s="657"/>
      <c r="V31" s="657"/>
      <c r="W31" s="657"/>
      <c r="X31" s="657"/>
      <c r="Y31" s="657"/>
      <c r="Z31" s="657"/>
      <c r="AA31" s="657"/>
      <c r="AB31" s="657"/>
      <c r="AC31" s="657"/>
      <c r="AD31" s="662"/>
      <c r="AF31" s="427">
        <f t="shared" si="36"/>
        <v>11.208538889564078</v>
      </c>
      <c r="AG31" s="428">
        <f t="shared" si="30"/>
        <v>39.180175832561261</v>
      </c>
      <c r="AH31" s="428">
        <f t="shared" si="37"/>
        <v>62.303057812711891</v>
      </c>
      <c r="AI31" s="428">
        <f t="shared" si="31"/>
        <v>202.89818983820678</v>
      </c>
      <c r="AJ31" s="428">
        <f t="shared" si="38"/>
        <v>11.312808548383931</v>
      </c>
      <c r="AK31" s="428">
        <f t="shared" si="32"/>
        <v>42.487444276718655</v>
      </c>
      <c r="AL31" s="428">
        <f t="shared" si="39"/>
        <v>65.972680508470702</v>
      </c>
      <c r="AM31" s="428">
        <f t="shared" si="33"/>
        <v>224.22930606458937</v>
      </c>
      <c r="AN31" s="428">
        <f t="shared" si="40"/>
        <v>12.112247019136392</v>
      </c>
      <c r="AO31" s="428">
        <f t="shared" si="34"/>
        <v>45.489890338940107</v>
      </c>
      <c r="AP31" s="428">
        <f t="shared" si="41"/>
        <v>70.634749931069294</v>
      </c>
      <c r="AQ31" s="429">
        <f t="shared" si="35"/>
        <v>240.07484369315372</v>
      </c>
      <c r="BB31" s="418">
        <f>'Inhalation Exposure'!I29</f>
        <v>1.8801003278800263</v>
      </c>
      <c r="BC31" s="419">
        <f>'Inhalation Exposure'!J29</f>
        <v>0.18459777096114521</v>
      </c>
      <c r="BD31" s="419">
        <f>'Inhalation Exposure'!K29</f>
        <v>1.9184697223265577</v>
      </c>
      <c r="BE31" s="419">
        <f>'Inhalation Exposure'!L29</f>
        <v>0.18836507240933181</v>
      </c>
      <c r="BF31" s="419">
        <f>'Inhalation Exposure'!M29</f>
        <v>1.406877796372809</v>
      </c>
      <c r="BG31" s="419">
        <f>'Inhalation Exposure'!N29</f>
        <v>0.13813438643351</v>
      </c>
      <c r="BH31" s="419">
        <f>'Inhalation Exposure'!O29</f>
        <v>1.3140203577579164</v>
      </c>
      <c r="BI31" s="448">
        <f>'Inhalation Exposure'!P29</f>
        <v>0.12901717288310396</v>
      </c>
      <c r="BJ31" s="420"/>
      <c r="BK31" s="430"/>
      <c r="BL31" s="431"/>
      <c r="BM31" s="432"/>
      <c r="BN31" s="433"/>
      <c r="BO31" s="434"/>
      <c r="BP31" s="435"/>
      <c r="BQ31" s="435"/>
      <c r="BR31" s="435"/>
      <c r="BS31" s="435"/>
      <c r="BT31" s="435"/>
    </row>
    <row r="32" spans="1:72" ht="26" x14ac:dyDescent="0.3">
      <c r="A32" s="305">
        <v>3</v>
      </c>
      <c r="B32" s="645" t="s">
        <v>246</v>
      </c>
      <c r="C32" s="308" t="s">
        <v>263</v>
      </c>
      <c r="D32" s="206" t="s">
        <v>54</v>
      </c>
      <c r="E32" s="380" t="s">
        <v>107</v>
      </c>
      <c r="F32" s="424">
        <f>'Hazard Values'!$G$12/BD32</f>
        <v>518.62587235764136</v>
      </c>
      <c r="G32" s="425">
        <f>'Hazard Values'!$G$12/BE32</f>
        <v>518.62587235764136</v>
      </c>
      <c r="H32" s="425">
        <f t="shared" si="0"/>
        <v>5186.2587235764131</v>
      </c>
      <c r="I32" s="425">
        <f t="shared" si="1"/>
        <v>5186.2587235764131</v>
      </c>
      <c r="J32" s="425">
        <f>'Hazard Values'!$G$13/BF32</f>
        <v>368.81041220335243</v>
      </c>
      <c r="K32" s="425">
        <f>'Hazard Values'!$G$13/BG32</f>
        <v>368.81041220335243</v>
      </c>
      <c r="L32" s="425">
        <f t="shared" si="2"/>
        <v>3688.1041220335242</v>
      </c>
      <c r="M32" s="425">
        <f t="shared" si="3"/>
        <v>3688.1041220335242</v>
      </c>
      <c r="N32" s="425">
        <f>'Hazard Values'!$G$14/BH32</f>
        <v>394.87301466572268</v>
      </c>
      <c r="O32" s="425">
        <f>'Hazard Values'!$G$14/BI32</f>
        <v>394.87301466572268</v>
      </c>
      <c r="P32" s="425">
        <f t="shared" si="4"/>
        <v>3948.7301466572267</v>
      </c>
      <c r="Q32" s="426">
        <f t="shared" si="5"/>
        <v>3948.7301466572267</v>
      </c>
      <c r="S32" s="663">
        <f>'Hazard Values'!$I$12/'Bridge Table'!BO32</f>
        <v>14.027592345349355</v>
      </c>
      <c r="T32" s="657">
        <f>'Hazard Values'!$I$12/BP32</f>
        <v>42.082777036048064</v>
      </c>
      <c r="U32" s="657">
        <f>'Hazard Values'!$I$12/(BO32/'Bridge Table'!$V$5)</f>
        <v>70.137961726746781</v>
      </c>
      <c r="V32" s="657">
        <f>'Hazard Values'!$I$12/(BP32/'Bridge Table'!$V$5)</f>
        <v>210.41388518024033</v>
      </c>
      <c r="W32" s="657">
        <f>'Hazard Values'!$I$13/BQ32</f>
        <v>15.827163490714893</v>
      </c>
      <c r="X32" s="657">
        <f>'Hazard Values'!$I$13/BR32</f>
        <v>47.481490472144678</v>
      </c>
      <c r="Y32" s="657">
        <f>'Hazard Values'!$I$13/(BQ32/$Z$5)</f>
        <v>79.135817453574461</v>
      </c>
      <c r="Z32" s="657">
        <f>'Hazard Values'!$I$13/(BR32/$Z$5)</f>
        <v>237.4074523607234</v>
      </c>
      <c r="AA32" s="657">
        <f>'Hazard Values'!$I$14/'Bridge Table'!BS32</f>
        <v>16.945616377392078</v>
      </c>
      <c r="AB32" s="657">
        <f>'Hazard Values'!$I$14/'Bridge Table'!BT32</f>
        <v>50.836849132176233</v>
      </c>
      <c r="AC32" s="657">
        <f>'Hazard Values'!$I$14/(BS32/$AD$5)</f>
        <v>84.728081886960396</v>
      </c>
      <c r="AD32" s="662">
        <f>'Hazard Values'!$I$14/(BT32/$AD$5)</f>
        <v>254.18424566088117</v>
      </c>
      <c r="AF32" s="427">
        <v>39</v>
      </c>
      <c r="AG32" s="428">
        <f>(1/((1/G32)+(1/$T$32)))</f>
        <v>38.924345067893611</v>
      </c>
      <c r="AH32" s="428">
        <v>202</v>
      </c>
      <c r="AI32" s="428">
        <f>1/((1/(G32*$AI$5))+((1/($T$32*$AI$4))))</f>
        <v>202.20994058578702</v>
      </c>
      <c r="AJ32" s="428">
        <v>42</v>
      </c>
      <c r="AK32" s="428">
        <f>(1/((1/K32)+(1/$X$32)))</f>
        <v>42.065838803287313</v>
      </c>
      <c r="AL32" s="428">
        <v>223</v>
      </c>
      <c r="AM32" s="428">
        <f>1/((1/(K32*$AM$5))+(1/($X$32*$AM$4)))</f>
        <v>223.0495024812592</v>
      </c>
      <c r="AN32" s="428">
        <v>45</v>
      </c>
      <c r="AO32" s="428">
        <f>(1/((1/O32)+(1/$AB$32)))</f>
        <v>45.038491412052949</v>
      </c>
      <c r="AP32" s="428">
        <v>239</v>
      </c>
      <c r="AQ32" s="429">
        <f>1/((1/(O32*$AM$5))+(1/($AB$32*$AM$4)))</f>
        <v>238.81166732326818</v>
      </c>
      <c r="BB32" s="418">
        <f>'Inhalation Exposure'!I30</f>
        <v>0.30328220858895705</v>
      </c>
      <c r="BC32" s="419">
        <f>'Inhalation Exposure'!J30</f>
        <v>0.30328220858895705</v>
      </c>
      <c r="BD32" s="419">
        <f>'Inhalation Exposure'!K30</f>
        <v>0.2063144276115354</v>
      </c>
      <c r="BE32" s="419">
        <f>'Inhalation Exposure'!L30</f>
        <v>0.2063144276115354</v>
      </c>
      <c r="BF32" s="419">
        <f>'Inhalation Exposure'!M30</f>
        <v>0.15129724691512597</v>
      </c>
      <c r="BG32" s="419">
        <f>'Inhalation Exposure'!N30</f>
        <v>0.15129724691512597</v>
      </c>
      <c r="BH32" s="419">
        <f>'Inhalation Exposure'!O30</f>
        <v>0.14131125178872286</v>
      </c>
      <c r="BI32" s="448">
        <f>'Inhalation Exposure'!P30</f>
        <v>0.14131125178872286</v>
      </c>
      <c r="BJ32" s="420"/>
      <c r="BK32" s="430">
        <v>3</v>
      </c>
      <c r="BL32" s="431" t="s">
        <v>246</v>
      </c>
      <c r="BM32" s="432" t="s">
        <v>264</v>
      </c>
      <c r="BN32" s="433" t="s">
        <v>73</v>
      </c>
      <c r="BO32" s="434">
        <f>'Dermal Exposure'!T20</f>
        <v>28.087499999999999</v>
      </c>
      <c r="BP32" s="435">
        <f>'Dermal Exposure'!U20</f>
        <v>9.3625000000000007</v>
      </c>
      <c r="BQ32" s="435">
        <f>'Dermal Exposure'!V20</f>
        <v>20.5975</v>
      </c>
      <c r="BR32" s="435">
        <f>'Dermal Exposure'!W20</f>
        <v>6.8658333333333337</v>
      </c>
      <c r="BS32" s="435">
        <f>'Dermal Exposure'!X20</f>
        <v>19.238013698630137</v>
      </c>
      <c r="BT32" s="435">
        <f>'Dermal Exposure'!Y20</f>
        <v>6.4126712328767121</v>
      </c>
    </row>
    <row r="33" spans="1:72" ht="26" x14ac:dyDescent="0.3">
      <c r="A33" s="305">
        <v>3</v>
      </c>
      <c r="B33" s="647"/>
      <c r="C33" s="308" t="s">
        <v>264</v>
      </c>
      <c r="D33" s="206" t="s">
        <v>73</v>
      </c>
      <c r="E33" s="380" t="s">
        <v>107</v>
      </c>
      <c r="F33" s="424">
        <f>'Hazard Values'!$G$12/BD33</f>
        <v>16.207058511176296</v>
      </c>
      <c r="G33" s="425">
        <f>'Hazard Values'!$G$12/BE33</f>
        <v>54.023528370587634</v>
      </c>
      <c r="H33" s="425">
        <f t="shared" si="0"/>
        <v>162.07058511176297</v>
      </c>
      <c r="I33" s="425">
        <f t="shared" si="1"/>
        <v>540.23528370587633</v>
      </c>
      <c r="J33" s="425">
        <f>'Hazard Values'!$G$13/BF33</f>
        <v>11.525325381354765</v>
      </c>
      <c r="K33" s="425">
        <f>'Hazard Values'!$G$13/BG33</f>
        <v>38.417751271182539</v>
      </c>
      <c r="L33" s="425">
        <f t="shared" si="2"/>
        <v>115.25325381354764</v>
      </c>
      <c r="M33" s="425">
        <f t="shared" si="3"/>
        <v>384.17751271182539</v>
      </c>
      <c r="N33" s="425">
        <f>'Hazard Values'!$G$14/BH33</f>
        <v>12.339781708303837</v>
      </c>
      <c r="O33" s="425">
        <f>'Hazard Values'!$G$14/BI33</f>
        <v>41.132605694346111</v>
      </c>
      <c r="P33" s="425">
        <f t="shared" si="4"/>
        <v>123.39781708303838</v>
      </c>
      <c r="Q33" s="426">
        <f t="shared" si="5"/>
        <v>411.32605694346114</v>
      </c>
      <c r="S33" s="663"/>
      <c r="T33" s="657"/>
      <c r="U33" s="657"/>
      <c r="V33" s="657"/>
      <c r="W33" s="657"/>
      <c r="X33" s="657"/>
      <c r="Y33" s="657"/>
      <c r="Z33" s="657"/>
      <c r="AA33" s="657"/>
      <c r="AB33" s="657"/>
      <c r="AC33" s="657"/>
      <c r="AD33" s="662"/>
      <c r="AF33" s="427">
        <f t="shared" ref="AF33:AF39" si="42">(1/((1/F33)+(1/$S$32)))</f>
        <v>7.5193859850025966</v>
      </c>
      <c r="AG33" s="428">
        <f t="shared" ref="AG33:AG39" si="43">(1/((1/G33)+(1/$T$32)))</f>
        <v>23.655680961835042</v>
      </c>
      <c r="AH33" s="428">
        <f t="shared" ref="AH33:AH39" si="44">1/((1/(F33*$AI$5))+((1/($S$32*$AI$4))))</f>
        <v>48.952980630405975</v>
      </c>
      <c r="AI33" s="428">
        <f t="shared" ref="AI33:AI39" si="45">1/((1/(G33*$AI$5))+((1/($T$32*$AI$4))))</f>
        <v>151.43293254381595</v>
      </c>
      <c r="AJ33" s="428">
        <f t="shared" ref="AJ33:AJ39" si="46">(1/((1/J33)+(1/$W$32)))</f>
        <v>6.6689802872255157</v>
      </c>
      <c r="AK33" s="428">
        <f t="shared" ref="AK33:AK39" si="47">(1/((1/K33)+(1/$X$32)))</f>
        <v>21.235718196378365</v>
      </c>
      <c r="AL33" s="428">
        <f t="shared" ref="AL33:AL39" si="48">1/((1/(J33*$AM$5))+(1/($W$32*$AM$4)))</f>
        <v>46.919615363489875</v>
      </c>
      <c r="AM33" s="428">
        <f t="shared" ref="AM33:AM39" si="49">1/((1/(K33*$AM$5))+(1/($X$32*$AM$4)))</f>
        <v>146.73232087675839</v>
      </c>
      <c r="AN33" s="428">
        <f t="shared" ref="AN33:AN39" si="50">(1/((1/N33)+(1/$AA$32)))</f>
        <v>7.1402548941894537</v>
      </c>
      <c r="AO33" s="428">
        <f t="shared" ref="AO33:AO39" si="51">(1/((1/O33)+(1/$AB$32)))</f>
        <v>22.736375615589104</v>
      </c>
      <c r="AP33" s="428">
        <f t="shared" ref="AP33:AP39" si="52">1/((1/(N33*$AM$5))+(1/($AA$32*$AM$4)))</f>
        <v>50.235268182509834</v>
      </c>
      <c r="AQ33" s="429">
        <f t="shared" ref="AQ33:AQ39" si="53">1/((1/(O33*$AM$5))+(1/($AB$32*$AM$4)))</f>
        <v>157.10140488538266</v>
      </c>
      <c r="BB33" s="418">
        <f>'Inhalation Exposure'!I31</f>
        <v>9.705030674846622</v>
      </c>
      <c r="BC33" s="419">
        <f>'Inhalation Exposure'!J31</f>
        <v>2.9115092024539879</v>
      </c>
      <c r="BD33" s="419">
        <f>'Inhalation Exposure'!K31</f>
        <v>6.602061683569131</v>
      </c>
      <c r="BE33" s="419">
        <f>'Inhalation Exposure'!L31</f>
        <v>1.9806185050707401</v>
      </c>
      <c r="BF33" s="419">
        <f>'Inhalation Exposure'!M31</f>
        <v>4.8415119012840302</v>
      </c>
      <c r="BG33" s="419">
        <f>'Inhalation Exposure'!N31</f>
        <v>1.4524535703852095</v>
      </c>
      <c r="BH33" s="419">
        <f>'Inhalation Exposure'!O31</f>
        <v>4.5219600572391307</v>
      </c>
      <c r="BI33" s="448">
        <f>'Inhalation Exposure'!P31</f>
        <v>1.3565880171717397</v>
      </c>
      <c r="BJ33" s="420"/>
      <c r="BK33" s="430">
        <v>3</v>
      </c>
      <c r="BL33" s="431" t="s">
        <v>246</v>
      </c>
      <c r="BM33" s="432" t="s">
        <v>265</v>
      </c>
      <c r="BN33" s="433" t="s">
        <v>73</v>
      </c>
      <c r="BO33" s="434">
        <f>'Dermal Exposure'!T21</f>
        <v>28.087499999999999</v>
      </c>
      <c r="BP33" s="435">
        <f>'Dermal Exposure'!U21</f>
        <v>9.3625000000000007</v>
      </c>
      <c r="BQ33" s="435">
        <f>'Dermal Exposure'!V21</f>
        <v>20.5975</v>
      </c>
      <c r="BR33" s="435">
        <f>'Dermal Exposure'!W21</f>
        <v>6.8658333333333337</v>
      </c>
      <c r="BS33" s="435">
        <f>'Dermal Exposure'!X21</f>
        <v>19.238013698630137</v>
      </c>
      <c r="BT33" s="435">
        <f>'Dermal Exposure'!Y21</f>
        <v>6.4126712328767121</v>
      </c>
    </row>
    <row r="34" spans="1:72" ht="26" x14ac:dyDescent="0.3">
      <c r="A34" s="305">
        <v>3</v>
      </c>
      <c r="B34" s="647"/>
      <c r="C34" s="308" t="s">
        <v>265</v>
      </c>
      <c r="D34" s="206" t="s">
        <v>73</v>
      </c>
      <c r="E34" s="380" t="s">
        <v>107</v>
      </c>
      <c r="F34" s="424">
        <f>'Hazard Values'!$G$12/BD34</f>
        <v>3.3677004698548143</v>
      </c>
      <c r="G34" s="425">
        <f>'Hazard Values'!$G$12/BE34</f>
        <v>648.28234044705164</v>
      </c>
      <c r="H34" s="425">
        <f t="shared" si="0"/>
        <v>33.677004698548146</v>
      </c>
      <c r="I34" s="425">
        <f t="shared" si="1"/>
        <v>6482.8234044705168</v>
      </c>
      <c r="J34" s="425">
        <f>'Hazard Values'!$G$13/BF34</f>
        <v>2.3948728065152758</v>
      </c>
      <c r="K34" s="425">
        <f>'Hazard Values'!$G$13/BG34</f>
        <v>461.01301525419041</v>
      </c>
      <c r="L34" s="425">
        <f t="shared" si="2"/>
        <v>23.948728065152757</v>
      </c>
      <c r="M34" s="425">
        <f t="shared" si="3"/>
        <v>4610.130152541904</v>
      </c>
      <c r="N34" s="425">
        <f>'Hazard Values'!$G$14/BH34</f>
        <v>2.564110484842355</v>
      </c>
      <c r="O34" s="425">
        <f>'Hazard Values'!$G$14/BI34</f>
        <v>493.59126833215322</v>
      </c>
      <c r="P34" s="425">
        <f t="shared" si="4"/>
        <v>25.641104848423552</v>
      </c>
      <c r="Q34" s="426">
        <f t="shared" si="5"/>
        <v>4935.9126833215323</v>
      </c>
      <c r="S34" s="663"/>
      <c r="T34" s="657"/>
      <c r="U34" s="657"/>
      <c r="V34" s="657"/>
      <c r="W34" s="657"/>
      <c r="X34" s="657"/>
      <c r="Y34" s="657"/>
      <c r="Z34" s="657"/>
      <c r="AA34" s="657"/>
      <c r="AB34" s="657"/>
      <c r="AC34" s="657"/>
      <c r="AD34" s="662"/>
      <c r="AF34" s="427">
        <f t="shared" si="42"/>
        <v>2.7157191220762069</v>
      </c>
      <c r="AG34" s="428">
        <f t="shared" si="43"/>
        <v>39.517525579656095</v>
      </c>
      <c r="AH34" s="428">
        <f t="shared" si="44"/>
        <v>22.752369412149825</v>
      </c>
      <c r="AI34" s="428">
        <f t="shared" si="45"/>
        <v>203.79914837043071</v>
      </c>
      <c r="AJ34" s="428">
        <f t="shared" si="46"/>
        <v>2.0801211692211408</v>
      </c>
      <c r="AK34" s="428">
        <f t="shared" si="47"/>
        <v>43.047830104003545</v>
      </c>
      <c r="AL34" s="428">
        <f t="shared" si="48"/>
        <v>18.384930183981123</v>
      </c>
      <c r="AM34" s="428">
        <f t="shared" si="49"/>
        <v>225.78045675383913</v>
      </c>
      <c r="AN34" s="428">
        <f t="shared" si="50"/>
        <v>2.2271163985127678</v>
      </c>
      <c r="AO34" s="428">
        <f t="shared" si="51"/>
        <v>46.089876764686466</v>
      </c>
      <c r="AP34" s="428">
        <f t="shared" si="52"/>
        <v>19.684131916982455</v>
      </c>
      <c r="AQ34" s="429">
        <f t="shared" si="53"/>
        <v>241.73560903111044</v>
      </c>
      <c r="BB34" s="418">
        <f>'Inhalation Exposure'!I32</f>
        <v>46.705460122699385</v>
      </c>
      <c r="BC34" s="419">
        <f>'Inhalation Exposure'!J32</f>
        <v>0.24262576687116569</v>
      </c>
      <c r="BD34" s="419">
        <f>'Inhalation Exposure'!K32</f>
        <v>31.77242185217645</v>
      </c>
      <c r="BE34" s="419">
        <f>'Inhalation Exposure'!L32</f>
        <v>0.16505154208922834</v>
      </c>
      <c r="BF34" s="419">
        <f>'Inhalation Exposure'!M32</f>
        <v>23.299776024929397</v>
      </c>
      <c r="BG34" s="419">
        <f>'Inhalation Exposure'!N32</f>
        <v>0.1210377975321008</v>
      </c>
      <c r="BH34" s="419">
        <f>'Inhalation Exposure'!O32</f>
        <v>21.761932775463322</v>
      </c>
      <c r="BI34" s="448">
        <f>'Inhalation Exposure'!P32</f>
        <v>0.11304900143097833</v>
      </c>
      <c r="BJ34" s="420"/>
      <c r="BK34" s="430">
        <v>3</v>
      </c>
      <c r="BL34" s="431" t="s">
        <v>246</v>
      </c>
      <c r="BM34" s="432" t="s">
        <v>266</v>
      </c>
      <c r="BN34" s="433" t="s">
        <v>73</v>
      </c>
      <c r="BO34" s="434">
        <f>'Dermal Exposure'!T22</f>
        <v>28.087499999999999</v>
      </c>
      <c r="BP34" s="435">
        <f>'Dermal Exposure'!U22</f>
        <v>9.3625000000000007</v>
      </c>
      <c r="BQ34" s="435">
        <f>'Dermal Exposure'!V22</f>
        <v>20.5975</v>
      </c>
      <c r="BR34" s="435">
        <f>'Dermal Exposure'!W22</f>
        <v>6.8658333333333337</v>
      </c>
      <c r="BS34" s="435">
        <f>'Dermal Exposure'!X22</f>
        <v>19.238013698630137</v>
      </c>
      <c r="BT34" s="435">
        <f>'Dermal Exposure'!Y22</f>
        <v>6.4126712328767121</v>
      </c>
    </row>
    <row r="35" spans="1:72" ht="26" x14ac:dyDescent="0.3">
      <c r="A35" s="305">
        <v>3</v>
      </c>
      <c r="B35" s="647"/>
      <c r="C35" s="308" t="s">
        <v>266</v>
      </c>
      <c r="D35" s="206" t="s">
        <v>73</v>
      </c>
      <c r="E35" s="380" t="s">
        <v>269</v>
      </c>
      <c r="F35" s="424">
        <f>'Hazard Values'!$G$12/BD35</f>
        <v>30.628416529482646</v>
      </c>
      <c r="G35" s="425">
        <f>'Hazard Values'!$G$12/BE35</f>
        <v>314.84344960245346</v>
      </c>
      <c r="H35" s="425">
        <f t="shared" si="0"/>
        <v>306.28416529482644</v>
      </c>
      <c r="I35" s="425">
        <f t="shared" si="1"/>
        <v>3148.4344960245344</v>
      </c>
      <c r="J35" s="425">
        <f>'Hazard Values'!$G$13/BF35</f>
        <v>21.780785586386553</v>
      </c>
      <c r="K35" s="425">
        <f>'Hazard Values'!$G$13/BG35</f>
        <v>223.89461964082713</v>
      </c>
      <c r="L35" s="425">
        <f t="shared" si="2"/>
        <v>217.80785586386554</v>
      </c>
      <c r="M35" s="425">
        <f t="shared" si="3"/>
        <v>2238.9461964082711</v>
      </c>
      <c r="N35" s="425">
        <f>'Hazard Values'!$G$14/BH35</f>
        <v>23.319961101157872</v>
      </c>
      <c r="O35" s="425">
        <f>'Hazard Values'!$G$14/BI35</f>
        <v>239.71650609544557</v>
      </c>
      <c r="P35" s="425">
        <f t="shared" si="4"/>
        <v>233.19961101157872</v>
      </c>
      <c r="Q35" s="426">
        <f t="shared" si="5"/>
        <v>2397.1650609544558</v>
      </c>
      <c r="S35" s="663"/>
      <c r="T35" s="657"/>
      <c r="U35" s="657"/>
      <c r="V35" s="657"/>
      <c r="W35" s="657"/>
      <c r="X35" s="657"/>
      <c r="Y35" s="657"/>
      <c r="Z35" s="657"/>
      <c r="AA35" s="657"/>
      <c r="AB35" s="657"/>
      <c r="AC35" s="657"/>
      <c r="AD35" s="662"/>
      <c r="AF35" s="427">
        <f t="shared" si="42"/>
        <v>9.6211674998409453</v>
      </c>
      <c r="AG35" s="428">
        <f t="shared" si="43"/>
        <v>37.121079097108485</v>
      </c>
      <c r="AH35" s="428">
        <f t="shared" si="44"/>
        <v>57.069299387190242</v>
      </c>
      <c r="AI35" s="428">
        <f t="shared" si="45"/>
        <v>197.23258074137701</v>
      </c>
      <c r="AJ35" s="428">
        <f t="shared" si="46"/>
        <v>9.1663614446298762</v>
      </c>
      <c r="AK35" s="428">
        <f t="shared" si="47"/>
        <v>39.173861858418</v>
      </c>
      <c r="AL35" s="428">
        <f t="shared" si="48"/>
        <v>58.046034552725395</v>
      </c>
      <c r="AM35" s="428">
        <f t="shared" si="49"/>
        <v>214.64725473530461</v>
      </c>
      <c r="AN35" s="428">
        <f t="shared" si="50"/>
        <v>9.81411765338372</v>
      </c>
      <c r="AO35" s="428">
        <f t="shared" si="51"/>
        <v>41.942148096412872</v>
      </c>
      <c r="AP35" s="428">
        <f t="shared" si="52"/>
        <v>62.147954327784639</v>
      </c>
      <c r="AQ35" s="429">
        <f t="shared" si="53"/>
        <v>229.81566073659951</v>
      </c>
      <c r="BB35" s="418">
        <f>'Inhalation Exposure'!I33</f>
        <v>3.42361806066803</v>
      </c>
      <c r="BC35" s="419">
        <f>'Inhalation Exposure'!J33</f>
        <v>0.33305441206543968</v>
      </c>
      <c r="BD35" s="419">
        <f>'Inhalation Exposure'!K33</f>
        <v>3.4934878170081936</v>
      </c>
      <c r="BE35" s="419">
        <f>'Inhalation Exposure'!L33</f>
        <v>0.33985144088310165</v>
      </c>
      <c r="BF35" s="419">
        <f>'Inhalation Exposure'!M33</f>
        <v>2.5618910658060088</v>
      </c>
      <c r="BG35" s="419">
        <f>'Inhalation Exposure'!N33</f>
        <v>0.24922438998094121</v>
      </c>
      <c r="BH35" s="419">
        <f>'Inhalation Exposure'!O33</f>
        <v>2.392799874663146</v>
      </c>
      <c r="BI35" s="448">
        <f>'Inhalation Exposure'!P33</f>
        <v>0.23277495950897373</v>
      </c>
      <c r="BJ35" s="420"/>
      <c r="BK35" s="430">
        <v>3</v>
      </c>
      <c r="BL35" s="431" t="s">
        <v>246</v>
      </c>
      <c r="BM35" s="432" t="s">
        <v>267</v>
      </c>
      <c r="BN35" s="433" t="s">
        <v>73</v>
      </c>
      <c r="BO35" s="434">
        <f>'Dermal Exposure'!T23</f>
        <v>28.087499999999999</v>
      </c>
      <c r="BP35" s="435">
        <f>'Dermal Exposure'!U23</f>
        <v>9.3625000000000007</v>
      </c>
      <c r="BQ35" s="435">
        <f>'Dermal Exposure'!V23</f>
        <v>20.5975</v>
      </c>
      <c r="BR35" s="435">
        <f>'Dermal Exposure'!W23</f>
        <v>6.8658333333333337</v>
      </c>
      <c r="BS35" s="435">
        <f>'Dermal Exposure'!X23</f>
        <v>19.238013698630137</v>
      </c>
      <c r="BT35" s="435">
        <f>'Dermal Exposure'!Y23</f>
        <v>6.4126712328767121</v>
      </c>
    </row>
    <row r="36" spans="1:72" ht="26" x14ac:dyDescent="0.3">
      <c r="A36" s="305">
        <v>3</v>
      </c>
      <c r="B36" s="647"/>
      <c r="C36" s="308" t="s">
        <v>267</v>
      </c>
      <c r="D36" s="206" t="s">
        <v>73</v>
      </c>
      <c r="E36" s="380" t="s">
        <v>107</v>
      </c>
      <c r="F36" s="424">
        <f>'Hazard Values'!$G$12/BD36</f>
        <v>997.35744684161796</v>
      </c>
      <c r="G36" s="425">
        <f>'Hazard Values'!$G$12/BE36</f>
        <v>997.35744684161796</v>
      </c>
      <c r="H36" s="425">
        <f t="shared" si="0"/>
        <v>9973.57446841618</v>
      </c>
      <c r="I36" s="425">
        <f t="shared" si="1"/>
        <v>9973.57446841618</v>
      </c>
      <c r="J36" s="425">
        <f>'Hazard Values'!$G$13/BF36</f>
        <v>709.25079269875471</v>
      </c>
      <c r="K36" s="425">
        <f>'Hazard Values'!$G$13/BG36</f>
        <v>709.25079269875471</v>
      </c>
      <c r="L36" s="425">
        <f t="shared" si="2"/>
        <v>7092.5079269875469</v>
      </c>
      <c r="M36" s="425">
        <f t="shared" si="3"/>
        <v>7092.5079269875469</v>
      </c>
      <c r="N36" s="425">
        <f>'Hazard Values'!$G$14/BH36</f>
        <v>759.3711820494666</v>
      </c>
      <c r="O36" s="425">
        <f>'Hazard Values'!$G$14/BI36</f>
        <v>759.3711820494666</v>
      </c>
      <c r="P36" s="425">
        <f t="shared" si="4"/>
        <v>7593.7118204946655</v>
      </c>
      <c r="Q36" s="426">
        <f t="shared" si="5"/>
        <v>7593.7118204946655</v>
      </c>
      <c r="S36" s="663"/>
      <c r="T36" s="657"/>
      <c r="U36" s="657"/>
      <c r="V36" s="657"/>
      <c r="W36" s="657"/>
      <c r="X36" s="657"/>
      <c r="Y36" s="657"/>
      <c r="Z36" s="657"/>
      <c r="AA36" s="657"/>
      <c r="AB36" s="657"/>
      <c r="AC36" s="657"/>
      <c r="AD36" s="662"/>
      <c r="AF36" s="427">
        <f t="shared" si="42"/>
        <v>13.833034052134453</v>
      </c>
      <c r="AG36" s="428">
        <f t="shared" si="43"/>
        <v>40.379013719616928</v>
      </c>
      <c r="AH36" s="428">
        <f t="shared" si="44"/>
        <v>69.648169360687092</v>
      </c>
      <c r="AI36" s="428">
        <f t="shared" si="45"/>
        <v>206.06647220809097</v>
      </c>
      <c r="AJ36" s="428">
        <f t="shared" si="46"/>
        <v>15.481684632857631</v>
      </c>
      <c r="AK36" s="428">
        <f t="shared" si="47"/>
        <v>44.502244062820793</v>
      </c>
      <c r="AL36" s="428">
        <f t="shared" si="48"/>
        <v>78.262589804906113</v>
      </c>
      <c r="AM36" s="428">
        <f t="shared" si="49"/>
        <v>229.71810050337351</v>
      </c>
      <c r="AN36" s="428">
        <f t="shared" si="50"/>
        <v>16.575723680246231</v>
      </c>
      <c r="AO36" s="428">
        <f t="shared" si="51"/>
        <v>47.647069309926792</v>
      </c>
      <c r="AP36" s="428">
        <f t="shared" si="52"/>
        <v>83.793146151119458</v>
      </c>
      <c r="AQ36" s="429">
        <f t="shared" si="53"/>
        <v>245.95151293894526</v>
      </c>
      <c r="BB36" s="418">
        <f>'Inhalation Exposure'!I34</f>
        <v>0.15770674846625768</v>
      </c>
      <c r="BC36" s="419">
        <f>'Inhalation Exposure'!J34</f>
        <v>0.15770674846625768</v>
      </c>
      <c r="BD36" s="419">
        <f>'Inhalation Exposure'!K34</f>
        <v>0.10728350235799841</v>
      </c>
      <c r="BE36" s="419">
        <f>'Inhalation Exposure'!L34</f>
        <v>0.10728350235799841</v>
      </c>
      <c r="BF36" s="419">
        <f>'Inhalation Exposure'!M34</f>
        <v>7.8674568395865493E-2</v>
      </c>
      <c r="BG36" s="419">
        <f>'Inhalation Exposure'!N34</f>
        <v>7.8674568395865493E-2</v>
      </c>
      <c r="BH36" s="419">
        <f>'Inhalation Exposure'!O34</f>
        <v>7.34818509301359E-2</v>
      </c>
      <c r="BI36" s="448">
        <f>'Inhalation Exposure'!P34</f>
        <v>7.34818509301359E-2</v>
      </c>
      <c r="BJ36" s="420"/>
      <c r="BK36" s="430">
        <v>3</v>
      </c>
      <c r="BL36" s="431" t="s">
        <v>246</v>
      </c>
      <c r="BM36" s="432" t="s">
        <v>268</v>
      </c>
      <c r="BN36" s="433" t="s">
        <v>73</v>
      </c>
      <c r="BO36" s="434">
        <f>'Dermal Exposure'!T24</f>
        <v>28.087499999999999</v>
      </c>
      <c r="BP36" s="435">
        <f>'Dermal Exposure'!U24</f>
        <v>9.3625000000000007</v>
      </c>
      <c r="BQ36" s="435">
        <f>'Dermal Exposure'!V24</f>
        <v>20.5975</v>
      </c>
      <c r="BR36" s="435">
        <f>'Dermal Exposure'!W24</f>
        <v>6.8658333333333337</v>
      </c>
      <c r="BS36" s="435">
        <f>'Dermal Exposure'!X24</f>
        <v>19.238013698630137</v>
      </c>
      <c r="BT36" s="435">
        <f>'Dermal Exposure'!Y24</f>
        <v>6.4126712328767121</v>
      </c>
    </row>
    <row r="37" spans="1:72" x14ac:dyDescent="0.3">
      <c r="A37" s="305">
        <v>3</v>
      </c>
      <c r="B37" s="647"/>
      <c r="C37" s="308" t="s">
        <v>268</v>
      </c>
      <c r="D37" s="206" t="s">
        <v>73</v>
      </c>
      <c r="E37" s="380" t="s">
        <v>107</v>
      </c>
      <c r="F37" s="424">
        <f>'Hazard Values'!$G$12/BD37</f>
        <v>19.541168632110153</v>
      </c>
      <c r="G37" s="425">
        <f>'Hazard Values'!$G$12/BE37</f>
        <v>308.01833547595629</v>
      </c>
      <c r="H37" s="425">
        <f t="shared" si="0"/>
        <v>195.41168632110154</v>
      </c>
      <c r="I37" s="425">
        <f t="shared" si="1"/>
        <v>3080.1833547595629</v>
      </c>
      <c r="J37" s="425">
        <f>'Hazard Values'!$G$13/BF37</f>
        <v>13.896311083327271</v>
      </c>
      <c r="K37" s="425">
        <f>'Hazard Values'!$G$13/BG37</f>
        <v>219.04107629003857</v>
      </c>
      <c r="L37" s="425">
        <f t="shared" si="2"/>
        <v>138.96311083327271</v>
      </c>
      <c r="M37" s="425">
        <f t="shared" si="3"/>
        <v>2190.4107629003856</v>
      </c>
      <c r="N37" s="425">
        <f>'Hazard Values'!$G$14/BH37</f>
        <v>14.878317066549062</v>
      </c>
      <c r="O37" s="425">
        <f>'Hazard Values'!$G$14/BI37</f>
        <v>234.51997901453461</v>
      </c>
      <c r="P37" s="425">
        <f t="shared" si="4"/>
        <v>148.78317066549062</v>
      </c>
      <c r="Q37" s="426">
        <f t="shared" si="5"/>
        <v>2345.199790145346</v>
      </c>
      <c r="S37" s="663"/>
      <c r="T37" s="657"/>
      <c r="U37" s="657"/>
      <c r="V37" s="657"/>
      <c r="W37" s="657"/>
      <c r="X37" s="657"/>
      <c r="Y37" s="657"/>
      <c r="Z37" s="657"/>
      <c r="AA37" s="657"/>
      <c r="AB37" s="657"/>
      <c r="AC37" s="657"/>
      <c r="AD37" s="662"/>
      <c r="AF37" s="427">
        <f t="shared" si="42"/>
        <v>8.1657928246750107</v>
      </c>
      <c r="AG37" s="428">
        <f t="shared" si="43"/>
        <v>37.024352313090318</v>
      </c>
      <c r="AH37" s="428">
        <f t="shared" si="44"/>
        <v>51.612862140487096</v>
      </c>
      <c r="AI37" s="428">
        <f t="shared" si="45"/>
        <v>196.95918384539897</v>
      </c>
      <c r="AJ37" s="428">
        <f t="shared" si="46"/>
        <v>7.399511348707847</v>
      </c>
      <c r="AK37" s="428">
        <f t="shared" si="47"/>
        <v>39.022574723115298</v>
      </c>
      <c r="AL37" s="428">
        <f t="shared" si="48"/>
        <v>50.421886334165428</v>
      </c>
      <c r="AM37" s="428">
        <f t="shared" si="49"/>
        <v>214.19224700386457</v>
      </c>
      <c r="AN37" s="428">
        <f t="shared" si="50"/>
        <v>7.9224101506831985</v>
      </c>
      <c r="AO37" s="428">
        <f t="shared" si="51"/>
        <v>41.780170003548783</v>
      </c>
      <c r="AP37" s="428">
        <f t="shared" si="52"/>
        <v>53.98503296844644</v>
      </c>
      <c r="AQ37" s="429">
        <f t="shared" si="53"/>
        <v>229.32849912547098</v>
      </c>
      <c r="BB37" s="418">
        <f>'Inhalation Exposure'!I35</f>
        <v>8.0491603629856723</v>
      </c>
      <c r="BC37" s="419">
        <f>'Inhalation Exposure'!J35</f>
        <v>0.51065141871165642</v>
      </c>
      <c r="BD37" s="419">
        <f>'Inhalation Exposure'!K35</f>
        <v>5.4756192945480766</v>
      </c>
      <c r="BE37" s="419">
        <f>'Inhalation Exposure'!L35</f>
        <v>0.34738191749092273</v>
      </c>
      <c r="BF37" s="419">
        <f>'Inhalation Exposure'!M35</f>
        <v>4.0154541493352562</v>
      </c>
      <c r="BG37" s="419">
        <f>'Inhalation Exposure'!N35</f>
        <v>0.25474673949334331</v>
      </c>
      <c r="BH37" s="419">
        <f>'Inhalation Exposure'!O35</f>
        <v>3.750424174347998</v>
      </c>
      <c r="BI37" s="448">
        <f>'Inhalation Exposure'!P35</f>
        <v>0.23793282019926215</v>
      </c>
      <c r="BJ37" s="420"/>
      <c r="BK37" s="430"/>
      <c r="BL37" s="431"/>
      <c r="BM37" s="432"/>
      <c r="BN37" s="433"/>
      <c r="BO37" s="434"/>
      <c r="BP37" s="435"/>
      <c r="BQ37" s="435"/>
      <c r="BR37" s="435"/>
      <c r="BS37" s="435"/>
      <c r="BT37" s="435"/>
    </row>
    <row r="38" spans="1:72" x14ac:dyDescent="0.3">
      <c r="A38" s="305">
        <v>3</v>
      </c>
      <c r="B38" s="647"/>
      <c r="C38" s="308" t="s">
        <v>268</v>
      </c>
      <c r="D38" s="206" t="s">
        <v>73</v>
      </c>
      <c r="E38" s="380" t="s">
        <v>270</v>
      </c>
      <c r="F38" s="424">
        <f>'Hazard Values'!$G$12/BD38</f>
        <v>58.934758222459244</v>
      </c>
      <c r="G38" s="425">
        <f>'Hazard Values'!$G$12/BE38</f>
        <v>137.93241286107485</v>
      </c>
      <c r="H38" s="425">
        <f t="shared" si="0"/>
        <v>589.34758222459243</v>
      </c>
      <c r="I38" s="425">
        <f t="shared" si="1"/>
        <v>1379.3241286107486</v>
      </c>
      <c r="J38" s="425">
        <f>'Hazard Values'!$G$13/BF38</f>
        <v>41.910274114017312</v>
      </c>
      <c r="K38" s="425">
        <f>'Hazard Values'!$G$13/BG38</f>
        <v>98.087875585998006</v>
      </c>
      <c r="L38" s="425">
        <f t="shared" si="2"/>
        <v>419.10274114017312</v>
      </c>
      <c r="M38" s="425">
        <f t="shared" si="3"/>
        <v>980.87875585998006</v>
      </c>
      <c r="N38" s="425">
        <f>'Hazard Values'!$G$14/BH38</f>
        <v>44.871933484741213</v>
      </c>
      <c r="O38" s="425">
        <f>'Hazard Values'!$G$14/BI38</f>
        <v>105.01941879407518</v>
      </c>
      <c r="P38" s="425">
        <f t="shared" si="4"/>
        <v>448.71933484741214</v>
      </c>
      <c r="Q38" s="426">
        <f t="shared" si="5"/>
        <v>1050.1941879407518</v>
      </c>
      <c r="S38" s="663"/>
      <c r="T38" s="657"/>
      <c r="U38" s="657"/>
      <c r="V38" s="657"/>
      <c r="W38" s="657"/>
      <c r="X38" s="657"/>
      <c r="Y38" s="657"/>
      <c r="Z38" s="657"/>
      <c r="AA38" s="657"/>
      <c r="AB38" s="657"/>
      <c r="AC38" s="657"/>
      <c r="AD38" s="662"/>
      <c r="AF38" s="427">
        <f t="shared" si="42"/>
        <v>11.330676121077911</v>
      </c>
      <c r="AG38" s="428">
        <f t="shared" si="43"/>
        <v>32.244939884206474</v>
      </c>
      <c r="AH38" s="428">
        <f t="shared" si="44"/>
        <v>62.678611449395461</v>
      </c>
      <c r="AI38" s="428">
        <f t="shared" si="45"/>
        <v>182.56401136923117</v>
      </c>
      <c r="AJ38" s="428">
        <f t="shared" si="46"/>
        <v>11.488572888951033</v>
      </c>
      <c r="AK38" s="428">
        <f t="shared" si="47"/>
        <v>31.994084031452434</v>
      </c>
      <c r="AL38" s="428">
        <f t="shared" si="48"/>
        <v>66.566582303005276</v>
      </c>
      <c r="AM38" s="428">
        <f t="shared" si="49"/>
        <v>191.14385842352712</v>
      </c>
      <c r="AN38" s="428">
        <f t="shared" si="50"/>
        <v>12.300432039770239</v>
      </c>
      <c r="AO38" s="428">
        <f t="shared" si="51"/>
        <v>34.254999303008404</v>
      </c>
      <c r="AP38" s="428">
        <f t="shared" si="52"/>
        <v>71.270620785750964</v>
      </c>
      <c r="AQ38" s="429">
        <f t="shared" si="53"/>
        <v>204.65135775212306</v>
      </c>
      <c r="BB38" s="418">
        <f>'Inhalation Exposure'!I36</f>
        <v>2.1351067484662578</v>
      </c>
      <c r="BC38" s="419">
        <f>'Inhalation Exposure'!J36</f>
        <v>0.91227288343558299</v>
      </c>
      <c r="BD38" s="419">
        <f>'Inhalation Exposure'!K36</f>
        <v>1.8155669629815117</v>
      </c>
      <c r="BE38" s="419">
        <f>'Inhalation Exposure'!L36</f>
        <v>0.77574224781937307</v>
      </c>
      <c r="BF38" s="419">
        <f>'Inhalation Exposure'!M36</f>
        <v>1.3314157728531086</v>
      </c>
      <c r="BG38" s="419">
        <f>'Inhalation Exposure'!N36</f>
        <v>0.56887764840087351</v>
      </c>
      <c r="BH38" s="419">
        <f>'Inhalation Exposure'!O36</f>
        <v>1.2435390157407613</v>
      </c>
      <c r="BI38" s="448">
        <f>'Inhalation Exposure'!P36</f>
        <v>0.531330306725598</v>
      </c>
      <c r="BJ38" s="420"/>
      <c r="BK38" s="430"/>
      <c r="BL38" s="431"/>
      <c r="BM38" s="432"/>
      <c r="BN38" s="433"/>
      <c r="BO38" s="434"/>
      <c r="BP38" s="435"/>
      <c r="BQ38" s="435"/>
      <c r="BR38" s="435"/>
      <c r="BS38" s="435"/>
      <c r="BT38" s="435"/>
    </row>
    <row r="39" spans="1:72" x14ac:dyDescent="0.3">
      <c r="A39" s="305">
        <v>3</v>
      </c>
      <c r="B39" s="646"/>
      <c r="C39" s="308" t="s">
        <v>268</v>
      </c>
      <c r="D39" s="206" t="s">
        <v>73</v>
      </c>
      <c r="E39" s="380" t="s">
        <v>269</v>
      </c>
      <c r="F39" s="424">
        <f>'Hazard Values'!$G$12/BD39</f>
        <v>55.773619335643964</v>
      </c>
      <c r="G39" s="425">
        <f>'Hazard Values'!$G$12/BE39</f>
        <v>568.04586238514935</v>
      </c>
      <c r="H39" s="425">
        <f t="shared" si="0"/>
        <v>557.73619335643968</v>
      </c>
      <c r="I39" s="425">
        <f t="shared" si="1"/>
        <v>5680.458623851493</v>
      </c>
      <c r="J39" s="425">
        <f>'Hazard Values'!$G$13/BF39</f>
        <v>39.662293444293965</v>
      </c>
      <c r="K39" s="425">
        <f>'Hazard Values'!$G$13/BG39</f>
        <v>403.95444929173323</v>
      </c>
      <c r="L39" s="425">
        <f t="shared" si="2"/>
        <v>396.62293444293965</v>
      </c>
      <c r="M39" s="425">
        <f t="shared" si="3"/>
        <v>4039.5444929173323</v>
      </c>
      <c r="N39" s="425">
        <f>'Hazard Values'!$G$14/BH39</f>
        <v>42.465095514357401</v>
      </c>
      <c r="O39" s="425">
        <f>'Hazard Values'!$G$14/BI39</f>
        <v>432.50056370834909</v>
      </c>
      <c r="P39" s="425">
        <f t="shared" si="4"/>
        <v>424.65095514357404</v>
      </c>
      <c r="Q39" s="426">
        <f t="shared" si="5"/>
        <v>4325.0056370834909</v>
      </c>
      <c r="S39" s="663"/>
      <c r="T39" s="657"/>
      <c r="U39" s="657"/>
      <c r="V39" s="657"/>
      <c r="W39" s="657"/>
      <c r="X39" s="657"/>
      <c r="Y39" s="657"/>
      <c r="Z39" s="657"/>
      <c r="AA39" s="657"/>
      <c r="AB39" s="657"/>
      <c r="AC39" s="657"/>
      <c r="AD39" s="662"/>
      <c r="AF39" s="427">
        <f t="shared" si="42"/>
        <v>11.208538889564078</v>
      </c>
      <c r="AG39" s="428">
        <f t="shared" si="43"/>
        <v>39.180175832561261</v>
      </c>
      <c r="AH39" s="428">
        <f t="shared" si="44"/>
        <v>62.303057812711891</v>
      </c>
      <c r="AI39" s="428">
        <f t="shared" si="45"/>
        <v>202.89818983820678</v>
      </c>
      <c r="AJ39" s="428">
        <f t="shared" si="46"/>
        <v>11.312808548383931</v>
      </c>
      <c r="AK39" s="428">
        <f t="shared" si="47"/>
        <v>42.487444276718655</v>
      </c>
      <c r="AL39" s="428">
        <f t="shared" si="48"/>
        <v>65.972680508470702</v>
      </c>
      <c r="AM39" s="428">
        <f t="shared" si="49"/>
        <v>224.22930606458937</v>
      </c>
      <c r="AN39" s="428">
        <f t="shared" si="50"/>
        <v>12.112247019136392</v>
      </c>
      <c r="AO39" s="428">
        <f t="shared" si="51"/>
        <v>45.489890338940107</v>
      </c>
      <c r="AP39" s="428">
        <f t="shared" si="52"/>
        <v>70.634749931069294</v>
      </c>
      <c r="AQ39" s="429">
        <f t="shared" si="53"/>
        <v>240.07484369315372</v>
      </c>
      <c r="BB39" s="418">
        <f>'Inhalation Exposure'!I37</f>
        <v>1.8801003278800263</v>
      </c>
      <c r="BC39" s="419">
        <f>'Inhalation Exposure'!J37</f>
        <v>0.18459777096114521</v>
      </c>
      <c r="BD39" s="419">
        <f>'Inhalation Exposure'!K37</f>
        <v>1.9184697223265577</v>
      </c>
      <c r="BE39" s="419">
        <f>'Inhalation Exposure'!L37</f>
        <v>0.18836507240933181</v>
      </c>
      <c r="BF39" s="419">
        <f>'Inhalation Exposure'!M37</f>
        <v>1.406877796372809</v>
      </c>
      <c r="BG39" s="419">
        <f>'Inhalation Exposure'!N37</f>
        <v>0.13813438643351</v>
      </c>
      <c r="BH39" s="419">
        <f>'Inhalation Exposure'!O37</f>
        <v>1.3140203577579164</v>
      </c>
      <c r="BI39" s="448">
        <f>'Inhalation Exposure'!P37</f>
        <v>0.12901717288310396</v>
      </c>
      <c r="BJ39" s="420"/>
      <c r="BK39" s="430"/>
      <c r="BL39" s="431"/>
      <c r="BM39" s="432"/>
      <c r="BN39" s="433"/>
      <c r="BO39" s="434"/>
      <c r="BP39" s="435"/>
      <c r="BQ39" s="435"/>
      <c r="BR39" s="435"/>
      <c r="BS39" s="435"/>
      <c r="BT39" s="435"/>
    </row>
    <row r="40" spans="1:72" ht="39" x14ac:dyDescent="0.3">
      <c r="A40" s="305">
        <v>3</v>
      </c>
      <c r="B40" s="645" t="s">
        <v>277</v>
      </c>
      <c r="C40" s="308" t="s">
        <v>73</v>
      </c>
      <c r="D40" s="206" t="s">
        <v>73</v>
      </c>
      <c r="E40" s="380" t="s">
        <v>107</v>
      </c>
      <c r="F40" s="424">
        <f>'Hazard Values'!$G$12/BD40</f>
        <v>14.232779097387207</v>
      </c>
      <c r="G40" s="425">
        <f>'Hazard Values'!$G$12/BE40</f>
        <v>265.40116426221215</v>
      </c>
      <c r="H40" s="425">
        <f t="shared" si="0"/>
        <v>142.32779097387206</v>
      </c>
      <c r="I40" s="425">
        <f t="shared" si="1"/>
        <v>2654.0116426221216</v>
      </c>
      <c r="J40" s="425">
        <f>'Hazard Values'!$G$13/BF40</f>
        <v>222.66983372921663</v>
      </c>
      <c r="K40" s="425">
        <f>'Hazard Values'!$G$13/BG40</f>
        <v>4152.1640091116178</v>
      </c>
      <c r="L40" s="425">
        <f t="shared" si="2"/>
        <v>2226.6983372921663</v>
      </c>
      <c r="M40" s="425">
        <f t="shared" si="3"/>
        <v>41521.640091116176</v>
      </c>
      <c r="N40" s="425">
        <f>'Hazard Values'!$G$14/BH40</f>
        <v>2709.1496437054693</v>
      </c>
      <c r="O40" s="425">
        <f>'Hazard Values'!$G$14/BI40</f>
        <v>50517.995444191351</v>
      </c>
      <c r="P40" s="425">
        <f t="shared" si="4"/>
        <v>27091.496437054695</v>
      </c>
      <c r="Q40" s="426">
        <f t="shared" si="5"/>
        <v>505179.95444191352</v>
      </c>
      <c r="S40" s="427">
        <f>'Hazard Values'!$I$12/'Bridge Table'!BO40</f>
        <v>11.783177570093457</v>
      </c>
      <c r="T40" s="428">
        <f>'Hazard Values'!$I$12/BP40</f>
        <v>62.016724053123461</v>
      </c>
      <c r="U40" s="428">
        <f>'Hazard Values'!$I$12/(BO40/'Bridge Table'!$V$5)</f>
        <v>58.915887850467293</v>
      </c>
      <c r="V40" s="428">
        <f>'Hazard Values'!$I$12/(BP40/'Bridge Table'!$V$5)</f>
        <v>310.0836202656173</v>
      </c>
      <c r="W40" s="428">
        <f>'Hazard Values'!$I$13/BQ40</f>
        <v>292.48598130841123</v>
      </c>
      <c r="X40" s="428">
        <f>'Hazard Values'!$I$13/BR40</f>
        <v>1539.3999016232167</v>
      </c>
      <c r="Y40" s="428">
        <f>'Hazard Values'!$I$13/(BQ40/$Z$5)</f>
        <v>1462.4299065420562</v>
      </c>
      <c r="Z40" s="428">
        <f>'Hazard Values'!$I$13/(BR40/$Z$5)</f>
        <v>7696.9995081160832</v>
      </c>
      <c r="AA40" s="428">
        <f>'Hazard Values'!$I$14/'Bridge Table'!BS40</f>
        <v>3558.5794392523362</v>
      </c>
      <c r="AB40" s="428">
        <f>'Hazard Values'!$I$14/'Bridge Table'!BT40</f>
        <v>18729.365469749137</v>
      </c>
      <c r="AC40" s="428">
        <f>'Hazard Values'!$I$14/(BS40/$AD$5)</f>
        <v>17792.897196261682</v>
      </c>
      <c r="AD40" s="429">
        <f>'Hazard Values'!$I$14/(BT40/$AD$5)</f>
        <v>93646.82734874569</v>
      </c>
      <c r="AF40" s="427">
        <f>(1/((1/F40)+(1/$S$40)))</f>
        <v>6.4463269817042015</v>
      </c>
      <c r="AG40" s="428">
        <f>(1/((1/G40)+(1/$T$40)))</f>
        <v>50.270041298340324</v>
      </c>
      <c r="AH40" s="428">
        <f>1/((1/(F40*$AI$5))+((1/($S$40*$AI$4))))</f>
        <v>41.667734460076026</v>
      </c>
      <c r="AI40" s="428">
        <f>1/((1/(G40*$AI$5))+((1/($T$40*$AI$4))))</f>
        <v>277.64476691265298</v>
      </c>
      <c r="AJ40" s="428">
        <f>(1/((1/J40)+(1/$W$40)))</f>
        <v>126.42350707293025</v>
      </c>
      <c r="AK40" s="428">
        <f>(1/((1/K40)+(1/$X$40)))</f>
        <v>1123.0377041175382</v>
      </c>
      <c r="AL40" s="428">
        <f>1/((1/(J40*$AM$5))+(1/($W$40*$AM$4)))</f>
        <v>882.69911645008847</v>
      </c>
      <c r="AM40" s="428">
        <f>1/((1/(K40*$AM$5))+(1/($X$40*$AM$4)))</f>
        <v>6493.3132236039992</v>
      </c>
      <c r="AN40" s="428">
        <f>(1/((1/N40)+(1/$AA$40)))</f>
        <v>1538.1526693873182</v>
      </c>
      <c r="AO40" s="428">
        <f>(1/((1/O40)+(1/$AB$40)))</f>
        <v>13663.625400096715</v>
      </c>
      <c r="AP40" s="428">
        <f>1/((1/(N40*$AM$5))+(1/($AA$40*$AM$4)))</f>
        <v>10739.50591680941</v>
      </c>
      <c r="AQ40" s="429">
        <f>1/((1/(O40*$AM$5))+(1/($AB$40*$AM$4)))</f>
        <v>79001.977553848657</v>
      </c>
      <c r="BB40" s="418">
        <f>'Inhalation Exposure'!I38</f>
        <v>11.051249999999975</v>
      </c>
      <c r="BC40" s="419">
        <f>'Inhalation Exposure'!J38</f>
        <v>0.59265000000000001</v>
      </c>
      <c r="BD40" s="419">
        <f>'Inhalation Exposure'!K38</f>
        <v>7.5178571428571255</v>
      </c>
      <c r="BE40" s="419">
        <f>'Inhalation Exposure'!L38</f>
        <v>0.4031632653061224</v>
      </c>
      <c r="BF40" s="419">
        <f>'Inhalation Exposure'!M38</f>
        <v>0.25059523809523754</v>
      </c>
      <c r="BG40" s="419">
        <f>'Inhalation Exposure'!N38</f>
        <v>1.343877551020408E-2</v>
      </c>
      <c r="BH40" s="419">
        <f>'Inhalation Exposure'!O38</f>
        <v>2.059686888454007E-2</v>
      </c>
      <c r="BI40" s="448">
        <f>'Inhalation Exposure'!P38</f>
        <v>1.1045568912496503E-3</v>
      </c>
      <c r="BJ40" s="420"/>
      <c r="BK40" s="430">
        <v>3</v>
      </c>
      <c r="BL40" s="431" t="s">
        <v>277</v>
      </c>
      <c r="BM40" s="432" t="s">
        <v>73</v>
      </c>
      <c r="BN40" s="433" t="s">
        <v>73</v>
      </c>
      <c r="BO40" s="434">
        <f>'Dermal Exposure'!T25</f>
        <v>33.4375</v>
      </c>
      <c r="BP40" s="435">
        <f>'Dermal Exposure'!U25</f>
        <v>6.3531250000000004</v>
      </c>
      <c r="BQ40" s="435">
        <f>'Dermal Exposure'!V25</f>
        <v>1.1145833333333333</v>
      </c>
      <c r="BR40" s="435">
        <f>'Dermal Exposure'!W25</f>
        <v>0.21177083333333335</v>
      </c>
      <c r="BS40" s="435">
        <f>'Dermal Exposure'!X25</f>
        <v>9.1609589041095896E-2</v>
      </c>
      <c r="BT40" s="435">
        <f>'Dermal Exposure'!Y25</f>
        <v>1.740582191780822E-2</v>
      </c>
    </row>
    <row r="41" spans="1:72" ht="39" x14ac:dyDescent="0.3">
      <c r="A41" s="305">
        <v>3</v>
      </c>
      <c r="B41" s="646"/>
      <c r="C41" s="308" t="s">
        <v>54</v>
      </c>
      <c r="D41" s="206" t="s">
        <v>54</v>
      </c>
      <c r="E41" s="380" t="s">
        <v>107</v>
      </c>
      <c r="F41" s="424">
        <f>'Hazard Values'!$G$12/BD41</f>
        <v>265.40116426221215</v>
      </c>
      <c r="G41" s="425">
        <f>'Hazard Values'!$G$12/BE41</f>
        <v>265.40116426221215</v>
      </c>
      <c r="H41" s="425">
        <f t="shared" si="0"/>
        <v>2654.0116426221216</v>
      </c>
      <c r="I41" s="425">
        <f t="shared" si="1"/>
        <v>2654.0116426221216</v>
      </c>
      <c r="J41" s="425">
        <f>'Hazard Values'!$G$13/BF41</f>
        <v>4152.1640091116178</v>
      </c>
      <c r="K41" s="425">
        <f>'Hazard Values'!$G$13/BG41</f>
        <v>4152.1640091116178</v>
      </c>
      <c r="L41" s="425">
        <f t="shared" si="2"/>
        <v>41521.640091116176</v>
      </c>
      <c r="M41" s="425">
        <f t="shared" si="3"/>
        <v>41521.640091116176</v>
      </c>
      <c r="N41" s="425">
        <f>'Hazard Values'!$G$14/BH41</f>
        <v>50517.995444191351</v>
      </c>
      <c r="O41" s="425">
        <f>'Hazard Values'!$G$14/BI41</f>
        <v>50517.995444191351</v>
      </c>
      <c r="P41" s="425">
        <f t="shared" si="4"/>
        <v>505179.95444191352</v>
      </c>
      <c r="Q41" s="426">
        <f t="shared" si="5"/>
        <v>505179.95444191352</v>
      </c>
      <c r="S41" s="427">
        <f>'Hazard Values'!$I$12/'Bridge Table'!BO41</f>
        <v>168.33110814419226</v>
      </c>
      <c r="T41" s="428">
        <f>'Hazard Values'!$I$12/BP41</f>
        <v>168.33110814419226</v>
      </c>
      <c r="U41" s="428">
        <f>'Hazard Values'!$I$12/(BO41/'Bridge Table'!$V$5)</f>
        <v>841.65554072096131</v>
      </c>
      <c r="V41" s="428">
        <f>'Hazard Values'!$I$12/(BP41/'Bridge Table'!$V$5)</f>
        <v>841.65554072096131</v>
      </c>
      <c r="W41" s="428">
        <f>'Hazard Values'!$I$13/BQ41</f>
        <v>4178.3711615487309</v>
      </c>
      <c r="X41" s="428">
        <f>'Hazard Values'!$I$13/BR41</f>
        <v>4178.3711615487309</v>
      </c>
      <c r="Y41" s="428">
        <f>'Hazard Values'!$I$13/(BQ41/$Z$5)</f>
        <v>20891.855807743654</v>
      </c>
      <c r="Z41" s="428">
        <f>'Hazard Values'!$I$13/(BR41/$Z$5)</f>
        <v>20891.855807743654</v>
      </c>
      <c r="AA41" s="428">
        <f>'Hazard Values'!$I$14/'Bridge Table'!BS41</f>
        <v>50836.849132176234</v>
      </c>
      <c r="AB41" s="428">
        <f>'Hazard Values'!$I$14/'Bridge Table'!BT41</f>
        <v>50836.849132176234</v>
      </c>
      <c r="AC41" s="428">
        <f>'Hazard Values'!$I$14/(BS41/$AD$5)</f>
        <v>254184.24566088116</v>
      </c>
      <c r="AD41" s="429">
        <f>'Hazard Values'!$I$14/(BT41/$AD$5)</f>
        <v>254184.24566088116</v>
      </c>
      <c r="AF41" s="428">
        <f>(1/((1/F41)+(1/S41)))</f>
        <v>103.00195518113652</v>
      </c>
      <c r="AG41" s="428">
        <f>(1/((1/G41)+(1/T41)))</f>
        <v>103.00195518113652</v>
      </c>
      <c r="AH41" s="428">
        <f t="shared" ref="AH41:AQ41" si="54">(1/((1/H41)+(1/U41)))</f>
        <v>639.00923257075851</v>
      </c>
      <c r="AI41" s="428">
        <f t="shared" si="54"/>
        <v>639.00923257075851</v>
      </c>
      <c r="AJ41" s="428">
        <f t="shared" si="54"/>
        <v>2082.6131812990466</v>
      </c>
      <c r="AK41" s="428">
        <f t="shared" si="54"/>
        <v>2082.6131812990466</v>
      </c>
      <c r="AL41" s="428">
        <f t="shared" si="54"/>
        <v>13898.662543920633</v>
      </c>
      <c r="AM41" s="428">
        <f t="shared" si="54"/>
        <v>13898.662543920633</v>
      </c>
      <c r="AN41" s="428">
        <f t="shared" si="54"/>
        <v>25338.460372471738</v>
      </c>
      <c r="AO41" s="428">
        <f t="shared" si="54"/>
        <v>25338.460372471738</v>
      </c>
      <c r="AP41" s="428">
        <f t="shared" si="54"/>
        <v>169100.39428436774</v>
      </c>
      <c r="AQ41" s="428">
        <f t="shared" si="54"/>
        <v>169100.39428436774</v>
      </c>
      <c r="BB41" s="418">
        <f>'Inhalation Exposure'!I39</f>
        <v>0.59265000000000001</v>
      </c>
      <c r="BC41" s="419">
        <f>'Inhalation Exposure'!J39</f>
        <v>0.59265000000000001</v>
      </c>
      <c r="BD41" s="419">
        <f>'Inhalation Exposure'!K39</f>
        <v>0.4031632653061224</v>
      </c>
      <c r="BE41" s="419">
        <f>'Inhalation Exposure'!L39</f>
        <v>0.4031632653061224</v>
      </c>
      <c r="BF41" s="419">
        <f>'Inhalation Exposure'!M39</f>
        <v>1.343877551020408E-2</v>
      </c>
      <c r="BG41" s="419">
        <f>'Inhalation Exposure'!N39</f>
        <v>1.343877551020408E-2</v>
      </c>
      <c r="BH41" s="419">
        <f>'Inhalation Exposure'!O39</f>
        <v>1.1045568912496503E-3</v>
      </c>
      <c r="BI41" s="448">
        <f>'Inhalation Exposure'!P39</f>
        <v>1.1045568912496503E-3</v>
      </c>
      <c r="BJ41" s="420"/>
      <c r="BK41" s="430">
        <v>3</v>
      </c>
      <c r="BL41" s="431" t="s">
        <v>277</v>
      </c>
      <c r="BM41" s="432" t="s">
        <v>54</v>
      </c>
      <c r="BN41" s="433" t="s">
        <v>54</v>
      </c>
      <c r="BO41" s="434">
        <f>'Dermal Exposure'!T26</f>
        <v>2.3406250000000002</v>
      </c>
      <c r="BP41" s="435">
        <f>'Dermal Exposure'!U26</f>
        <v>2.3406250000000002</v>
      </c>
      <c r="BQ41" s="435">
        <f>'Dermal Exposure'!V26</f>
        <v>7.8020833333333345E-2</v>
      </c>
      <c r="BR41" s="435">
        <f>'Dermal Exposure'!W26</f>
        <v>7.8020833333333345E-2</v>
      </c>
      <c r="BS41" s="435">
        <f>'Dermal Exposure'!X26</f>
        <v>6.4126712328767127E-3</v>
      </c>
      <c r="BT41" s="435">
        <f>'Dermal Exposure'!Y26</f>
        <v>6.4126712328767127E-3</v>
      </c>
    </row>
    <row r="42" spans="1:72" ht="39" x14ac:dyDescent="0.3">
      <c r="A42" s="305">
        <v>3</v>
      </c>
      <c r="B42" s="645" t="s">
        <v>278</v>
      </c>
      <c r="C42" s="308" t="s">
        <v>73</v>
      </c>
      <c r="D42" s="206" t="s">
        <v>73</v>
      </c>
      <c r="E42" s="380" t="s">
        <v>107</v>
      </c>
      <c r="F42" s="424">
        <f>'Hazard Values'!$G$12/BD42</f>
        <v>14.232779097387207</v>
      </c>
      <c r="G42" s="425">
        <f>'Hazard Values'!$G$12/BE42</f>
        <v>265.40116426221215</v>
      </c>
      <c r="H42" s="425">
        <f t="shared" si="0"/>
        <v>142.32779097387206</v>
      </c>
      <c r="I42" s="425">
        <f t="shared" si="1"/>
        <v>2654.0116426221216</v>
      </c>
      <c r="J42" s="425">
        <f>'Hazard Values'!$G$13/BF42</f>
        <v>111.33491686460832</v>
      </c>
      <c r="K42" s="425">
        <f>'Hazard Values'!$G$13/BG42</f>
        <v>2076.0820045558089</v>
      </c>
      <c r="L42" s="425">
        <f t="shared" si="2"/>
        <v>1113.3491686460832</v>
      </c>
      <c r="M42" s="425">
        <f t="shared" si="3"/>
        <v>20760.820045558088</v>
      </c>
      <c r="N42" s="425">
        <f>'Hazard Values'!$G$14/BH42</f>
        <v>1354.5748218527347</v>
      </c>
      <c r="O42" s="425">
        <f>'Hazard Values'!$G$14/BI42</f>
        <v>25258.997722095675</v>
      </c>
      <c r="P42" s="425">
        <f t="shared" si="4"/>
        <v>13545.748218527347</v>
      </c>
      <c r="Q42" s="426">
        <f t="shared" si="5"/>
        <v>252589.97722095676</v>
      </c>
      <c r="S42" s="427">
        <f>'Hazard Values'!$I$12/'Bridge Table'!BO42</f>
        <v>11.783177570093457</v>
      </c>
      <c r="T42" s="428">
        <f>'Hazard Values'!$I$12/BP42</f>
        <v>62.016724053123461</v>
      </c>
      <c r="U42" s="428">
        <f>'Hazard Values'!$I$12/(BO42/'Bridge Table'!$V$5)</f>
        <v>58.915887850467293</v>
      </c>
      <c r="V42" s="428">
        <f>'Hazard Values'!$I$12/(BP42/'Bridge Table'!$V$5)</f>
        <v>310.0836202656173</v>
      </c>
      <c r="W42" s="428">
        <f>'Hazard Values'!$I$13/BQ42</f>
        <v>146.24299065420561</v>
      </c>
      <c r="X42" s="428">
        <f>'Hazard Values'!$I$13/BR42</f>
        <v>769.69995081160835</v>
      </c>
      <c r="Y42" s="428">
        <f>'Hazard Values'!$I$13/(BQ42/$Z$5)</f>
        <v>731.21495327102809</v>
      </c>
      <c r="Z42" s="428">
        <f>'Hazard Values'!$I$13/(BR42/$Z$5)</f>
        <v>3848.4997540580416</v>
      </c>
      <c r="AA42" s="428">
        <f>'Hazard Values'!$I$14/'Bridge Table'!BS42</f>
        <v>1779.2897196261681</v>
      </c>
      <c r="AB42" s="428">
        <f>'Hazard Values'!$I$14/'Bridge Table'!BT42</f>
        <v>9364.6827348745683</v>
      </c>
      <c r="AC42" s="428">
        <f>'Hazard Values'!$I$14/(BS42/$AD$5)</f>
        <v>8896.4485981308408</v>
      </c>
      <c r="AD42" s="429">
        <f>'Hazard Values'!$I$14/(BT42/$AD$5)</f>
        <v>46823.413674372845</v>
      </c>
      <c r="AF42" s="427">
        <f>(1/((1/F42)+(1/$S$42)))</f>
        <v>6.4463269817042015</v>
      </c>
      <c r="AG42" s="428">
        <f>(1/((1/G42)+(1/$T$42)))</f>
        <v>50.270041298340324</v>
      </c>
      <c r="AH42" s="428">
        <f>1/((1/(F42*$AI$5))+((1/($S$42*$AI$4))))</f>
        <v>41.667734460076026</v>
      </c>
      <c r="AI42" s="428">
        <f>1/((1/(G42*$AI$5))+((1/($T$42*$AI$4))))</f>
        <v>277.64476691265298</v>
      </c>
      <c r="AJ42" s="428">
        <f>(1/((1/J42)+(1/$W$42)))</f>
        <v>63.211753536465125</v>
      </c>
      <c r="AK42" s="428">
        <f>(1/((1/K42)+(1/$X$42)))</f>
        <v>561.51885205876908</v>
      </c>
      <c r="AL42" s="428">
        <f>1/((1/(J42*$AM$5))+(1/($W$42*$AM$4)))</f>
        <v>441.34955822504423</v>
      </c>
      <c r="AM42" s="428">
        <f>1/((1/(K42*$AM$5))+(1/($X$42*$AM$4)))</f>
        <v>3246.6566118019996</v>
      </c>
      <c r="AN42" s="428">
        <f>(1/((1/N42)+(1/$AA$42)))</f>
        <v>769.07633469365908</v>
      </c>
      <c r="AO42" s="428">
        <f>(1/((1/O42)+(1/$AB$42)))</f>
        <v>6831.8127000483573</v>
      </c>
      <c r="AP42" s="428">
        <f>1/((1/(N42*$AM$5))+(1/($AA$42*$AM$4)))</f>
        <v>5369.7529584047052</v>
      </c>
      <c r="AQ42" s="429">
        <f>1/((1/(O42*$AM$5))+(1/($AB$42*$AM$4)))</f>
        <v>39500.988776924329</v>
      </c>
      <c r="BB42" s="418">
        <f>'Inhalation Exposure'!I40</f>
        <v>11.051249999999975</v>
      </c>
      <c r="BC42" s="419">
        <f>'Inhalation Exposure'!J40</f>
        <v>0.59265000000000001</v>
      </c>
      <c r="BD42" s="419">
        <f>'Inhalation Exposure'!K40</f>
        <v>7.5178571428571255</v>
      </c>
      <c r="BE42" s="419">
        <f>'Inhalation Exposure'!L40</f>
        <v>0.4031632653061224</v>
      </c>
      <c r="BF42" s="419">
        <f>'Inhalation Exposure'!M40</f>
        <v>0.50119047619047508</v>
      </c>
      <c r="BG42" s="419">
        <f>'Inhalation Exposure'!N40</f>
        <v>2.6877551020408161E-2</v>
      </c>
      <c r="BH42" s="419">
        <f>'Inhalation Exposure'!O40</f>
        <v>4.1193737769080141E-2</v>
      </c>
      <c r="BI42" s="448">
        <f>'Inhalation Exposure'!P40</f>
        <v>2.2091137824993006E-3</v>
      </c>
      <c r="BJ42" s="420"/>
      <c r="BK42" s="430">
        <v>3</v>
      </c>
      <c r="BL42" s="431" t="s">
        <v>278</v>
      </c>
      <c r="BM42" s="432" t="s">
        <v>73</v>
      </c>
      <c r="BN42" s="433" t="s">
        <v>73</v>
      </c>
      <c r="BO42" s="434">
        <f>'Dermal Exposure'!T27</f>
        <v>33.4375</v>
      </c>
      <c r="BP42" s="435">
        <f>'Dermal Exposure'!U27</f>
        <v>6.3531250000000004</v>
      </c>
      <c r="BQ42" s="435">
        <f>'Dermal Exposure'!V27</f>
        <v>2.2291666666666665</v>
      </c>
      <c r="BR42" s="435">
        <f>'Dermal Exposure'!W27</f>
        <v>0.42354166666666671</v>
      </c>
      <c r="BS42" s="435">
        <f>'Dermal Exposure'!X27</f>
        <v>0.18321917808219179</v>
      </c>
      <c r="BT42" s="435">
        <f>'Dermal Exposure'!Y27</f>
        <v>3.481164383561644E-2</v>
      </c>
    </row>
    <row r="43" spans="1:72" ht="39" x14ac:dyDescent="0.3">
      <c r="A43" s="305">
        <v>3</v>
      </c>
      <c r="B43" s="646"/>
      <c r="C43" s="308" t="s">
        <v>54</v>
      </c>
      <c r="D43" s="206" t="s">
        <v>54</v>
      </c>
      <c r="E43" s="380" t="s">
        <v>107</v>
      </c>
      <c r="F43" s="424">
        <f>'Hazard Values'!$G$12/BD43</f>
        <v>265.40116426221215</v>
      </c>
      <c r="G43" s="425">
        <f>'Hazard Values'!$G$12/BE43</f>
        <v>265.40116426221215</v>
      </c>
      <c r="H43" s="425">
        <f t="shared" si="0"/>
        <v>2654.0116426221216</v>
      </c>
      <c r="I43" s="425">
        <f t="shared" si="1"/>
        <v>2654.0116426221216</v>
      </c>
      <c r="J43" s="425">
        <f>'Hazard Values'!$G$13/BF43</f>
        <v>2076.0820045558089</v>
      </c>
      <c r="K43" s="425">
        <f>'Hazard Values'!$G$13/BG43</f>
        <v>2076.0820045558089</v>
      </c>
      <c r="L43" s="425">
        <f t="shared" si="2"/>
        <v>20760.820045558088</v>
      </c>
      <c r="M43" s="425">
        <f t="shared" si="3"/>
        <v>20760.820045558088</v>
      </c>
      <c r="N43" s="425">
        <f>'Hazard Values'!$G$14/BH43</f>
        <v>25258.997722095675</v>
      </c>
      <c r="O43" s="425">
        <f>'Hazard Values'!$G$14/BI43</f>
        <v>25258.997722095675</v>
      </c>
      <c r="P43" s="425">
        <f t="shared" si="4"/>
        <v>252589.97722095676</v>
      </c>
      <c r="Q43" s="426">
        <f t="shared" si="5"/>
        <v>252589.97722095676</v>
      </c>
      <c r="S43" s="427">
        <f>'Hazard Values'!$I$12/'Bridge Table'!BO43</f>
        <v>168.33110814419226</v>
      </c>
      <c r="T43" s="428">
        <f>'Hazard Values'!$I$12/BP43</f>
        <v>168.33110814419226</v>
      </c>
      <c r="U43" s="428">
        <f>'Hazard Values'!$I$12/(BO43/'Bridge Table'!$V$5)</f>
        <v>841.65554072096131</v>
      </c>
      <c r="V43" s="428">
        <f>'Hazard Values'!$I$12/(BP43/'Bridge Table'!$V$5)</f>
        <v>841.65554072096131</v>
      </c>
      <c r="W43" s="428">
        <f>'Hazard Values'!$I$13/BQ43</f>
        <v>2089.1855807743655</v>
      </c>
      <c r="X43" s="428">
        <f>'Hazard Values'!$I$13/BR43</f>
        <v>2089.1855807743655</v>
      </c>
      <c r="Y43" s="428">
        <f>'Hazard Values'!$I$13/(BQ43/$Z$5)</f>
        <v>10445.927903871827</v>
      </c>
      <c r="Z43" s="428">
        <f>'Hazard Values'!$I$13/(BR43/$Z$5)</f>
        <v>10445.927903871827</v>
      </c>
      <c r="AA43" s="428">
        <f>'Hazard Values'!$I$14/'Bridge Table'!BS43</f>
        <v>25418.424566088117</v>
      </c>
      <c r="AB43" s="428">
        <f>'Hazard Values'!$I$14/'Bridge Table'!BT43</f>
        <v>25418.424566088117</v>
      </c>
      <c r="AC43" s="428">
        <f>'Hazard Values'!$I$14/(BS43/$AD$5)</f>
        <v>127092.12283044058</v>
      </c>
      <c r="AD43" s="429">
        <f>'Hazard Values'!$I$14/(BT43/$AD$5)</f>
        <v>127092.12283044058</v>
      </c>
      <c r="AF43" s="427">
        <f>(1/((1/F43)+(1/S43)))</f>
        <v>103.00195518113652</v>
      </c>
      <c r="AG43" s="428">
        <f t="shared" ref="AG43:AQ43" si="55">(1/((1/G43)+(1/T43)))</f>
        <v>103.00195518113652</v>
      </c>
      <c r="AH43" s="428">
        <f t="shared" si="55"/>
        <v>639.00923257075851</v>
      </c>
      <c r="AI43" s="428">
        <f t="shared" si="55"/>
        <v>639.00923257075851</v>
      </c>
      <c r="AJ43" s="428">
        <f t="shared" si="55"/>
        <v>1041.3065906495233</v>
      </c>
      <c r="AK43" s="428">
        <f t="shared" si="55"/>
        <v>1041.3065906495233</v>
      </c>
      <c r="AL43" s="428">
        <f t="shared" si="55"/>
        <v>6949.3312719603164</v>
      </c>
      <c r="AM43" s="428">
        <f t="shared" si="55"/>
        <v>6949.3312719603164</v>
      </c>
      <c r="AN43" s="428">
        <f t="shared" si="55"/>
        <v>12669.230186235869</v>
      </c>
      <c r="AO43" s="428">
        <f t="shared" si="55"/>
        <v>12669.230186235869</v>
      </c>
      <c r="AP43" s="428">
        <f t="shared" si="55"/>
        <v>84550.197142183868</v>
      </c>
      <c r="AQ43" s="428">
        <f t="shared" si="55"/>
        <v>84550.197142183868</v>
      </c>
      <c r="BB43" s="418">
        <f>'Inhalation Exposure'!I41</f>
        <v>0.59265000000000001</v>
      </c>
      <c r="BC43" s="419">
        <f>'Inhalation Exposure'!J41</f>
        <v>0.59265000000000001</v>
      </c>
      <c r="BD43" s="419">
        <f>'Inhalation Exposure'!K41</f>
        <v>0.4031632653061224</v>
      </c>
      <c r="BE43" s="419">
        <f>'Inhalation Exposure'!L41</f>
        <v>0.4031632653061224</v>
      </c>
      <c r="BF43" s="419">
        <f>'Inhalation Exposure'!M41</f>
        <v>2.6877551020408161E-2</v>
      </c>
      <c r="BG43" s="419">
        <f>'Inhalation Exposure'!N41</f>
        <v>2.6877551020408161E-2</v>
      </c>
      <c r="BH43" s="419">
        <f>'Inhalation Exposure'!O41</f>
        <v>2.2091137824993006E-3</v>
      </c>
      <c r="BI43" s="448">
        <f>'Inhalation Exposure'!P41</f>
        <v>2.2091137824993006E-3</v>
      </c>
      <c r="BJ43" s="420"/>
      <c r="BK43" s="430">
        <v>3</v>
      </c>
      <c r="BL43" s="431" t="s">
        <v>278</v>
      </c>
      <c r="BM43" s="432" t="s">
        <v>54</v>
      </c>
      <c r="BN43" s="433" t="s">
        <v>54</v>
      </c>
      <c r="BO43" s="434">
        <f>'Dermal Exposure'!T28</f>
        <v>2.3406250000000002</v>
      </c>
      <c r="BP43" s="435">
        <f>'Dermal Exposure'!U28</f>
        <v>2.3406250000000002</v>
      </c>
      <c r="BQ43" s="435">
        <f>'Dermal Exposure'!V28</f>
        <v>0.15604166666666669</v>
      </c>
      <c r="BR43" s="435">
        <f>'Dermal Exposure'!W28</f>
        <v>0.15604166666666669</v>
      </c>
      <c r="BS43" s="435">
        <f>'Dermal Exposure'!X28</f>
        <v>1.2825342465753425E-2</v>
      </c>
      <c r="BT43" s="435">
        <f>'Dermal Exposure'!Y28</f>
        <v>1.2825342465753425E-2</v>
      </c>
    </row>
    <row r="44" spans="1:72" ht="39" x14ac:dyDescent="0.3">
      <c r="A44" s="305">
        <v>3</v>
      </c>
      <c r="B44" s="645" t="s">
        <v>279</v>
      </c>
      <c r="C44" s="308" t="s">
        <v>73</v>
      </c>
      <c r="D44" s="206" t="s">
        <v>73</v>
      </c>
      <c r="E44" s="380" t="s">
        <v>107</v>
      </c>
      <c r="F44" s="424">
        <f>'Hazard Values'!$G$12/BD44</f>
        <v>14.232779097387207</v>
      </c>
      <c r="G44" s="425">
        <f>'Hazard Values'!$G$12/BE44</f>
        <v>265.40116426221215</v>
      </c>
      <c r="H44" s="425">
        <f t="shared" si="0"/>
        <v>142.32779097387206</v>
      </c>
      <c r="I44" s="425">
        <f t="shared" si="1"/>
        <v>2654.0116426221216</v>
      </c>
      <c r="J44" s="425">
        <f>'Hazard Values'!$G$13/BF44</f>
        <v>10.121356078600757</v>
      </c>
      <c r="K44" s="425">
        <f>'Hazard Values'!$G$13/BG44</f>
        <v>188.73472768689172</v>
      </c>
      <c r="L44" s="425">
        <f t="shared" si="2"/>
        <v>101.21356078600756</v>
      </c>
      <c r="M44" s="425">
        <f t="shared" si="3"/>
        <v>1887.3472768689171</v>
      </c>
      <c r="N44" s="425">
        <f>'Hazard Values'!$G$14/BH44</f>
        <v>10.836598574821876</v>
      </c>
      <c r="O44" s="425">
        <f>'Hazard Values'!$G$14/BI44</f>
        <v>202.0719817767654</v>
      </c>
      <c r="P44" s="425">
        <f t="shared" si="4"/>
        <v>108.36598574821876</v>
      </c>
      <c r="Q44" s="426">
        <f t="shared" si="5"/>
        <v>2020.7198177676539</v>
      </c>
      <c r="S44" s="427">
        <f>'Hazard Values'!$I$12/'Bridge Table'!BO44</f>
        <v>11.783177570093457</v>
      </c>
      <c r="T44" s="428">
        <f>'Hazard Values'!$I$12/BP44</f>
        <v>62.016724053123461</v>
      </c>
      <c r="U44" s="428">
        <f>'Hazard Values'!$I$12/(BO44/'Bridge Table'!$V$5)</f>
        <v>58.915887850467293</v>
      </c>
      <c r="V44" s="428">
        <f>'Hazard Values'!$I$12/(BP44/'Bridge Table'!$V$5)</f>
        <v>310.0836202656173</v>
      </c>
      <c r="W44" s="428">
        <f>'Hazard Values'!$I$13/BQ44</f>
        <v>13.294817332200511</v>
      </c>
      <c r="X44" s="428">
        <f>'Hazard Values'!$I$13/BR44</f>
        <v>69.972722801055312</v>
      </c>
      <c r="Y44" s="428">
        <f>'Hazard Values'!$I$13/(BQ44/$Z$5)</f>
        <v>66.474086661002545</v>
      </c>
      <c r="Z44" s="428">
        <f>'Hazard Values'!$I$13/(BR44/$Z$5)</f>
        <v>349.86361400527659</v>
      </c>
      <c r="AA44" s="428">
        <f>'Hazard Values'!$I$14/'Bridge Table'!BS44</f>
        <v>14.234317757009347</v>
      </c>
      <c r="AB44" s="428">
        <f>'Hazard Values'!$I$14/'Bridge Table'!BT44</f>
        <v>74.917461878996562</v>
      </c>
      <c r="AC44" s="428">
        <f>'Hazard Values'!$I$14/(BS44/$AD$5)</f>
        <v>71.171588785046737</v>
      </c>
      <c r="AD44" s="429">
        <f>'Hazard Values'!$I$14/(BT44/$AD$5)</f>
        <v>374.58730939498281</v>
      </c>
      <c r="AF44" s="427">
        <f>(1/((1/F44)+(1/$S$44)))</f>
        <v>6.4463269817042015</v>
      </c>
      <c r="AG44" s="428">
        <f>(1/((1/G44)+(1/$T$44)))</f>
        <v>50.270041298340324</v>
      </c>
      <c r="AH44" s="428">
        <f>1/((1/(F44*$AI$5))+((1/($S$44*$AI$4))))</f>
        <v>41.667734460076026</v>
      </c>
      <c r="AI44" s="428">
        <f>1/((1/(G44*$AI$5))+((1/($T$44*$AI$4))))</f>
        <v>277.64476691265298</v>
      </c>
      <c r="AJ44" s="428">
        <f>(1/((1/J44)+(1/$W$44)))</f>
        <v>5.7465230487695571</v>
      </c>
      <c r="AK44" s="428">
        <f>(1/((1/K44)+(1/$X$44)))</f>
        <v>51.047168368979015</v>
      </c>
      <c r="AL44" s="428">
        <f>1/((1/(J44*$AM$5))+(1/($W$44*$AM$4)))</f>
        <v>40.122687111367661</v>
      </c>
      <c r="AM44" s="428">
        <f>1/((1/(K44*$AM$5))+(1/($X$44*$AM$4)))</f>
        <v>295.15060107290907</v>
      </c>
      <c r="AN44" s="428">
        <f>(1/((1/N44)+(1/$AA$44)))</f>
        <v>6.1526106775492719</v>
      </c>
      <c r="AO44" s="428">
        <f>(1/((1/O44)+(1/$AB$44)))</f>
        <v>54.654501600386865</v>
      </c>
      <c r="AP44" s="428">
        <f>1/((1/(N44*$AM$5))+(1/($AA$44*$AM$4)))</f>
        <v>42.95802366723764</v>
      </c>
      <c r="AQ44" s="429">
        <f>1/((1/(O44*$AM$5))+(1/($AB$44*$AM$4)))</f>
        <v>316.00791021539465</v>
      </c>
      <c r="BB44" s="418">
        <f>'Inhalation Exposure'!I42</f>
        <v>11.051249999999975</v>
      </c>
      <c r="BC44" s="419">
        <f>'Inhalation Exposure'!J42</f>
        <v>0.59265000000000001</v>
      </c>
      <c r="BD44" s="419">
        <f>'Inhalation Exposure'!K42</f>
        <v>7.5178571428571255</v>
      </c>
      <c r="BE44" s="419">
        <f>'Inhalation Exposure'!L42</f>
        <v>0.4031632653061224</v>
      </c>
      <c r="BF44" s="419">
        <f>'Inhalation Exposure'!M42</f>
        <v>5.5130952380952261</v>
      </c>
      <c r="BG44" s="419">
        <f>'Inhalation Exposure'!N42</f>
        <v>0.29565306122448975</v>
      </c>
      <c r="BH44" s="419">
        <f>'Inhalation Exposure'!O42</f>
        <v>5.149217221135018</v>
      </c>
      <c r="BI44" s="448">
        <f>'Inhalation Exposure'!P42</f>
        <v>0.2761392228124126</v>
      </c>
      <c r="BJ44" s="420"/>
      <c r="BK44" s="430">
        <v>3</v>
      </c>
      <c r="BL44" s="431" t="s">
        <v>279</v>
      </c>
      <c r="BM44" s="432" t="s">
        <v>73</v>
      </c>
      <c r="BN44" s="433" t="s">
        <v>73</v>
      </c>
      <c r="BO44" s="434">
        <f>'Dermal Exposure'!T29</f>
        <v>33.4375</v>
      </c>
      <c r="BP44" s="435">
        <f>'Dermal Exposure'!U29</f>
        <v>6.3531250000000004</v>
      </c>
      <c r="BQ44" s="435">
        <f>'Dermal Exposure'!V29</f>
        <v>24.520833333333332</v>
      </c>
      <c r="BR44" s="435">
        <f>'Dermal Exposure'!W29</f>
        <v>4.6589583333333335</v>
      </c>
      <c r="BS44" s="435">
        <f>'Dermal Exposure'!X29</f>
        <v>22.902397260273972</v>
      </c>
      <c r="BT44" s="435">
        <f>'Dermal Exposure'!Y29</f>
        <v>4.3514554794520546</v>
      </c>
    </row>
    <row r="45" spans="1:72" ht="39" x14ac:dyDescent="0.3">
      <c r="A45" s="305">
        <v>3</v>
      </c>
      <c r="B45" s="646"/>
      <c r="C45" s="308" t="s">
        <v>54</v>
      </c>
      <c r="D45" s="206" t="s">
        <v>54</v>
      </c>
      <c r="E45" s="380" t="s">
        <v>107</v>
      </c>
      <c r="F45" s="424">
        <f>'Hazard Values'!$G$12/BD45</f>
        <v>265.40116426221215</v>
      </c>
      <c r="G45" s="425">
        <f>'Hazard Values'!$G$12/BE45</f>
        <v>265.40116426221215</v>
      </c>
      <c r="H45" s="425">
        <f t="shared" si="0"/>
        <v>2654.0116426221216</v>
      </c>
      <c r="I45" s="425">
        <f t="shared" si="1"/>
        <v>2654.0116426221216</v>
      </c>
      <c r="J45" s="425">
        <f>'Hazard Values'!$G$13/BF45</f>
        <v>188.73472768689172</v>
      </c>
      <c r="K45" s="425">
        <f>'Hazard Values'!$G$13/BG45</f>
        <v>188.73472768689172</v>
      </c>
      <c r="L45" s="425">
        <f t="shared" si="2"/>
        <v>1887.3472768689171</v>
      </c>
      <c r="M45" s="425">
        <f t="shared" si="3"/>
        <v>1887.3472768689171</v>
      </c>
      <c r="N45" s="425">
        <f>'Hazard Values'!$G$14/BH45</f>
        <v>202.0719817767654</v>
      </c>
      <c r="O45" s="425">
        <f>'Hazard Values'!$G$14/BI45</f>
        <v>202.0719817767654</v>
      </c>
      <c r="P45" s="425">
        <f t="shared" si="4"/>
        <v>2020.7198177676539</v>
      </c>
      <c r="Q45" s="426">
        <f t="shared" si="5"/>
        <v>2020.7198177676539</v>
      </c>
      <c r="S45" s="427">
        <f>'Hazard Values'!$I$12/'Bridge Table'!BO45</f>
        <v>168.33110814419226</v>
      </c>
      <c r="T45" s="428">
        <f>'Hazard Values'!$I$12/BP45</f>
        <v>168.33110814419226</v>
      </c>
      <c r="U45" s="428">
        <f>'Hazard Values'!$I$12/(BO45/'Bridge Table'!$V$5)</f>
        <v>841.65554072096131</v>
      </c>
      <c r="V45" s="428">
        <f>'Hazard Values'!$I$12/(BP45/'Bridge Table'!$V$5)</f>
        <v>841.65554072096131</v>
      </c>
      <c r="W45" s="428">
        <f>'Hazard Values'!$I$13/BQ45</f>
        <v>189.92596188857871</v>
      </c>
      <c r="X45" s="428">
        <f>'Hazard Values'!$I$13/BR45</f>
        <v>189.92596188857871</v>
      </c>
      <c r="Y45" s="428">
        <f>'Hazard Values'!$I$13/(BQ45/$Z$5)</f>
        <v>949.62980944289359</v>
      </c>
      <c r="Z45" s="428">
        <f>'Hazard Values'!$I$13/(BR45/$Z$5)</f>
        <v>949.62980944289359</v>
      </c>
      <c r="AA45" s="428">
        <f>'Hazard Values'!$I$14/'Bridge Table'!BS45</f>
        <v>203.34739652870493</v>
      </c>
      <c r="AB45" s="428">
        <f>'Hazard Values'!$I$14/'Bridge Table'!BT45</f>
        <v>203.34739652870493</v>
      </c>
      <c r="AC45" s="428">
        <f>'Hazard Values'!$I$14/(BS45/$AD$5)</f>
        <v>1016.7369826435247</v>
      </c>
      <c r="AD45" s="429">
        <f>'Hazard Values'!$I$14/(BT45/$AD$5)</f>
        <v>1016.7369826435247</v>
      </c>
      <c r="AF45" s="427">
        <f>(1/((1/F45)+(1/S45)))</f>
        <v>103.00195518113652</v>
      </c>
      <c r="AG45" s="428">
        <f t="shared" ref="AG45:AQ45" si="56">(1/((1/G45)+(1/T45)))</f>
        <v>103.00195518113652</v>
      </c>
      <c r="AH45" s="428">
        <f t="shared" si="56"/>
        <v>639.00923257075851</v>
      </c>
      <c r="AI45" s="428">
        <f t="shared" si="56"/>
        <v>639.00923257075851</v>
      </c>
      <c r="AJ45" s="428">
        <f t="shared" si="56"/>
        <v>94.664235513593042</v>
      </c>
      <c r="AK45" s="428">
        <f t="shared" si="56"/>
        <v>94.664235513593042</v>
      </c>
      <c r="AL45" s="428">
        <f t="shared" si="56"/>
        <v>631.75738836002893</v>
      </c>
      <c r="AM45" s="428">
        <f t="shared" si="56"/>
        <v>631.75738836002893</v>
      </c>
      <c r="AN45" s="428">
        <f t="shared" si="56"/>
        <v>101.35384148988695</v>
      </c>
      <c r="AO45" s="428">
        <f t="shared" si="56"/>
        <v>101.35384148988695</v>
      </c>
      <c r="AP45" s="428">
        <f t="shared" si="56"/>
        <v>676.40157713747101</v>
      </c>
      <c r="AQ45" s="428">
        <f t="shared" si="56"/>
        <v>676.40157713747101</v>
      </c>
      <c r="BB45" s="418">
        <f>'Inhalation Exposure'!I43</f>
        <v>0.59265000000000001</v>
      </c>
      <c r="BC45" s="419">
        <f>'Inhalation Exposure'!J43</f>
        <v>0.59265000000000001</v>
      </c>
      <c r="BD45" s="419">
        <f>'Inhalation Exposure'!K43</f>
        <v>0.4031632653061224</v>
      </c>
      <c r="BE45" s="419">
        <f>'Inhalation Exposure'!L43</f>
        <v>0.4031632653061224</v>
      </c>
      <c r="BF45" s="419">
        <f>'Inhalation Exposure'!M43</f>
        <v>0.29565306122448975</v>
      </c>
      <c r="BG45" s="419">
        <f>'Inhalation Exposure'!N43</f>
        <v>0.29565306122448975</v>
      </c>
      <c r="BH45" s="419">
        <f>'Inhalation Exposure'!O43</f>
        <v>0.2761392228124126</v>
      </c>
      <c r="BI45" s="448">
        <f>'Inhalation Exposure'!P43</f>
        <v>0.2761392228124126</v>
      </c>
      <c r="BJ45" s="420"/>
      <c r="BK45" s="430">
        <v>3</v>
      </c>
      <c r="BL45" s="431" t="s">
        <v>279</v>
      </c>
      <c r="BM45" s="432" t="s">
        <v>54</v>
      </c>
      <c r="BN45" s="433" t="s">
        <v>54</v>
      </c>
      <c r="BO45" s="434">
        <f>'Dermal Exposure'!T30</f>
        <v>2.3406250000000002</v>
      </c>
      <c r="BP45" s="435">
        <f>'Dermal Exposure'!U30</f>
        <v>2.3406250000000002</v>
      </c>
      <c r="BQ45" s="435">
        <f>'Dermal Exposure'!V30</f>
        <v>1.7164583333333334</v>
      </c>
      <c r="BR45" s="435">
        <f>'Dermal Exposure'!W30</f>
        <v>1.7164583333333334</v>
      </c>
      <c r="BS45" s="435">
        <f>'Dermal Exposure'!X30</f>
        <v>1.603167808219178</v>
      </c>
      <c r="BT45" s="435">
        <f>'Dermal Exposure'!Y30</f>
        <v>1.603167808219178</v>
      </c>
    </row>
    <row r="46" spans="1:72" ht="39" x14ac:dyDescent="0.3">
      <c r="A46" s="305">
        <v>4</v>
      </c>
      <c r="B46" s="645" t="s">
        <v>291</v>
      </c>
      <c r="C46" s="308" t="s">
        <v>263</v>
      </c>
      <c r="D46" s="206" t="s">
        <v>54</v>
      </c>
      <c r="E46" s="380" t="s">
        <v>107</v>
      </c>
      <c r="F46" s="424">
        <f>'Hazard Values'!$G$12/BD46</f>
        <v>518.62587235764136</v>
      </c>
      <c r="G46" s="425">
        <f>'Hazard Values'!$G$12/BE46</f>
        <v>518.62587235764136</v>
      </c>
      <c r="H46" s="425">
        <f t="shared" si="0"/>
        <v>5186.2587235764131</v>
      </c>
      <c r="I46" s="425">
        <f t="shared" si="1"/>
        <v>5186.2587235764131</v>
      </c>
      <c r="J46" s="425">
        <f>'Hazard Values'!$G$13/BF46</f>
        <v>368.81041220335243</v>
      </c>
      <c r="K46" s="425">
        <f>'Hazard Values'!$G$13/BG46</f>
        <v>368.81041220335243</v>
      </c>
      <c r="L46" s="425">
        <f t="shared" si="2"/>
        <v>3688.1041220335242</v>
      </c>
      <c r="M46" s="425">
        <f t="shared" si="3"/>
        <v>3688.1041220335242</v>
      </c>
      <c r="N46" s="425">
        <f>'Hazard Values'!$G$14/BH46</f>
        <v>601.94057113677241</v>
      </c>
      <c r="O46" s="425">
        <f>'Hazard Values'!$G$14/BI46</f>
        <v>2014.6582380904219</v>
      </c>
      <c r="P46" s="425">
        <f t="shared" si="4"/>
        <v>6019.4057113677245</v>
      </c>
      <c r="Q46" s="426">
        <f t="shared" si="5"/>
        <v>20146.582380904219</v>
      </c>
      <c r="S46" s="663">
        <f>'Hazard Values'!$I$12/'Bridge Table'!BO46</f>
        <v>14.027592345349355</v>
      </c>
      <c r="T46" s="657">
        <f>'Hazard Values'!$I$12/BP46</f>
        <v>42.082777036048064</v>
      </c>
      <c r="U46" s="657">
        <f>'Hazard Values'!$I$12/(BO46/'Bridge Table'!$V$5)</f>
        <v>70.137961726746781</v>
      </c>
      <c r="V46" s="657">
        <f>'Hazard Values'!$I$12/(BP46/'Bridge Table'!$V$5)</f>
        <v>210.41388518024033</v>
      </c>
      <c r="W46" s="657">
        <f>'Hazard Values'!$I$13/BQ46</f>
        <v>15.827163490714893</v>
      </c>
      <c r="X46" s="657">
        <f>'Hazard Values'!$I$13/BR46</f>
        <v>47.481490472144678</v>
      </c>
      <c r="Y46" s="657">
        <f>'Hazard Values'!$I$13/(BQ46/$Z$5)</f>
        <v>79.135817453574461</v>
      </c>
      <c r="Z46" s="657">
        <f>'Hazard Values'!$I$13/(BR46/$Z$5)</f>
        <v>237.4074523607234</v>
      </c>
      <c r="AA46" s="657">
        <f>'Hazard Values'!$I$14/'Bridge Table'!BS46</f>
        <v>25.831732282609877</v>
      </c>
      <c r="AB46" s="657">
        <f>'Hazard Values'!$I$14/'Bridge Table'!BT46</f>
        <v>259.37167924579711</v>
      </c>
      <c r="AC46" s="657">
        <f>'Hazard Values'!$I$14/(BS46/$AD$5)</f>
        <v>129.15866141304937</v>
      </c>
      <c r="AD46" s="662">
        <f>'Hazard Values'!$I$14/(BT46/$AD$5)</f>
        <v>1296.8583962289856</v>
      </c>
      <c r="AF46" s="427">
        <v>39</v>
      </c>
      <c r="AG46" s="428">
        <f>(1/((1/G46)+(1/$T$46)))</f>
        <v>38.924345067893611</v>
      </c>
      <c r="AH46" s="428">
        <v>202</v>
      </c>
      <c r="AI46" s="428">
        <f>1/((1/(G46*$AI$5))+((1/($T$46*$AI$4))))</f>
        <v>202.20994058578702</v>
      </c>
      <c r="AJ46" s="428">
        <v>42</v>
      </c>
      <c r="AK46" s="428">
        <f>(1/((1/K46)+(1/$X$46)))</f>
        <v>42.065838803287313</v>
      </c>
      <c r="AL46" s="428">
        <v>223</v>
      </c>
      <c r="AM46" s="428">
        <f>1/((1/(K46*$AM$5))+(1/($X$46*$AM$4)))</f>
        <v>223.0495024812592</v>
      </c>
      <c r="AN46" s="428">
        <v>230</v>
      </c>
      <c r="AO46" s="428">
        <f>(1/((1/O46)+(1/$AB$46)))</f>
        <v>229.78822149006606</v>
      </c>
      <c r="AP46" s="428">
        <v>1218</v>
      </c>
      <c r="AQ46" s="429">
        <f>1/((1/(O46*$AM$5))+(1/($AB$46*$AM$4)))</f>
        <v>1218.4268740983073</v>
      </c>
      <c r="BB46" s="418">
        <f>'Inhalation Exposure'!I44</f>
        <v>0.30328220858895705</v>
      </c>
      <c r="BC46" s="419">
        <f>'Inhalation Exposure'!J44</f>
        <v>0.30328220858895705</v>
      </c>
      <c r="BD46" s="419">
        <f>'Inhalation Exposure'!K44</f>
        <v>0.2063144276115354</v>
      </c>
      <c r="BE46" s="419">
        <f>'Inhalation Exposure'!L44</f>
        <v>0.2063144276115354</v>
      </c>
      <c r="BF46" s="419">
        <f>'Inhalation Exposure'!M44</f>
        <v>0.15129724691512597</v>
      </c>
      <c r="BG46" s="419">
        <f>'Inhalation Exposure'!N44</f>
        <v>0.15129724691512597</v>
      </c>
      <c r="BH46" s="419">
        <f>'Inhalation Exposure'!O44</f>
        <v>9.2700181173402202E-2</v>
      </c>
      <c r="BI46" s="448">
        <f>'Inhalation Exposure'!P44</f>
        <v>2.7697005350589683E-2</v>
      </c>
      <c r="BJ46" s="420"/>
      <c r="BK46" s="430">
        <v>4</v>
      </c>
      <c r="BL46" s="431" t="s">
        <v>291</v>
      </c>
      <c r="BM46" s="432" t="s">
        <v>264</v>
      </c>
      <c r="BN46" s="433" t="s">
        <v>73</v>
      </c>
      <c r="BO46" s="434">
        <f>'Dermal Exposure'!T31</f>
        <v>28.087499999999999</v>
      </c>
      <c r="BP46" s="435">
        <f>'Dermal Exposure'!U31</f>
        <v>9.3625000000000007</v>
      </c>
      <c r="BQ46" s="435">
        <f>'Dermal Exposure'!V31</f>
        <v>20.5975</v>
      </c>
      <c r="BR46" s="435">
        <f>'Dermal Exposure'!W31</f>
        <v>6.8658333333333337</v>
      </c>
      <c r="BS46" s="435">
        <f>'Dermal Exposure'!X31</f>
        <v>12.620136986301368</v>
      </c>
      <c r="BT46" s="435">
        <f>'Dermal Exposure'!Y31</f>
        <v>1.2568835616438356</v>
      </c>
    </row>
    <row r="47" spans="1:72" ht="39" x14ac:dyDescent="0.3">
      <c r="A47" s="305">
        <v>4</v>
      </c>
      <c r="B47" s="647"/>
      <c r="C47" s="308" t="s">
        <v>264</v>
      </c>
      <c r="D47" s="206" t="s">
        <v>73</v>
      </c>
      <c r="E47" s="380" t="s">
        <v>107</v>
      </c>
      <c r="F47" s="424">
        <f>'Hazard Values'!$G$12/BD47</f>
        <v>16.207058511176296</v>
      </c>
      <c r="G47" s="425">
        <f>'Hazard Values'!$G$12/BE47</f>
        <v>54.023528370587634</v>
      </c>
      <c r="H47" s="425">
        <f t="shared" si="0"/>
        <v>162.07058511176297</v>
      </c>
      <c r="I47" s="425">
        <f t="shared" si="1"/>
        <v>540.23528370587633</v>
      </c>
      <c r="J47" s="425">
        <f>'Hazard Values'!$G$13/BF47</f>
        <v>11.525325381354765</v>
      </c>
      <c r="K47" s="425">
        <f>'Hazard Values'!$G$13/BG47</f>
        <v>38.417751271182539</v>
      </c>
      <c r="L47" s="425">
        <f t="shared" si="2"/>
        <v>115.25325381354764</v>
      </c>
      <c r="M47" s="425">
        <f t="shared" si="3"/>
        <v>384.17751271182539</v>
      </c>
      <c r="N47" s="425">
        <f>'Hazard Values'!$G$14/BH47</f>
        <v>18.810642848024141</v>
      </c>
      <c r="O47" s="425">
        <f>'Hazard Values'!$G$14/BI47</f>
        <v>209.86023313441891</v>
      </c>
      <c r="P47" s="425">
        <f t="shared" si="4"/>
        <v>188.10642848024142</v>
      </c>
      <c r="Q47" s="426">
        <f t="shared" si="5"/>
        <v>2098.6023313441892</v>
      </c>
      <c r="S47" s="663"/>
      <c r="T47" s="657"/>
      <c r="U47" s="657"/>
      <c r="V47" s="657"/>
      <c r="W47" s="657"/>
      <c r="X47" s="657"/>
      <c r="Y47" s="657"/>
      <c r="Z47" s="657"/>
      <c r="AA47" s="657"/>
      <c r="AB47" s="657"/>
      <c r="AC47" s="657"/>
      <c r="AD47" s="662"/>
      <c r="AF47" s="427">
        <f t="shared" ref="AF47:AF53" si="57">(1/((1/F47)+(1/$S$46)))</f>
        <v>7.5193859850025966</v>
      </c>
      <c r="AG47" s="428">
        <f t="shared" ref="AG47:AG53" si="58">(1/((1/G47)+(1/$T$46)))</f>
        <v>23.655680961835042</v>
      </c>
      <c r="AH47" s="428">
        <f t="shared" ref="AH47:AH53" si="59">1/((1/(F47*$AI$5))+((1/($S$46*$AI$4))))</f>
        <v>48.952980630405975</v>
      </c>
      <c r="AI47" s="428">
        <f t="shared" ref="AI47:AI53" si="60">1/((1/(G47*$AI$5))+((1/($T$46*$AI$4))))</f>
        <v>151.43293254381595</v>
      </c>
      <c r="AJ47" s="428">
        <f t="shared" ref="AJ47:AJ53" si="61">(1/((1/J47)+(1/$W$46)))</f>
        <v>6.6689802872255157</v>
      </c>
      <c r="AK47" s="428">
        <f t="shared" ref="AK47:AK53" si="62">(1/((1/K47)+(1/$X$46)))</f>
        <v>21.235718196378365</v>
      </c>
      <c r="AL47" s="428">
        <f t="shared" ref="AL47:AL53" si="63">1/((1/(J47*$AM$5))+(1/($W$46*$AM$4)))</f>
        <v>46.919615363489875</v>
      </c>
      <c r="AM47" s="428">
        <f t="shared" ref="AM47:AM53" si="64">1/((1/(K47*$AM$5))+(1/($X$46*$AM$4)))</f>
        <v>146.73232087675839</v>
      </c>
      <c r="AN47" s="428">
        <f t="shared" ref="AN47:AN53" si="65">(1/((1/N47)+(1/$AA$46)))</f>
        <v>10.884534899679045</v>
      </c>
      <c r="AO47" s="428">
        <f t="shared" ref="AO47:AO53" si="66">(1/((1/O47)+(1/$AB$46)))</f>
        <v>116.00191640606684</v>
      </c>
      <c r="AP47" s="428">
        <f t="shared" ref="AP47:AP53" si="67">1/((1/(N47*$AM$5))+(1/($AA$46*$AM$4)))</f>
        <v>76.578152717240613</v>
      </c>
      <c r="AQ47" s="429">
        <f t="shared" ref="AQ47:AQ53" si="68">1/((1/(O47*$AM$5))+(1/($AB$46*$AM$4)))</f>
        <v>801.53778002746265</v>
      </c>
      <c r="BB47" s="418">
        <f>'Inhalation Exposure'!I45</f>
        <v>9.705030674846622</v>
      </c>
      <c r="BC47" s="419">
        <f>'Inhalation Exposure'!J45</f>
        <v>2.9115092024539879</v>
      </c>
      <c r="BD47" s="419">
        <f>'Inhalation Exposure'!K45</f>
        <v>6.602061683569131</v>
      </c>
      <c r="BE47" s="419">
        <f>'Inhalation Exposure'!L45</f>
        <v>1.9806185050707401</v>
      </c>
      <c r="BF47" s="419">
        <f>'Inhalation Exposure'!M45</f>
        <v>4.8415119012840302</v>
      </c>
      <c r="BG47" s="419">
        <f>'Inhalation Exposure'!N45</f>
        <v>1.4524535703852095</v>
      </c>
      <c r="BH47" s="419">
        <f>'Inhalation Exposure'!O45</f>
        <v>2.9664057975488696</v>
      </c>
      <c r="BI47" s="448">
        <f>'Inhalation Exposure'!P45</f>
        <v>0.265891251365661</v>
      </c>
      <c r="BJ47" s="420"/>
      <c r="BK47" s="430">
        <v>4</v>
      </c>
      <c r="BL47" s="431" t="s">
        <v>291</v>
      </c>
      <c r="BM47" s="432" t="s">
        <v>265</v>
      </c>
      <c r="BN47" s="433" t="s">
        <v>73</v>
      </c>
      <c r="BO47" s="434">
        <f>'Dermal Exposure'!T32</f>
        <v>28.087499999999999</v>
      </c>
      <c r="BP47" s="435">
        <f>'Dermal Exposure'!U32</f>
        <v>9.3625000000000007</v>
      </c>
      <c r="BQ47" s="435">
        <f>'Dermal Exposure'!V32</f>
        <v>20.5975</v>
      </c>
      <c r="BR47" s="435">
        <f>'Dermal Exposure'!W32</f>
        <v>6.8658333333333337</v>
      </c>
      <c r="BS47" s="435">
        <f>'Dermal Exposure'!X32</f>
        <v>12.620136986301368</v>
      </c>
      <c r="BT47" s="435">
        <f>'Dermal Exposure'!Y32</f>
        <v>1.2568835616438356</v>
      </c>
    </row>
    <row r="48" spans="1:72" ht="39" x14ac:dyDescent="0.3">
      <c r="A48" s="305">
        <v>4</v>
      </c>
      <c r="B48" s="647"/>
      <c r="C48" s="308" t="s">
        <v>265</v>
      </c>
      <c r="D48" s="206" t="s">
        <v>73</v>
      </c>
      <c r="E48" s="380" t="s">
        <v>107</v>
      </c>
      <c r="F48" s="424">
        <f>'Hazard Values'!$G$12/BD48</f>
        <v>3.3677004698548143</v>
      </c>
      <c r="G48" s="425">
        <f>'Hazard Values'!$G$12/BE48</f>
        <v>648.28234044705164</v>
      </c>
      <c r="H48" s="425">
        <f t="shared" si="0"/>
        <v>33.677004698548146</v>
      </c>
      <c r="I48" s="425">
        <f t="shared" si="1"/>
        <v>6482.8234044705168</v>
      </c>
      <c r="J48" s="425">
        <f>'Hazard Values'!$G$13/BF48</f>
        <v>2.3948728065152758</v>
      </c>
      <c r="K48" s="425">
        <f>'Hazard Values'!$G$13/BG48</f>
        <v>461.01301525419041</v>
      </c>
      <c r="L48" s="425">
        <f t="shared" si="2"/>
        <v>23.948728065152757</v>
      </c>
      <c r="M48" s="425">
        <f t="shared" si="3"/>
        <v>4610.130152541904</v>
      </c>
      <c r="N48" s="425">
        <f>'Hazard Values'!$G$14/BH48</f>
        <v>3.9087050073816387</v>
      </c>
      <c r="O48" s="425">
        <f>'Hazard Values'!$G$14/BI48</f>
        <v>2518.322797613027</v>
      </c>
      <c r="P48" s="425">
        <f t="shared" si="4"/>
        <v>39.087050073816386</v>
      </c>
      <c r="Q48" s="426">
        <f t="shared" si="5"/>
        <v>25183.227976130271</v>
      </c>
      <c r="S48" s="663"/>
      <c r="T48" s="657"/>
      <c r="U48" s="657"/>
      <c r="V48" s="657"/>
      <c r="W48" s="657"/>
      <c r="X48" s="657"/>
      <c r="Y48" s="657"/>
      <c r="Z48" s="657"/>
      <c r="AA48" s="657"/>
      <c r="AB48" s="657"/>
      <c r="AC48" s="657"/>
      <c r="AD48" s="662"/>
      <c r="AF48" s="427">
        <f t="shared" si="57"/>
        <v>2.7157191220762069</v>
      </c>
      <c r="AG48" s="428">
        <f t="shared" si="58"/>
        <v>39.517525579656095</v>
      </c>
      <c r="AH48" s="428">
        <f t="shared" si="59"/>
        <v>22.752369412149825</v>
      </c>
      <c r="AI48" s="428">
        <f t="shared" si="60"/>
        <v>203.79914837043071</v>
      </c>
      <c r="AJ48" s="428">
        <f t="shared" si="61"/>
        <v>2.0801211692211408</v>
      </c>
      <c r="AK48" s="428">
        <f t="shared" si="62"/>
        <v>43.047830104003545</v>
      </c>
      <c r="AL48" s="428">
        <f t="shared" si="63"/>
        <v>18.384930183981123</v>
      </c>
      <c r="AM48" s="428">
        <f t="shared" si="64"/>
        <v>225.78045675383913</v>
      </c>
      <c r="AN48" s="428">
        <f t="shared" si="65"/>
        <v>3.3949945099279999</v>
      </c>
      <c r="AO48" s="428">
        <f t="shared" si="66"/>
        <v>235.15243247289013</v>
      </c>
      <c r="AP48" s="428">
        <f t="shared" si="67"/>
        <v>30.006298653936671</v>
      </c>
      <c r="AQ48" s="429">
        <f t="shared" si="68"/>
        <v>1233.3449440362776</v>
      </c>
      <c r="BB48" s="418">
        <f>'Inhalation Exposure'!I46</f>
        <v>46.705460122699385</v>
      </c>
      <c r="BC48" s="419">
        <f>'Inhalation Exposure'!J46</f>
        <v>0.24262576687116569</v>
      </c>
      <c r="BD48" s="419">
        <f>'Inhalation Exposure'!K46</f>
        <v>31.77242185217645</v>
      </c>
      <c r="BE48" s="419">
        <f>'Inhalation Exposure'!L46</f>
        <v>0.16505154208922834</v>
      </c>
      <c r="BF48" s="419">
        <f>'Inhalation Exposure'!M46</f>
        <v>23.299776024929397</v>
      </c>
      <c r="BG48" s="419">
        <f>'Inhalation Exposure'!N46</f>
        <v>0.1210377975321008</v>
      </c>
      <c r="BH48" s="419">
        <f>'Inhalation Exposure'!O46</f>
        <v>14.275827900703939</v>
      </c>
      <c r="BI48" s="448">
        <f>'Inhalation Exposure'!P46</f>
        <v>2.2157604280471751E-2</v>
      </c>
      <c r="BJ48" s="420"/>
      <c r="BK48" s="430">
        <v>4</v>
      </c>
      <c r="BL48" s="431" t="s">
        <v>291</v>
      </c>
      <c r="BM48" s="432" t="s">
        <v>266</v>
      </c>
      <c r="BN48" s="433" t="s">
        <v>73</v>
      </c>
      <c r="BO48" s="434">
        <f>'Dermal Exposure'!T33</f>
        <v>28.087499999999999</v>
      </c>
      <c r="BP48" s="435">
        <f>'Dermal Exposure'!U33</f>
        <v>9.3625000000000007</v>
      </c>
      <c r="BQ48" s="435">
        <f>'Dermal Exposure'!V33</f>
        <v>20.5975</v>
      </c>
      <c r="BR48" s="435">
        <f>'Dermal Exposure'!W33</f>
        <v>6.8658333333333337</v>
      </c>
      <c r="BS48" s="435">
        <f>'Dermal Exposure'!X33</f>
        <v>12.620136986301368</v>
      </c>
      <c r="BT48" s="435">
        <f>'Dermal Exposure'!Y33</f>
        <v>1.2568835616438356</v>
      </c>
    </row>
    <row r="49" spans="1:72" ht="39" x14ac:dyDescent="0.3">
      <c r="A49" s="305">
        <v>4</v>
      </c>
      <c r="B49" s="647"/>
      <c r="C49" s="308" t="s">
        <v>266</v>
      </c>
      <c r="D49" s="206" t="s">
        <v>73</v>
      </c>
      <c r="E49" s="380" t="s">
        <v>269</v>
      </c>
      <c r="F49" s="424">
        <f>'Hazard Values'!$G$12/BD49</f>
        <v>30.628416529482646</v>
      </c>
      <c r="G49" s="425">
        <f>'Hazard Values'!$G$12/BE49</f>
        <v>314.84344960245346</v>
      </c>
      <c r="H49" s="425">
        <f t="shared" si="0"/>
        <v>306.28416529482644</v>
      </c>
      <c r="I49" s="425">
        <f t="shared" si="1"/>
        <v>3148.4344960245344</v>
      </c>
      <c r="J49" s="425">
        <f>'Hazard Values'!$G$13/BF49</f>
        <v>21.780785586386553</v>
      </c>
      <c r="K49" s="425">
        <f>'Hazard Values'!$G$13/BG49</f>
        <v>223.89461964082713</v>
      </c>
      <c r="L49" s="425">
        <f t="shared" si="2"/>
        <v>217.80785586386554</v>
      </c>
      <c r="M49" s="425">
        <f t="shared" si="3"/>
        <v>2238.9461964082711</v>
      </c>
      <c r="N49" s="425">
        <f>'Hazard Values'!$G$14/BH49</f>
        <v>35.548721190789436</v>
      </c>
      <c r="O49" s="425">
        <f>'Hazard Values'!$G$14/BI49</f>
        <v>1223.0433984461508</v>
      </c>
      <c r="P49" s="425">
        <f t="shared" si="4"/>
        <v>355.48721190789433</v>
      </c>
      <c r="Q49" s="426">
        <f t="shared" si="5"/>
        <v>12230.433984461508</v>
      </c>
      <c r="S49" s="663"/>
      <c r="T49" s="657"/>
      <c r="U49" s="657"/>
      <c r="V49" s="657"/>
      <c r="W49" s="657"/>
      <c r="X49" s="657"/>
      <c r="Y49" s="657"/>
      <c r="Z49" s="657"/>
      <c r="AA49" s="657"/>
      <c r="AB49" s="657"/>
      <c r="AC49" s="657"/>
      <c r="AD49" s="662"/>
      <c r="AF49" s="427">
        <f t="shared" si="57"/>
        <v>9.6211674998409453</v>
      </c>
      <c r="AG49" s="428">
        <f t="shared" si="58"/>
        <v>37.121079097108485</v>
      </c>
      <c r="AH49" s="428">
        <f t="shared" si="59"/>
        <v>57.069299387190242</v>
      </c>
      <c r="AI49" s="428">
        <f t="shared" si="60"/>
        <v>197.23258074137701</v>
      </c>
      <c r="AJ49" s="428">
        <f t="shared" si="61"/>
        <v>9.1663614446298762</v>
      </c>
      <c r="AK49" s="428">
        <f t="shared" si="62"/>
        <v>39.173861858418</v>
      </c>
      <c r="AL49" s="428">
        <f t="shared" si="63"/>
        <v>58.046034552725395</v>
      </c>
      <c r="AM49" s="428">
        <f t="shared" si="64"/>
        <v>214.64725473530461</v>
      </c>
      <c r="AN49" s="428">
        <f t="shared" si="65"/>
        <v>14.960545203328843</v>
      </c>
      <c r="AO49" s="428">
        <f t="shared" si="66"/>
        <v>213.99055151231059</v>
      </c>
      <c r="AP49" s="428">
        <f t="shared" si="67"/>
        <v>94.73773525576928</v>
      </c>
      <c r="AQ49" s="429">
        <f t="shared" si="68"/>
        <v>1172.5288813091811</v>
      </c>
      <c r="BB49" s="418">
        <f>'Inhalation Exposure'!I47</f>
        <v>3.42361806066803</v>
      </c>
      <c r="BC49" s="419">
        <f>'Inhalation Exposure'!J47</f>
        <v>0.33305441206543968</v>
      </c>
      <c r="BD49" s="419">
        <f>'Inhalation Exposure'!K47</f>
        <v>3.4934878170081936</v>
      </c>
      <c r="BE49" s="419">
        <f>'Inhalation Exposure'!L47</f>
        <v>0.33985144088310165</v>
      </c>
      <c r="BF49" s="419">
        <f>'Inhalation Exposure'!M47</f>
        <v>2.5618910658060088</v>
      </c>
      <c r="BG49" s="419">
        <f>'Inhalation Exposure'!N47</f>
        <v>0.24922438998094121</v>
      </c>
      <c r="BH49" s="419">
        <f>'Inhalation Exposure'!O47</f>
        <v>1.5696767177790238</v>
      </c>
      <c r="BI49" s="448">
        <f>'Inhalation Exposure'!P47</f>
        <v>4.5623892063758852E-2</v>
      </c>
      <c r="BJ49" s="420"/>
      <c r="BK49" s="430">
        <v>4</v>
      </c>
      <c r="BL49" s="431" t="s">
        <v>291</v>
      </c>
      <c r="BM49" s="432" t="s">
        <v>267</v>
      </c>
      <c r="BN49" s="433" t="s">
        <v>73</v>
      </c>
      <c r="BO49" s="434">
        <f>'Dermal Exposure'!T34</f>
        <v>28.087499999999999</v>
      </c>
      <c r="BP49" s="435">
        <f>'Dermal Exposure'!U34</f>
        <v>9.3625000000000007</v>
      </c>
      <c r="BQ49" s="435">
        <f>'Dermal Exposure'!V34</f>
        <v>20.5975</v>
      </c>
      <c r="BR49" s="435">
        <f>'Dermal Exposure'!W34</f>
        <v>6.8658333333333337</v>
      </c>
      <c r="BS49" s="435">
        <f>'Dermal Exposure'!X34</f>
        <v>12.620136986301368</v>
      </c>
      <c r="BT49" s="435">
        <f>'Dermal Exposure'!Y34</f>
        <v>1.2568835616438356</v>
      </c>
    </row>
    <row r="50" spans="1:72" ht="39" x14ac:dyDescent="0.3">
      <c r="A50" s="305">
        <v>4</v>
      </c>
      <c r="B50" s="647"/>
      <c r="C50" s="308" t="s">
        <v>267</v>
      </c>
      <c r="D50" s="206" t="s">
        <v>73</v>
      </c>
      <c r="E50" s="380" t="s">
        <v>107</v>
      </c>
      <c r="F50" s="424">
        <f>'Hazard Values'!$G$12/BD50</f>
        <v>997.35744684161796</v>
      </c>
      <c r="G50" s="425">
        <f>'Hazard Values'!$G$12/BE50</f>
        <v>997.35744684161796</v>
      </c>
      <c r="H50" s="425">
        <f t="shared" si="0"/>
        <v>9973.57446841618</v>
      </c>
      <c r="I50" s="425">
        <f t="shared" si="1"/>
        <v>9973.57446841618</v>
      </c>
      <c r="J50" s="425">
        <f>'Hazard Values'!$G$13/BF50</f>
        <v>709.25079269875471</v>
      </c>
      <c r="K50" s="425">
        <f>'Hazard Values'!$G$13/BG50</f>
        <v>709.25079269875471</v>
      </c>
      <c r="L50" s="425">
        <f t="shared" si="2"/>
        <v>7092.5079269875469</v>
      </c>
      <c r="M50" s="425">
        <f t="shared" si="3"/>
        <v>7092.5079269875469</v>
      </c>
      <c r="N50" s="425">
        <f>'Hazard Values'!$G$14/BH50</f>
        <v>1157.5780214168697</v>
      </c>
      <c r="O50" s="425">
        <f>'Hazard Values'!$G$14/BI50</f>
        <v>3874.3427655585033</v>
      </c>
      <c r="P50" s="425">
        <f t="shared" si="4"/>
        <v>11575.780214168697</v>
      </c>
      <c r="Q50" s="426">
        <f t="shared" si="5"/>
        <v>38743.42765558503</v>
      </c>
      <c r="S50" s="663"/>
      <c r="T50" s="657"/>
      <c r="U50" s="657"/>
      <c r="V50" s="657"/>
      <c r="W50" s="657"/>
      <c r="X50" s="657"/>
      <c r="Y50" s="657"/>
      <c r="Z50" s="657"/>
      <c r="AA50" s="657"/>
      <c r="AB50" s="657"/>
      <c r="AC50" s="657"/>
      <c r="AD50" s="662"/>
      <c r="AF50" s="427">
        <f t="shared" si="57"/>
        <v>13.833034052134453</v>
      </c>
      <c r="AG50" s="428">
        <f t="shared" si="58"/>
        <v>40.379013719616928</v>
      </c>
      <c r="AH50" s="428">
        <f t="shared" si="59"/>
        <v>69.648169360687092</v>
      </c>
      <c r="AI50" s="428">
        <f t="shared" si="60"/>
        <v>206.06647220809097</v>
      </c>
      <c r="AJ50" s="428">
        <f t="shared" si="61"/>
        <v>15.481684632857631</v>
      </c>
      <c r="AK50" s="428">
        <f t="shared" si="62"/>
        <v>44.502244062820793</v>
      </c>
      <c r="AL50" s="428">
        <f t="shared" si="63"/>
        <v>78.262589804906113</v>
      </c>
      <c r="AM50" s="428">
        <f t="shared" si="64"/>
        <v>229.71810050337351</v>
      </c>
      <c r="AN50" s="428">
        <f t="shared" si="65"/>
        <v>25.267871463789991</v>
      </c>
      <c r="AO50" s="428">
        <f t="shared" si="66"/>
        <v>243.09729239758568</v>
      </c>
      <c r="AP50" s="428">
        <f t="shared" si="67"/>
        <v>127.73345449865775</v>
      </c>
      <c r="AQ50" s="429">
        <f t="shared" si="68"/>
        <v>1254.8546578517614</v>
      </c>
      <c r="BB50" s="418">
        <f>'Inhalation Exposure'!I48</f>
        <v>0.15770674846625768</v>
      </c>
      <c r="BC50" s="419">
        <f>'Inhalation Exposure'!J48</f>
        <v>0.15770674846625768</v>
      </c>
      <c r="BD50" s="419">
        <f>'Inhalation Exposure'!K48</f>
        <v>0.10728350235799841</v>
      </c>
      <c r="BE50" s="419">
        <f>'Inhalation Exposure'!L48</f>
        <v>0.10728350235799841</v>
      </c>
      <c r="BF50" s="419">
        <f>'Inhalation Exposure'!M48</f>
        <v>7.8674568395865493E-2</v>
      </c>
      <c r="BG50" s="419">
        <f>'Inhalation Exposure'!N48</f>
        <v>7.8674568395865493E-2</v>
      </c>
      <c r="BH50" s="419">
        <f>'Inhalation Exposure'!O48</f>
        <v>4.8204094210169156E-2</v>
      </c>
      <c r="BI50" s="448">
        <f>'Inhalation Exposure'!P48</f>
        <v>1.4402442782306636E-2</v>
      </c>
      <c r="BJ50" s="420"/>
      <c r="BK50" s="430">
        <v>4</v>
      </c>
      <c r="BL50" s="431" t="s">
        <v>291</v>
      </c>
      <c r="BM50" s="432" t="s">
        <v>268</v>
      </c>
      <c r="BN50" s="433" t="s">
        <v>73</v>
      </c>
      <c r="BO50" s="434">
        <f>'Dermal Exposure'!T35</f>
        <v>28.087499999999999</v>
      </c>
      <c r="BP50" s="435">
        <f>'Dermal Exposure'!U35</f>
        <v>9.3625000000000007</v>
      </c>
      <c r="BQ50" s="435">
        <f>'Dermal Exposure'!V35</f>
        <v>20.5975</v>
      </c>
      <c r="BR50" s="435">
        <f>'Dermal Exposure'!W35</f>
        <v>6.8658333333333337</v>
      </c>
      <c r="BS50" s="435">
        <f>'Dermal Exposure'!X35</f>
        <v>12.620136986301368</v>
      </c>
      <c r="BT50" s="435">
        <f>'Dermal Exposure'!Y35</f>
        <v>1.2568835616438356</v>
      </c>
    </row>
    <row r="51" spans="1:72" x14ac:dyDescent="0.3">
      <c r="A51" s="305">
        <v>4</v>
      </c>
      <c r="B51" s="647"/>
      <c r="C51" s="308" t="s">
        <v>268</v>
      </c>
      <c r="D51" s="206" t="s">
        <v>73</v>
      </c>
      <c r="E51" s="380" t="s">
        <v>107</v>
      </c>
      <c r="F51" s="424">
        <f>'Hazard Values'!$G$12/BD51</f>
        <v>19.541168632110153</v>
      </c>
      <c r="G51" s="425">
        <f>'Hazard Values'!$G$12/BE51</f>
        <v>308.01833547595629</v>
      </c>
      <c r="H51" s="425">
        <f t="shared" si="0"/>
        <v>195.41168632110154</v>
      </c>
      <c r="I51" s="425">
        <f t="shared" si="1"/>
        <v>3080.1833547595629</v>
      </c>
      <c r="J51" s="425">
        <f>'Hazard Values'!$G$13/BF51</f>
        <v>13.896311083327271</v>
      </c>
      <c r="K51" s="425">
        <f>'Hazard Values'!$G$13/BG51</f>
        <v>219.04107629003857</v>
      </c>
      <c r="L51" s="425">
        <f t="shared" si="2"/>
        <v>138.96311083327271</v>
      </c>
      <c r="M51" s="425">
        <f t="shared" si="3"/>
        <v>2190.4107629003856</v>
      </c>
      <c r="N51" s="425">
        <f>'Hazard Values'!$G$14/BH51</f>
        <v>22.680361381934546</v>
      </c>
      <c r="O51" s="425">
        <f>'Hazard Values'!$G$14/BI51</f>
        <v>1196.5305051761973</v>
      </c>
      <c r="P51" s="425">
        <f t="shared" si="4"/>
        <v>226.80361381934546</v>
      </c>
      <c r="Q51" s="426">
        <f t="shared" si="5"/>
        <v>11965.305051761972</v>
      </c>
      <c r="S51" s="663"/>
      <c r="T51" s="657"/>
      <c r="U51" s="657"/>
      <c r="V51" s="657"/>
      <c r="W51" s="657"/>
      <c r="X51" s="657"/>
      <c r="Y51" s="657"/>
      <c r="Z51" s="657"/>
      <c r="AA51" s="657"/>
      <c r="AB51" s="657"/>
      <c r="AC51" s="657"/>
      <c r="AD51" s="662"/>
      <c r="AF51" s="427">
        <f t="shared" si="57"/>
        <v>8.1657928246750107</v>
      </c>
      <c r="AG51" s="428">
        <f t="shared" si="58"/>
        <v>37.024352313090318</v>
      </c>
      <c r="AH51" s="428">
        <f t="shared" si="59"/>
        <v>51.612862140487096</v>
      </c>
      <c r="AI51" s="428">
        <f t="shared" si="60"/>
        <v>196.95918384539897</v>
      </c>
      <c r="AJ51" s="428">
        <f t="shared" si="61"/>
        <v>7.399511348707847</v>
      </c>
      <c r="AK51" s="428">
        <f t="shared" si="62"/>
        <v>39.022574723115298</v>
      </c>
      <c r="AL51" s="428">
        <f t="shared" si="63"/>
        <v>50.421886334165428</v>
      </c>
      <c r="AM51" s="428">
        <f t="shared" si="64"/>
        <v>214.19224700386457</v>
      </c>
      <c r="AN51" s="428">
        <f t="shared" si="65"/>
        <v>12.076844741895121</v>
      </c>
      <c r="AO51" s="428">
        <f t="shared" si="66"/>
        <v>213.16413267116727</v>
      </c>
      <c r="AP51" s="428">
        <f t="shared" si="67"/>
        <v>82.294257573851297</v>
      </c>
      <c r="AQ51" s="429">
        <f t="shared" si="68"/>
        <v>1170.043362885056</v>
      </c>
      <c r="BB51" s="418">
        <f>'Inhalation Exposure'!I49</f>
        <v>8.0491603629856723</v>
      </c>
      <c r="BC51" s="419">
        <f>'Inhalation Exposure'!J49</f>
        <v>0.51065141871165642</v>
      </c>
      <c r="BD51" s="419">
        <f>'Inhalation Exposure'!K49</f>
        <v>5.4756192945480766</v>
      </c>
      <c r="BE51" s="419">
        <f>'Inhalation Exposure'!L49</f>
        <v>0.34738191749092273</v>
      </c>
      <c r="BF51" s="419">
        <f>'Inhalation Exposure'!M49</f>
        <v>4.0154541493352562</v>
      </c>
      <c r="BG51" s="419">
        <f>'Inhalation Exposure'!N49</f>
        <v>0.25474673949334331</v>
      </c>
      <c r="BH51" s="419">
        <f>'Inhalation Exposure'!O49</f>
        <v>2.4602782583722869</v>
      </c>
      <c r="BI51" s="448">
        <f>'Inhalation Exposure'!P49</f>
        <v>4.6634832759055375E-2</v>
      </c>
      <c r="BJ51" s="420"/>
      <c r="BK51" s="430"/>
      <c r="BL51" s="431"/>
      <c r="BM51" s="432"/>
      <c r="BN51" s="433"/>
      <c r="BO51" s="434"/>
      <c r="BP51" s="435"/>
      <c r="BQ51" s="435"/>
      <c r="BR51" s="435"/>
      <c r="BS51" s="435"/>
      <c r="BT51" s="435"/>
    </row>
    <row r="52" spans="1:72" x14ac:dyDescent="0.3">
      <c r="A52" s="305">
        <v>4</v>
      </c>
      <c r="B52" s="647"/>
      <c r="C52" s="308" t="s">
        <v>268</v>
      </c>
      <c r="D52" s="206" t="s">
        <v>73</v>
      </c>
      <c r="E52" s="380" t="s">
        <v>270</v>
      </c>
      <c r="F52" s="424">
        <f>'Hazard Values'!$G$12/BD52</f>
        <v>58.934758222459244</v>
      </c>
      <c r="G52" s="425">
        <f>'Hazard Values'!$G$12/BE52</f>
        <v>137.93241286107485</v>
      </c>
      <c r="H52" s="425">
        <f t="shared" si="0"/>
        <v>589.34758222459243</v>
      </c>
      <c r="I52" s="425">
        <f t="shared" si="1"/>
        <v>1379.3241286107486</v>
      </c>
      <c r="J52" s="425">
        <f>'Hazard Values'!$G$13/BF52</f>
        <v>41.910274114017312</v>
      </c>
      <c r="K52" s="425">
        <f>'Hazard Values'!$G$13/BG52</f>
        <v>98.087875585998006</v>
      </c>
      <c r="L52" s="425">
        <f t="shared" si="2"/>
        <v>419.10274114017312</v>
      </c>
      <c r="M52" s="425">
        <f t="shared" si="3"/>
        <v>980.87875585998006</v>
      </c>
      <c r="N52" s="425">
        <f>'Hazard Values'!$G$14/BH52</f>
        <v>68.402337629178675</v>
      </c>
      <c r="O52" s="425">
        <f>'Hazard Values'!$G$14/BI52</f>
        <v>535.81336119426112</v>
      </c>
      <c r="P52" s="425">
        <f t="shared" si="4"/>
        <v>684.02337629178669</v>
      </c>
      <c r="Q52" s="426">
        <f t="shared" si="5"/>
        <v>5358.1336119426114</v>
      </c>
      <c r="S52" s="663"/>
      <c r="T52" s="657"/>
      <c r="U52" s="657"/>
      <c r="V52" s="657"/>
      <c r="W52" s="657"/>
      <c r="X52" s="657"/>
      <c r="Y52" s="657"/>
      <c r="Z52" s="657"/>
      <c r="AA52" s="657"/>
      <c r="AB52" s="657"/>
      <c r="AC52" s="657"/>
      <c r="AD52" s="662"/>
      <c r="AF52" s="427">
        <f t="shared" si="57"/>
        <v>11.330676121077911</v>
      </c>
      <c r="AG52" s="428">
        <f t="shared" si="58"/>
        <v>32.244939884206474</v>
      </c>
      <c r="AH52" s="428">
        <f t="shared" si="59"/>
        <v>62.678611449395461</v>
      </c>
      <c r="AI52" s="428">
        <f t="shared" si="60"/>
        <v>182.56401136923117</v>
      </c>
      <c r="AJ52" s="428">
        <f t="shared" si="61"/>
        <v>11.488572888951033</v>
      </c>
      <c r="AK52" s="428">
        <f t="shared" si="62"/>
        <v>31.994084031452434</v>
      </c>
      <c r="AL52" s="428">
        <f t="shared" si="63"/>
        <v>66.566582303005276</v>
      </c>
      <c r="AM52" s="428">
        <f t="shared" si="64"/>
        <v>191.14385842352712</v>
      </c>
      <c r="AN52" s="428">
        <f t="shared" si="65"/>
        <v>18.75065859721073</v>
      </c>
      <c r="AO52" s="428">
        <f t="shared" si="66"/>
        <v>174.77040460718572</v>
      </c>
      <c r="AP52" s="428">
        <f t="shared" si="67"/>
        <v>108.64423900266918</v>
      </c>
      <c r="AQ52" s="429">
        <f t="shared" si="68"/>
        <v>1044.1395803679748</v>
      </c>
      <c r="BB52" s="418">
        <f>'Inhalation Exposure'!I50</f>
        <v>2.1351067484662578</v>
      </c>
      <c r="BC52" s="419">
        <f>'Inhalation Exposure'!J50</f>
        <v>0.91227288343558299</v>
      </c>
      <c r="BD52" s="419">
        <f>'Inhalation Exposure'!K50</f>
        <v>1.8155669629815117</v>
      </c>
      <c r="BE52" s="419">
        <f>'Inhalation Exposure'!L50</f>
        <v>0.77574224781937307</v>
      </c>
      <c r="BF52" s="419">
        <f>'Inhalation Exposure'!M50</f>
        <v>1.3314157728531086</v>
      </c>
      <c r="BG52" s="419">
        <f>'Inhalation Exposure'!N50</f>
        <v>0.56887764840087351</v>
      </c>
      <c r="BH52" s="419">
        <f>'Inhalation Exposure'!O50</f>
        <v>0.81576159432593953</v>
      </c>
      <c r="BI52" s="448">
        <f>'Inhalation Exposure'!P50</f>
        <v>0.10414074011821721</v>
      </c>
      <c r="BJ52" s="420"/>
      <c r="BK52" s="430"/>
      <c r="BL52" s="431"/>
      <c r="BM52" s="432"/>
      <c r="BN52" s="433"/>
      <c r="BO52" s="434"/>
      <c r="BP52" s="435"/>
      <c r="BQ52" s="435"/>
      <c r="BR52" s="435"/>
      <c r="BS52" s="435"/>
      <c r="BT52" s="435"/>
    </row>
    <row r="53" spans="1:72" x14ac:dyDescent="0.3">
      <c r="A53" s="305">
        <v>4</v>
      </c>
      <c r="B53" s="646"/>
      <c r="C53" s="308" t="s">
        <v>268</v>
      </c>
      <c r="D53" s="206" t="s">
        <v>73</v>
      </c>
      <c r="E53" s="380" t="s">
        <v>269</v>
      </c>
      <c r="F53" s="424">
        <f>'Hazard Values'!$G$12/BD53</f>
        <v>55.773619335643964</v>
      </c>
      <c r="G53" s="425">
        <f>'Hazard Values'!$G$12/BE53</f>
        <v>568.04586238514935</v>
      </c>
      <c r="H53" s="425">
        <f t="shared" si="0"/>
        <v>557.73619335643968</v>
      </c>
      <c r="I53" s="425">
        <f t="shared" si="1"/>
        <v>5680.458623851493</v>
      </c>
      <c r="J53" s="425">
        <f>'Hazard Values'!$G$13/BF53</f>
        <v>39.662293444293965</v>
      </c>
      <c r="K53" s="425">
        <f>'Hazard Values'!$G$13/BG53</f>
        <v>403.95444929173323</v>
      </c>
      <c r="L53" s="425">
        <f t="shared" si="2"/>
        <v>396.62293444293965</v>
      </c>
      <c r="M53" s="425">
        <f t="shared" si="3"/>
        <v>4039.5444929173323</v>
      </c>
      <c r="N53" s="425">
        <f>'Hazard Values'!$G$14/BH53</f>
        <v>64.733377308471646</v>
      </c>
      <c r="O53" s="425">
        <f>'Hazard Values'!$G$14/BI53</f>
        <v>2206.6355291242298</v>
      </c>
      <c r="P53" s="425">
        <f t="shared" si="4"/>
        <v>647.33377308471643</v>
      </c>
      <c r="Q53" s="426">
        <f t="shared" si="5"/>
        <v>22066.355291242297</v>
      </c>
      <c r="S53" s="663"/>
      <c r="T53" s="657"/>
      <c r="U53" s="657"/>
      <c r="V53" s="657"/>
      <c r="W53" s="657"/>
      <c r="X53" s="657"/>
      <c r="Y53" s="657"/>
      <c r="Z53" s="657"/>
      <c r="AA53" s="657"/>
      <c r="AB53" s="657"/>
      <c r="AC53" s="657"/>
      <c r="AD53" s="662"/>
      <c r="AF53" s="427">
        <f t="shared" si="57"/>
        <v>11.208538889564078</v>
      </c>
      <c r="AG53" s="428">
        <f t="shared" si="58"/>
        <v>39.180175832561261</v>
      </c>
      <c r="AH53" s="428">
        <f t="shared" si="59"/>
        <v>62.303057812711891</v>
      </c>
      <c r="AI53" s="428">
        <f t="shared" si="60"/>
        <v>202.89818983820678</v>
      </c>
      <c r="AJ53" s="428">
        <f t="shared" si="61"/>
        <v>11.312808548383931</v>
      </c>
      <c r="AK53" s="428">
        <f t="shared" si="62"/>
        <v>42.487444276718655</v>
      </c>
      <c r="AL53" s="428">
        <f t="shared" si="63"/>
        <v>65.972680508470702</v>
      </c>
      <c r="AM53" s="428">
        <f t="shared" si="64"/>
        <v>224.22930606458937</v>
      </c>
      <c r="AN53" s="428">
        <f t="shared" si="65"/>
        <v>18.463791187707915</v>
      </c>
      <c r="AO53" s="428">
        <f t="shared" si="66"/>
        <v>232.09127723949035</v>
      </c>
      <c r="AP53" s="428">
        <f t="shared" si="67"/>
        <v>107.67492367541051</v>
      </c>
      <c r="AQ53" s="429">
        <f t="shared" si="68"/>
        <v>1224.8716514956823</v>
      </c>
      <c r="BB53" s="418">
        <f>'Inhalation Exposure'!I51</f>
        <v>1.8801003278800263</v>
      </c>
      <c r="BC53" s="419">
        <f>'Inhalation Exposure'!J51</f>
        <v>0.18459777096114521</v>
      </c>
      <c r="BD53" s="419">
        <f>'Inhalation Exposure'!K51</f>
        <v>1.9184697223265577</v>
      </c>
      <c r="BE53" s="419">
        <f>'Inhalation Exposure'!L51</f>
        <v>0.18836507240933181</v>
      </c>
      <c r="BF53" s="419">
        <f>'Inhalation Exposure'!M51</f>
        <v>1.406877796372809</v>
      </c>
      <c r="BG53" s="419">
        <f>'Inhalation Exposure'!N51</f>
        <v>0.13813438643351</v>
      </c>
      <c r="BH53" s="419">
        <f>'Inhalation Exposure'!O51</f>
        <v>0.86199735468919303</v>
      </c>
      <c r="BI53" s="448">
        <f>'Inhalation Exposure'!P51</f>
        <v>2.528736588508838E-2</v>
      </c>
      <c r="BJ53" s="420"/>
      <c r="BK53" s="430"/>
      <c r="BL53" s="431"/>
      <c r="BM53" s="432"/>
      <c r="BN53" s="433"/>
      <c r="BO53" s="434"/>
      <c r="BP53" s="435"/>
      <c r="BQ53" s="435"/>
      <c r="BR53" s="435"/>
      <c r="BS53" s="435"/>
      <c r="BT53" s="435"/>
    </row>
    <row r="54" spans="1:72" ht="39" x14ac:dyDescent="0.3">
      <c r="A54" s="305">
        <v>4</v>
      </c>
      <c r="B54" s="645" t="s">
        <v>292</v>
      </c>
      <c r="C54" s="308" t="s">
        <v>263</v>
      </c>
      <c r="D54" s="206" t="s">
        <v>54</v>
      </c>
      <c r="E54" s="380" t="s">
        <v>107</v>
      </c>
      <c r="F54" s="424">
        <f>'Hazard Values'!$G$12/BD54</f>
        <v>518.62587235764136</v>
      </c>
      <c r="G54" s="425">
        <f>'Hazard Values'!$G$12/BE54</f>
        <v>518.62587235764136</v>
      </c>
      <c r="H54" s="425">
        <f t="shared" si="0"/>
        <v>5186.2587235764131</v>
      </c>
      <c r="I54" s="425">
        <f t="shared" si="1"/>
        <v>5186.2587235764131</v>
      </c>
      <c r="J54" s="425">
        <f>'Hazard Values'!$G$13/BF54</f>
        <v>540.92193789825023</v>
      </c>
      <c r="K54" s="425">
        <f>'Hazard Values'!$G$13/BG54</f>
        <v>8113.8290684737531</v>
      </c>
      <c r="L54" s="425">
        <f t="shared" si="2"/>
        <v>5409.2193789825023</v>
      </c>
      <c r="M54" s="425">
        <f t="shared" si="3"/>
        <v>81138.290684737527</v>
      </c>
      <c r="N54" s="425">
        <f>'Hazard Values'!$G$14/BH54</f>
        <v>6581.2169110953764</v>
      </c>
      <c r="O54" s="425">
        <f>'Hazard Values'!$G$14/BI54</f>
        <v>98718.253666430668</v>
      </c>
      <c r="P54" s="425">
        <f t="shared" si="4"/>
        <v>65812.169110953764</v>
      </c>
      <c r="Q54" s="426">
        <f t="shared" si="5"/>
        <v>987182.53666430665</v>
      </c>
      <c r="S54" s="663">
        <f>'Hazard Values'!$I$12/'Bridge Table'!BO54</f>
        <v>467.58641151164517</v>
      </c>
      <c r="T54" s="657">
        <f>'Hazard Values'!$I$12/BP54</f>
        <v>1402.7592345349356</v>
      </c>
      <c r="U54" s="657">
        <f>'Hazard Values'!$I$12/(BO54/'Bridge Table'!$V$5)</f>
        <v>2337.932057558226</v>
      </c>
      <c r="V54" s="657">
        <f>'Hazard Values'!$I$12/(BP54/'Bridge Table'!$V$5)</f>
        <v>7013.796172674678</v>
      </c>
      <c r="W54" s="657">
        <f>'Hazard Values'!$I$13/BQ54</f>
        <v>773.7724373238392</v>
      </c>
      <c r="X54" s="657">
        <f>'Hazard Values'!$I$13/BR54</f>
        <v>34819.759679572766</v>
      </c>
      <c r="Y54" s="657">
        <f>'Hazard Values'!$I$13/(BQ54/$Z$5)</f>
        <v>3868.8621866191966</v>
      </c>
      <c r="Z54" s="657">
        <f>'Hazard Values'!$I$13/(BR54/$Z$5)</f>
        <v>174098.79839786384</v>
      </c>
      <c r="AA54" s="657">
        <f>'Hazard Values'!$I$14/'Bridge Table'!BS54</f>
        <v>9414.2313207733769</v>
      </c>
      <c r="AB54" s="657">
        <f>'Hazard Values'!$I$14/'Bridge Table'!BT54</f>
        <v>423640.40943480196</v>
      </c>
      <c r="AC54" s="657">
        <f>'Hazard Values'!$I$14/(BS54/$AD$5)</f>
        <v>47071.156603866883</v>
      </c>
      <c r="AD54" s="662">
        <f>'Hazard Values'!$I$14/(BT54/$AD$5)</f>
        <v>2118202.04717401</v>
      </c>
      <c r="AF54" s="427">
        <v>379</v>
      </c>
      <c r="AG54" s="428">
        <f>(1/((1/G54)+(1/$T$54)))</f>
        <v>378.63686416046136</v>
      </c>
      <c r="AH54" s="428">
        <v>2982</v>
      </c>
      <c r="AI54" s="428">
        <f>1/((1/(G54*$AI$5))+((1/($T$54*$AI$4))))</f>
        <v>2981.5735990744233</v>
      </c>
      <c r="AJ54" s="428">
        <v>6580</v>
      </c>
      <c r="AK54" s="428">
        <f>(1/((1/K54)+(1/$X$54)))</f>
        <v>6580.4323953292314</v>
      </c>
      <c r="AL54" s="428">
        <v>55345</v>
      </c>
      <c r="AM54" s="428">
        <f>1/((1/(K54*$AM$5))+(1/($X$54*$AM$4)))</f>
        <v>55344.93032749572</v>
      </c>
      <c r="AN54" s="428">
        <v>80061.927476505633</v>
      </c>
      <c r="AO54" s="428">
        <f>(1/((1/O54)+(1/$AB$54)))</f>
        <v>80061.927476505633</v>
      </c>
      <c r="AP54" s="429">
        <f>1/((1/(N54*$AM$5))+(1/($AB$54*$AM$4)))</f>
        <v>63829.012787705891</v>
      </c>
      <c r="AQ54" s="429">
        <f>1/((1/(O54*$AM$5))+(1/($AB$54*$AM$4)))</f>
        <v>673363.31898453133</v>
      </c>
      <c r="BB54" s="418">
        <f>'Inhalation Exposure'!I52</f>
        <v>0.30328220858895705</v>
      </c>
      <c r="BC54" s="419">
        <f>'Inhalation Exposure'!J52</f>
        <v>0.30328220858895705</v>
      </c>
      <c r="BD54" s="419">
        <f>'Inhalation Exposure'!K52</f>
        <v>0.2063144276115354</v>
      </c>
      <c r="BE54" s="419">
        <f>'Inhalation Exposure'!L52</f>
        <v>0.2063144276115354</v>
      </c>
      <c r="BF54" s="419">
        <f>'Inhalation Exposure'!M52</f>
        <v>0.1031572138057677</v>
      </c>
      <c r="BG54" s="419">
        <f>'Inhalation Exposure'!N52</f>
        <v>6.8771475870511804E-3</v>
      </c>
      <c r="BH54" s="419">
        <f>'Inhalation Exposure'!O52</f>
        <v>8.4786751073233739E-3</v>
      </c>
      <c r="BI54" s="448">
        <f>'Inhalation Exposure'!P52</f>
        <v>5.6524500715489151E-4</v>
      </c>
      <c r="BJ54" s="420"/>
      <c r="BK54" s="430">
        <v>4</v>
      </c>
      <c r="BL54" s="431" t="s">
        <v>292</v>
      </c>
      <c r="BM54" s="432" t="s">
        <v>264</v>
      </c>
      <c r="BN54" s="433" t="s">
        <v>73</v>
      </c>
      <c r="BO54" s="434">
        <f>'Dermal Exposure'!T36</f>
        <v>0.84262499999999996</v>
      </c>
      <c r="BP54" s="435">
        <f>'Dermal Exposure'!U36</f>
        <v>0.28087499999999999</v>
      </c>
      <c r="BQ54" s="435">
        <f>'Dermal Exposure'!V36</f>
        <v>0.42131249999999998</v>
      </c>
      <c r="BR54" s="435">
        <f>'Dermal Exposure'!W36</f>
        <v>9.3624999999999993E-3</v>
      </c>
      <c r="BS54" s="435">
        <f>'Dermal Exposure'!X36</f>
        <v>3.4628424657534247E-2</v>
      </c>
      <c r="BT54" s="435">
        <f>'Dermal Exposure'!Y36</f>
        <v>7.6952054794520548E-4</v>
      </c>
    </row>
    <row r="55" spans="1:72" ht="39" x14ac:dyDescent="0.3">
      <c r="A55" s="305">
        <v>4</v>
      </c>
      <c r="B55" s="647"/>
      <c r="C55" s="308" t="s">
        <v>264</v>
      </c>
      <c r="D55" s="206" t="s">
        <v>73</v>
      </c>
      <c r="E55" s="380" t="s">
        <v>107</v>
      </c>
      <c r="F55" s="424">
        <f>'Hazard Values'!$G$12/BD55</f>
        <v>16.207058511176296</v>
      </c>
      <c r="G55" s="425">
        <f>'Hazard Values'!$G$12/BE55</f>
        <v>54.023528370587634</v>
      </c>
      <c r="H55" s="425">
        <f t="shared" si="0"/>
        <v>162.07058511176297</v>
      </c>
      <c r="I55" s="425">
        <f t="shared" si="1"/>
        <v>540.23528370587633</v>
      </c>
      <c r="J55" s="425">
        <f>'Hazard Values'!$G$13/BF55</f>
        <v>16.903810559320323</v>
      </c>
      <c r="K55" s="425">
        <f>'Hazard Values'!$G$13/BG55</f>
        <v>845.19052796601579</v>
      </c>
      <c r="L55" s="425">
        <f t="shared" si="2"/>
        <v>169.03810559320323</v>
      </c>
      <c r="M55" s="425">
        <f t="shared" si="3"/>
        <v>8451.9052796601572</v>
      </c>
      <c r="N55" s="425">
        <f>'Hazard Values'!$G$14/BH55</f>
        <v>205.6630284717306</v>
      </c>
      <c r="O55" s="425">
        <f>'Hazard Values'!$G$14/BI55</f>
        <v>10283.151423586525</v>
      </c>
      <c r="P55" s="425">
        <f t="shared" si="4"/>
        <v>2056.630284717306</v>
      </c>
      <c r="Q55" s="426">
        <f t="shared" si="5"/>
        <v>102831.51423586525</v>
      </c>
      <c r="S55" s="663"/>
      <c r="T55" s="657"/>
      <c r="U55" s="657"/>
      <c r="V55" s="657"/>
      <c r="W55" s="657"/>
      <c r="X55" s="657"/>
      <c r="Y55" s="657"/>
      <c r="Z55" s="657"/>
      <c r="AA55" s="657"/>
      <c r="AB55" s="657"/>
      <c r="AC55" s="657"/>
      <c r="AD55" s="662"/>
      <c r="AF55" s="427">
        <f t="shared" ref="AF55:AF61" si="69">(1/((1/F55)+(1/$S$54)))</f>
        <v>15.664122812659526</v>
      </c>
      <c r="AG55" s="428">
        <f t="shared" ref="AG55:AG61" si="70">(1/((1/G55)+(1/$T$54)))</f>
        <v>52.020112561502472</v>
      </c>
      <c r="AH55" s="428">
        <f t="shared" ref="AH55:AH61" si="71">1/((1/(F55*$AI$5))+((1/($S$54*$AI$4))))</f>
        <v>151.56384639471253</v>
      </c>
      <c r="AI55" s="428">
        <f t="shared" ref="AI55:AI61" si="72">1/((1/(G55*$AI$5))+((1/($T$54*$AI$4))))</f>
        <v>501.59973347736189</v>
      </c>
      <c r="AJ55" s="428">
        <f t="shared" ref="AJ55:AJ61" si="73">(1/((1/J55)+(1/$W$54)))</f>
        <v>16.542425210778003</v>
      </c>
      <c r="AK55" s="428">
        <f t="shared" ref="AK55:AK61" si="74">(1/((1/K55)+(1/$X$54)))</f>
        <v>825.1611426898105</v>
      </c>
      <c r="AL55" s="428">
        <f t="shared" ref="AL55:AL61" si="75">1/((1/(J55*$AM$5))+(1/($W$54*$AM$4)))</f>
        <v>161.96168491049167</v>
      </c>
      <c r="AM55" s="428">
        <f t="shared" ref="AM55:AM61" si="76">1/((1/(K55*$AM$5))+(1/($X$54*$AM$4)))</f>
        <v>8060.5909685275274</v>
      </c>
      <c r="AN55" s="428">
        <f t="shared" ref="AN55:AN61" si="77">(1/((1/N55)+(1/$AA$54)))</f>
        <v>201.26617339779904</v>
      </c>
      <c r="AO55" s="428">
        <f t="shared" ref="AO55:AO61" si="78">(1/((1/O55)+(1/$AB$54)))</f>
        <v>10039.460569392693</v>
      </c>
      <c r="AP55" s="428">
        <f t="shared" ref="AP55:AP61" si="79">1/((1/(N55*$AM$5))+(1/($AA$54*$AM$4)))</f>
        <v>1970.5338330776483</v>
      </c>
      <c r="AQ55" s="429">
        <f t="shared" ref="AQ55:AQ61" si="80">1/((1/(O55*$AM$5))+(1/($AB$54*$AM$4)))</f>
        <v>98070.523450418244</v>
      </c>
      <c r="BB55" s="418">
        <f>'Inhalation Exposure'!I53</f>
        <v>9.705030674846622</v>
      </c>
      <c r="BC55" s="419">
        <f>'Inhalation Exposure'!J53</f>
        <v>2.9115092024539879</v>
      </c>
      <c r="BD55" s="419">
        <f>'Inhalation Exposure'!K53</f>
        <v>6.602061683569131</v>
      </c>
      <c r="BE55" s="419">
        <f>'Inhalation Exposure'!L53</f>
        <v>1.9806185050707401</v>
      </c>
      <c r="BF55" s="419">
        <f>'Inhalation Exposure'!M53</f>
        <v>3.3010308417845655</v>
      </c>
      <c r="BG55" s="419">
        <f>'Inhalation Exposure'!N53</f>
        <v>6.602061683569134E-2</v>
      </c>
      <c r="BH55" s="419">
        <f>'Inhalation Exposure'!O53</f>
        <v>0.27131760343434785</v>
      </c>
      <c r="BI55" s="448">
        <f>'Inhalation Exposure'!P53</f>
        <v>5.4263520686869595E-3</v>
      </c>
      <c r="BJ55" s="420"/>
      <c r="BK55" s="430">
        <v>4</v>
      </c>
      <c r="BL55" s="431" t="s">
        <v>292</v>
      </c>
      <c r="BM55" s="432" t="s">
        <v>265</v>
      </c>
      <c r="BN55" s="433" t="s">
        <v>73</v>
      </c>
      <c r="BO55" s="434">
        <f>'Dermal Exposure'!T37</f>
        <v>0.84262499999999996</v>
      </c>
      <c r="BP55" s="435">
        <f>'Dermal Exposure'!U37</f>
        <v>0.28087499999999999</v>
      </c>
      <c r="BQ55" s="435">
        <f>'Dermal Exposure'!V37</f>
        <v>0.42131249999999998</v>
      </c>
      <c r="BR55" s="435">
        <f>'Dermal Exposure'!W37</f>
        <v>9.3624999999999993E-3</v>
      </c>
      <c r="BS55" s="435">
        <f>'Dermal Exposure'!X37</f>
        <v>3.4628424657534247E-2</v>
      </c>
      <c r="BT55" s="435">
        <f>'Dermal Exposure'!Y37</f>
        <v>7.6952054794520548E-4</v>
      </c>
    </row>
    <row r="56" spans="1:72" ht="39" x14ac:dyDescent="0.3">
      <c r="A56" s="305">
        <v>4</v>
      </c>
      <c r="B56" s="647"/>
      <c r="C56" s="308" t="s">
        <v>265</v>
      </c>
      <c r="D56" s="206" t="s">
        <v>73</v>
      </c>
      <c r="E56" s="380" t="s">
        <v>107</v>
      </c>
      <c r="F56" s="424">
        <f>'Hazard Values'!$G$12/BD56</f>
        <v>3.3677004698548143</v>
      </c>
      <c r="G56" s="425">
        <f>'Hazard Values'!$G$12/BE56</f>
        <v>648.28234044705164</v>
      </c>
      <c r="H56" s="425">
        <f t="shared" si="0"/>
        <v>33.677004698548146</v>
      </c>
      <c r="I56" s="425">
        <f t="shared" si="1"/>
        <v>6482.8234044705168</v>
      </c>
      <c r="J56" s="425">
        <f>'Hazard Values'!$G$13/BF56</f>
        <v>3.5124801162224037</v>
      </c>
      <c r="K56" s="425">
        <f>'Hazard Values'!$G$13/BG56</f>
        <v>10142.286335592191</v>
      </c>
      <c r="L56" s="425">
        <f t="shared" si="2"/>
        <v>35.124801162224038</v>
      </c>
      <c r="M56" s="425">
        <f t="shared" si="3"/>
        <v>101422.8633559219</v>
      </c>
      <c r="N56" s="425">
        <f>'Hazard Values'!$G$14/BH56</f>
        <v>42.735174747372582</v>
      </c>
      <c r="O56" s="425">
        <f>'Hazard Values'!$G$14/BI56</f>
        <v>123397.81708303833</v>
      </c>
      <c r="P56" s="425">
        <f t="shared" si="4"/>
        <v>427.35174747372582</v>
      </c>
      <c r="Q56" s="426">
        <f t="shared" si="5"/>
        <v>1233978.1708303834</v>
      </c>
      <c r="S56" s="663"/>
      <c r="T56" s="657"/>
      <c r="U56" s="657"/>
      <c r="V56" s="657"/>
      <c r="W56" s="657"/>
      <c r="X56" s="657"/>
      <c r="Y56" s="657"/>
      <c r="Z56" s="657"/>
      <c r="AA56" s="657"/>
      <c r="AB56" s="657"/>
      <c r="AC56" s="657"/>
      <c r="AD56" s="662"/>
      <c r="AF56" s="427">
        <f t="shared" si="69"/>
        <v>3.3436187044213574</v>
      </c>
      <c r="AG56" s="428">
        <f t="shared" si="70"/>
        <v>443.37669735242156</v>
      </c>
      <c r="AH56" s="428">
        <f t="shared" si="71"/>
        <v>33.198789016412576</v>
      </c>
      <c r="AI56" s="428">
        <f t="shared" si="72"/>
        <v>3368.9326221654369</v>
      </c>
      <c r="AJ56" s="428">
        <f t="shared" si="73"/>
        <v>3.496607536824504</v>
      </c>
      <c r="AK56" s="428">
        <f t="shared" si="74"/>
        <v>7854.4462297739401</v>
      </c>
      <c r="AL56" s="428">
        <f t="shared" si="75"/>
        <v>34.80877765585808</v>
      </c>
      <c r="AM56" s="428">
        <f t="shared" si="76"/>
        <v>64087.877983677696</v>
      </c>
      <c r="AN56" s="428">
        <f t="shared" si="77"/>
        <v>42.542058364698129</v>
      </c>
      <c r="AO56" s="428">
        <f t="shared" si="78"/>
        <v>95562.429128916279</v>
      </c>
      <c r="AP56" s="428">
        <f t="shared" si="79"/>
        <v>423.50679481294003</v>
      </c>
      <c r="AQ56" s="429">
        <f t="shared" si="80"/>
        <v>779735.84880141204</v>
      </c>
      <c r="BB56" s="418">
        <f>'Inhalation Exposure'!I54</f>
        <v>46.705460122699385</v>
      </c>
      <c r="BC56" s="419">
        <f>'Inhalation Exposure'!J54</f>
        <v>0.24262576687116569</v>
      </c>
      <c r="BD56" s="419">
        <f>'Inhalation Exposure'!K54</f>
        <v>31.77242185217645</v>
      </c>
      <c r="BE56" s="419">
        <f>'Inhalation Exposure'!L54</f>
        <v>0.16505154208922834</v>
      </c>
      <c r="BF56" s="419">
        <f>'Inhalation Exposure'!M54</f>
        <v>15.886210926088227</v>
      </c>
      <c r="BG56" s="419">
        <f>'Inhalation Exposure'!N54</f>
        <v>5.501718069640945E-3</v>
      </c>
      <c r="BH56" s="419">
        <f>'Inhalation Exposure'!O54</f>
        <v>1.3057159665277993</v>
      </c>
      <c r="BI56" s="448">
        <f>'Inhalation Exposure'!P54</f>
        <v>4.5219600572391324E-4</v>
      </c>
      <c r="BJ56" s="420"/>
      <c r="BK56" s="430">
        <v>4</v>
      </c>
      <c r="BL56" s="431" t="s">
        <v>292</v>
      </c>
      <c r="BM56" s="432" t="s">
        <v>266</v>
      </c>
      <c r="BN56" s="433" t="s">
        <v>73</v>
      </c>
      <c r="BO56" s="434">
        <f>'Dermal Exposure'!T38</f>
        <v>0.84262499999999996</v>
      </c>
      <c r="BP56" s="435">
        <f>'Dermal Exposure'!U38</f>
        <v>0.28087499999999999</v>
      </c>
      <c r="BQ56" s="435">
        <f>'Dermal Exposure'!V38</f>
        <v>0.42131249999999998</v>
      </c>
      <c r="BR56" s="435">
        <f>'Dermal Exposure'!W38</f>
        <v>9.3624999999999993E-3</v>
      </c>
      <c r="BS56" s="435">
        <f>'Dermal Exposure'!X38</f>
        <v>3.4628424657534247E-2</v>
      </c>
      <c r="BT56" s="435">
        <f>'Dermal Exposure'!Y38</f>
        <v>7.6952054794520548E-4</v>
      </c>
    </row>
    <row r="57" spans="1:72" ht="39" x14ac:dyDescent="0.3">
      <c r="A57" s="305">
        <v>4</v>
      </c>
      <c r="B57" s="647"/>
      <c r="C57" s="308" t="s">
        <v>266</v>
      </c>
      <c r="D57" s="206" t="s">
        <v>73</v>
      </c>
      <c r="E57" s="380" t="s">
        <v>269</v>
      </c>
      <c r="F57" s="424">
        <f>'Hazard Values'!$G$12/BD57</f>
        <v>30.628416529482646</v>
      </c>
      <c r="G57" s="425">
        <f>'Hazard Values'!$G$12/BE57</f>
        <v>314.84344960245346</v>
      </c>
      <c r="H57" s="425">
        <f t="shared" si="0"/>
        <v>306.28416529482644</v>
      </c>
      <c r="I57" s="425">
        <f t="shared" si="1"/>
        <v>3148.4344960245344</v>
      </c>
      <c r="J57" s="425">
        <f>'Hazard Values'!$G$13/BF57</f>
        <v>31.945152193366944</v>
      </c>
      <c r="K57" s="425">
        <f>'Hazard Values'!$G$13/BG57</f>
        <v>4925.6816320981961</v>
      </c>
      <c r="L57" s="425">
        <f t="shared" si="2"/>
        <v>319.45152193366943</v>
      </c>
      <c r="M57" s="425">
        <f t="shared" si="3"/>
        <v>49256.816320981961</v>
      </c>
      <c r="N57" s="425">
        <f>'Hazard Values'!$G$14/BH57</f>
        <v>388.66601835263117</v>
      </c>
      <c r="O57" s="425">
        <f>'Hazard Values'!$G$14/BI57</f>
        <v>59929.126523861392</v>
      </c>
      <c r="P57" s="425">
        <f t="shared" si="4"/>
        <v>3886.6601835263118</v>
      </c>
      <c r="Q57" s="426">
        <f t="shared" si="5"/>
        <v>599291.26523861394</v>
      </c>
      <c r="S57" s="663"/>
      <c r="T57" s="657"/>
      <c r="U57" s="657"/>
      <c r="V57" s="657"/>
      <c r="W57" s="657"/>
      <c r="X57" s="657"/>
      <c r="Y57" s="657"/>
      <c r="Z57" s="657"/>
      <c r="AA57" s="657"/>
      <c r="AB57" s="657"/>
      <c r="AC57" s="657"/>
      <c r="AD57" s="662"/>
      <c r="AF57" s="427">
        <f t="shared" si="69"/>
        <v>28.745494050455097</v>
      </c>
      <c r="AG57" s="428">
        <f t="shared" si="70"/>
        <v>257.13138459869168</v>
      </c>
      <c r="AH57" s="428">
        <f t="shared" si="71"/>
        <v>270.80673757935404</v>
      </c>
      <c r="AI57" s="428">
        <f t="shared" si="72"/>
        <v>2172.9951364074295</v>
      </c>
      <c r="AJ57" s="428">
        <f t="shared" si="73"/>
        <v>30.678588372576009</v>
      </c>
      <c r="AK57" s="428">
        <f t="shared" si="74"/>
        <v>4315.2383022447902</v>
      </c>
      <c r="AL57" s="428">
        <f t="shared" si="75"/>
        <v>295.08628046253864</v>
      </c>
      <c r="AM57" s="428">
        <f t="shared" si="76"/>
        <v>38394.165936602614</v>
      </c>
      <c r="AN57" s="428">
        <f t="shared" si="77"/>
        <v>373.25615853300809</v>
      </c>
      <c r="AO57" s="428">
        <f t="shared" si="78"/>
        <v>52502.06601064495</v>
      </c>
      <c r="AP57" s="428">
        <f t="shared" si="79"/>
        <v>3590.2164122942213</v>
      </c>
      <c r="AQ57" s="429">
        <f t="shared" si="80"/>
        <v>467129.01889533189</v>
      </c>
      <c r="BB57" s="418">
        <f>'Inhalation Exposure'!I55</f>
        <v>3.42361806066803</v>
      </c>
      <c r="BC57" s="419">
        <f>'Inhalation Exposure'!J55</f>
        <v>0.33305441206543968</v>
      </c>
      <c r="BD57" s="419">
        <f>'Inhalation Exposure'!K55</f>
        <v>3.4934878170081936</v>
      </c>
      <c r="BE57" s="419">
        <f>'Inhalation Exposure'!L55</f>
        <v>0.33985144088310165</v>
      </c>
      <c r="BF57" s="419">
        <f>'Inhalation Exposure'!M55</f>
        <v>1.7467439085040968</v>
      </c>
      <c r="BG57" s="419">
        <f>'Inhalation Exposure'!N55</f>
        <v>1.1328381362770056E-2</v>
      </c>
      <c r="BH57" s="419">
        <f>'Inhalation Exposure'!O55</f>
        <v>0.14356799247978877</v>
      </c>
      <c r="BI57" s="448">
        <f>'Inhalation Exposure'!P55</f>
        <v>9.3109983803589492E-4</v>
      </c>
      <c r="BJ57" s="420"/>
      <c r="BK57" s="430">
        <v>4</v>
      </c>
      <c r="BL57" s="431" t="s">
        <v>292</v>
      </c>
      <c r="BM57" s="432" t="s">
        <v>267</v>
      </c>
      <c r="BN57" s="433" t="s">
        <v>73</v>
      </c>
      <c r="BO57" s="434">
        <f>'Dermal Exposure'!T39</f>
        <v>0.84262499999999996</v>
      </c>
      <c r="BP57" s="435">
        <f>'Dermal Exposure'!U39</f>
        <v>0.28087499999999999</v>
      </c>
      <c r="BQ57" s="435">
        <f>'Dermal Exposure'!V39</f>
        <v>0.42131249999999998</v>
      </c>
      <c r="BR57" s="435">
        <f>'Dermal Exposure'!W39</f>
        <v>9.3624999999999993E-3</v>
      </c>
      <c r="BS57" s="435">
        <f>'Dermal Exposure'!X39</f>
        <v>3.4628424657534247E-2</v>
      </c>
      <c r="BT57" s="435">
        <f>'Dermal Exposure'!Y39</f>
        <v>7.6952054794520548E-4</v>
      </c>
    </row>
    <row r="58" spans="1:72" ht="39" x14ac:dyDescent="0.3">
      <c r="A58" s="305">
        <v>4</v>
      </c>
      <c r="B58" s="647"/>
      <c r="C58" s="308" t="s">
        <v>267</v>
      </c>
      <c r="D58" s="206" t="s">
        <v>73</v>
      </c>
      <c r="E58" s="380" t="s">
        <v>107</v>
      </c>
      <c r="F58" s="424">
        <f>'Hazard Values'!$G$12/BD58</f>
        <v>997.35744684161796</v>
      </c>
      <c r="G58" s="425">
        <f>'Hazard Values'!$G$12/BE58</f>
        <v>997.35744684161796</v>
      </c>
      <c r="H58" s="425">
        <f t="shared" si="0"/>
        <v>9973.57446841618</v>
      </c>
      <c r="I58" s="425">
        <f t="shared" si="1"/>
        <v>9973.57446841618</v>
      </c>
      <c r="J58" s="425">
        <f>'Hazard Values'!$G$13/BF58</f>
        <v>1040.2344959581735</v>
      </c>
      <c r="K58" s="425">
        <f>'Hazard Values'!$G$13/BG58</f>
        <v>15603.517439372601</v>
      </c>
      <c r="L58" s="425">
        <f t="shared" si="2"/>
        <v>10402.344959581735</v>
      </c>
      <c r="M58" s="425">
        <f t="shared" si="3"/>
        <v>156035.17439372602</v>
      </c>
      <c r="N58" s="425">
        <f>'Hazard Values'!$G$14/BH58</f>
        <v>12656.186367491111</v>
      </c>
      <c r="O58" s="425">
        <f>'Hazard Values'!$G$14/BI58</f>
        <v>189842.79551236666</v>
      </c>
      <c r="P58" s="425">
        <f t="shared" si="4"/>
        <v>126561.86367491112</v>
      </c>
      <c r="Q58" s="426">
        <f t="shared" si="5"/>
        <v>1898427.9551236667</v>
      </c>
      <c r="S58" s="663"/>
      <c r="T58" s="657"/>
      <c r="U58" s="657"/>
      <c r="V58" s="657"/>
      <c r="W58" s="657"/>
      <c r="X58" s="657"/>
      <c r="Y58" s="657"/>
      <c r="Z58" s="657"/>
      <c r="AA58" s="657"/>
      <c r="AB58" s="657"/>
      <c r="AC58" s="657"/>
      <c r="AD58" s="662"/>
      <c r="AF58" s="427">
        <f t="shared" si="69"/>
        <v>318.34038342418893</v>
      </c>
      <c r="AG58" s="428">
        <f t="shared" si="70"/>
        <v>582.91014747118822</v>
      </c>
      <c r="AH58" s="428">
        <f t="shared" si="71"/>
        <v>1893.9631335092795</v>
      </c>
      <c r="AI58" s="428">
        <f t="shared" si="72"/>
        <v>4117.9191242966381</v>
      </c>
      <c r="AJ58" s="428">
        <f t="shared" si="73"/>
        <v>443.71648561982516</v>
      </c>
      <c r="AK58" s="428">
        <f t="shared" si="74"/>
        <v>10774.998342795936</v>
      </c>
      <c r="AL58" s="428">
        <f t="shared" si="75"/>
        <v>2820.030474927838</v>
      </c>
      <c r="AM58" s="428">
        <f t="shared" si="76"/>
        <v>82286.400699809688</v>
      </c>
      <c r="AN58" s="428">
        <f t="shared" si="77"/>
        <v>5398.5505750412058</v>
      </c>
      <c r="AO58" s="428">
        <f t="shared" si="78"/>
        <v>131095.81317068389</v>
      </c>
      <c r="AP58" s="428">
        <f t="shared" si="79"/>
        <v>34310.370778288692</v>
      </c>
      <c r="AQ58" s="429">
        <f t="shared" si="80"/>
        <v>1001151.2085143513</v>
      </c>
      <c r="BB58" s="418">
        <f>'Inhalation Exposure'!I56</f>
        <v>0.15770674846625768</v>
      </c>
      <c r="BC58" s="419">
        <f>'Inhalation Exposure'!J56</f>
        <v>0.15770674846625768</v>
      </c>
      <c r="BD58" s="419">
        <f>'Inhalation Exposure'!K56</f>
        <v>0.10728350235799841</v>
      </c>
      <c r="BE58" s="419">
        <f>'Inhalation Exposure'!L56</f>
        <v>0.10728350235799841</v>
      </c>
      <c r="BF58" s="419">
        <f>'Inhalation Exposure'!M56</f>
        <v>5.3641751178999206E-2</v>
      </c>
      <c r="BG58" s="419">
        <f>'Inhalation Exposure'!N56</f>
        <v>3.5761167452666139E-3</v>
      </c>
      <c r="BH58" s="419">
        <f>'Inhalation Exposure'!O56</f>
        <v>4.4089110558081538E-3</v>
      </c>
      <c r="BI58" s="448">
        <f>'Inhalation Exposure'!P56</f>
        <v>2.9392740372054357E-4</v>
      </c>
      <c r="BJ58" s="420"/>
      <c r="BK58" s="430">
        <v>4</v>
      </c>
      <c r="BL58" s="431" t="s">
        <v>292</v>
      </c>
      <c r="BM58" s="432" t="s">
        <v>268</v>
      </c>
      <c r="BN58" s="433" t="s">
        <v>73</v>
      </c>
      <c r="BO58" s="434">
        <f>'Dermal Exposure'!T40</f>
        <v>0.84262499999999996</v>
      </c>
      <c r="BP58" s="435">
        <f>'Dermal Exposure'!U40</f>
        <v>0.28087499999999999</v>
      </c>
      <c r="BQ58" s="435">
        <f>'Dermal Exposure'!V40</f>
        <v>0.42131249999999998</v>
      </c>
      <c r="BR58" s="435">
        <f>'Dermal Exposure'!W40</f>
        <v>9.3624999999999993E-3</v>
      </c>
      <c r="BS58" s="435">
        <f>'Dermal Exposure'!X40</f>
        <v>3.4628424657534247E-2</v>
      </c>
      <c r="BT58" s="435">
        <f>'Dermal Exposure'!Y40</f>
        <v>7.6952054794520548E-4</v>
      </c>
    </row>
    <row r="59" spans="1:72" x14ac:dyDescent="0.3">
      <c r="A59" s="305">
        <v>4</v>
      </c>
      <c r="B59" s="647"/>
      <c r="C59" s="308" t="s">
        <v>268</v>
      </c>
      <c r="D59" s="206" t="s">
        <v>73</v>
      </c>
      <c r="E59" s="380" t="s">
        <v>107</v>
      </c>
      <c r="F59" s="424">
        <f>'Hazard Values'!$G$12/BD59</f>
        <v>19.541168632110153</v>
      </c>
      <c r="G59" s="425">
        <f>'Hazard Values'!$G$12/BE59</f>
        <v>308.01833547595629</v>
      </c>
      <c r="H59" s="425">
        <f t="shared" si="0"/>
        <v>195.41168632110154</v>
      </c>
      <c r="I59" s="425">
        <f t="shared" si="1"/>
        <v>3080.1833547595629</v>
      </c>
      <c r="J59" s="425">
        <f>'Hazard Values'!$G$13/BF59</f>
        <v>20.381256255546663</v>
      </c>
      <c r="K59" s="425">
        <f>'Hazard Values'!$G$13/BG59</f>
        <v>4818.9036783808488</v>
      </c>
      <c r="L59" s="425">
        <f t="shared" si="2"/>
        <v>203.81256255546663</v>
      </c>
      <c r="M59" s="425">
        <f t="shared" si="3"/>
        <v>48189.036783808486</v>
      </c>
      <c r="N59" s="425">
        <f>'Hazard Values'!$G$14/BH59</f>
        <v>247.97195110915109</v>
      </c>
      <c r="O59" s="425">
        <f>'Hazard Values'!$G$14/BI59</f>
        <v>58629.994753633655</v>
      </c>
      <c r="P59" s="425">
        <f t="shared" si="4"/>
        <v>2479.7195110915109</v>
      </c>
      <c r="Q59" s="426">
        <f t="shared" si="5"/>
        <v>586299.94753633649</v>
      </c>
      <c r="S59" s="663"/>
      <c r="T59" s="657"/>
      <c r="U59" s="657"/>
      <c r="V59" s="657"/>
      <c r="W59" s="657"/>
      <c r="X59" s="657"/>
      <c r="Y59" s="657"/>
      <c r="Z59" s="657"/>
      <c r="AA59" s="657"/>
      <c r="AB59" s="657"/>
      <c r="AC59" s="657"/>
      <c r="AD59" s="662"/>
      <c r="AF59" s="427">
        <f t="shared" si="69"/>
        <v>18.757272816981235</v>
      </c>
      <c r="AG59" s="428">
        <f t="shared" si="70"/>
        <v>252.5609243826049</v>
      </c>
      <c r="AH59" s="428">
        <f t="shared" si="71"/>
        <v>180.33843491449119</v>
      </c>
      <c r="AI59" s="428">
        <f t="shared" si="72"/>
        <v>2140.2637251276724</v>
      </c>
      <c r="AJ59" s="428">
        <f t="shared" si="73"/>
        <v>19.858189234751229</v>
      </c>
      <c r="AK59" s="428">
        <f t="shared" si="74"/>
        <v>4233.0657440436171</v>
      </c>
      <c r="AL59" s="428">
        <f t="shared" si="75"/>
        <v>193.61298532091234</v>
      </c>
      <c r="AM59" s="428">
        <f t="shared" si="76"/>
        <v>37742.296573066124</v>
      </c>
      <c r="AN59" s="428">
        <f t="shared" si="77"/>
        <v>241.60796902280663</v>
      </c>
      <c r="AO59" s="428">
        <f t="shared" si="78"/>
        <v>51502.299885863991</v>
      </c>
      <c r="AP59" s="428">
        <f t="shared" si="79"/>
        <v>2355.6246547377673</v>
      </c>
      <c r="AQ59" s="429">
        <f t="shared" si="80"/>
        <v>459197.9416389711</v>
      </c>
      <c r="BB59" s="418">
        <f>'Inhalation Exposure'!I57</f>
        <v>8.0491603629856723</v>
      </c>
      <c r="BC59" s="419">
        <f>'Inhalation Exposure'!J57</f>
        <v>0.51065141871165642</v>
      </c>
      <c r="BD59" s="419">
        <f>'Inhalation Exposure'!K57</f>
        <v>5.4756192945480766</v>
      </c>
      <c r="BE59" s="419">
        <f>'Inhalation Exposure'!L57</f>
        <v>0.34738191749092273</v>
      </c>
      <c r="BF59" s="419">
        <f>'Inhalation Exposure'!M57</f>
        <v>2.7378096472740383</v>
      </c>
      <c r="BG59" s="419">
        <f>'Inhalation Exposure'!N57</f>
        <v>1.1579397249697424E-2</v>
      </c>
      <c r="BH59" s="419">
        <f>'Inhalation Exposure'!O57</f>
        <v>0.22502545046087985</v>
      </c>
      <c r="BI59" s="448">
        <f>'Inhalation Exposure'!P57</f>
        <v>9.5173128079704863E-4</v>
      </c>
      <c r="BJ59" s="420"/>
      <c r="BK59" s="430"/>
      <c r="BL59" s="431"/>
      <c r="BM59" s="432"/>
      <c r="BN59" s="433"/>
      <c r="BO59" s="434"/>
      <c r="BP59" s="435"/>
      <c r="BQ59" s="435"/>
      <c r="BR59" s="435"/>
      <c r="BS59" s="435"/>
      <c r="BT59" s="435"/>
    </row>
    <row r="60" spans="1:72" x14ac:dyDescent="0.3">
      <c r="A60" s="305">
        <v>4</v>
      </c>
      <c r="B60" s="647"/>
      <c r="C60" s="308" t="s">
        <v>268</v>
      </c>
      <c r="D60" s="206" t="s">
        <v>73</v>
      </c>
      <c r="E60" s="380" t="s">
        <v>270</v>
      </c>
      <c r="F60" s="424">
        <f>'Hazard Values'!$G$12/BD60</f>
        <v>58.934758222459244</v>
      </c>
      <c r="G60" s="425">
        <f>'Hazard Values'!$G$12/BE60</f>
        <v>137.93241286107485</v>
      </c>
      <c r="H60" s="425">
        <f t="shared" si="0"/>
        <v>589.34758222459243</v>
      </c>
      <c r="I60" s="425">
        <f t="shared" si="1"/>
        <v>1379.3241286107486</v>
      </c>
      <c r="J60" s="425">
        <f>'Hazard Values'!$G$13/BF60</f>
        <v>61.468402033892069</v>
      </c>
      <c r="K60" s="425">
        <f>'Hazard Values'!$G$13/BG60</f>
        <v>2157.9332628919556</v>
      </c>
      <c r="L60" s="425">
        <f t="shared" si="2"/>
        <v>614.68402033892073</v>
      </c>
      <c r="M60" s="425">
        <f t="shared" si="3"/>
        <v>21579.332628919554</v>
      </c>
      <c r="N60" s="425">
        <f>'Hazard Values'!$G$14/BH60</f>
        <v>747.86555807902016</v>
      </c>
      <c r="O60" s="425">
        <f>'Hazard Values'!$G$14/BI60</f>
        <v>26254.854698518797</v>
      </c>
      <c r="P60" s="425">
        <f t="shared" si="4"/>
        <v>7478.6555807902014</v>
      </c>
      <c r="Q60" s="426">
        <f t="shared" si="5"/>
        <v>262548.54698518798</v>
      </c>
      <c r="S60" s="663"/>
      <c r="T60" s="657"/>
      <c r="U60" s="657"/>
      <c r="V60" s="657"/>
      <c r="W60" s="657"/>
      <c r="X60" s="657"/>
      <c r="Y60" s="657"/>
      <c r="Z60" s="657"/>
      <c r="AA60" s="657"/>
      <c r="AB60" s="657"/>
      <c r="AC60" s="657"/>
      <c r="AD60" s="662"/>
      <c r="AF60" s="427">
        <f t="shared" si="69"/>
        <v>52.338051524998704</v>
      </c>
      <c r="AG60" s="428">
        <f t="shared" si="70"/>
        <v>125.58383516232924</v>
      </c>
      <c r="AH60" s="428">
        <f t="shared" si="71"/>
        <v>470.69456118976495</v>
      </c>
      <c r="AI60" s="428">
        <f t="shared" si="72"/>
        <v>1152.6462086628571</v>
      </c>
      <c r="AJ60" s="428">
        <f t="shared" si="73"/>
        <v>56.944719437737398</v>
      </c>
      <c r="AK60" s="428">
        <f t="shared" si="74"/>
        <v>2032.0012320770247</v>
      </c>
      <c r="AL60" s="428">
        <f t="shared" si="75"/>
        <v>530.41223469887404</v>
      </c>
      <c r="AM60" s="428">
        <f t="shared" si="76"/>
        <v>19199.569523732218</v>
      </c>
      <c r="AN60" s="428">
        <f t="shared" si="77"/>
        <v>692.82741982580501</v>
      </c>
      <c r="AO60" s="428">
        <f t="shared" si="78"/>
        <v>24722.68165693714</v>
      </c>
      <c r="AP60" s="428">
        <f t="shared" si="79"/>
        <v>6453.3488555029671</v>
      </c>
      <c r="AQ60" s="429">
        <f t="shared" si="80"/>
        <v>233594.76253874204</v>
      </c>
      <c r="BB60" s="418">
        <f>'Inhalation Exposure'!I58</f>
        <v>2.1351067484662578</v>
      </c>
      <c r="BC60" s="419">
        <f>'Inhalation Exposure'!J58</f>
        <v>0.91227288343558299</v>
      </c>
      <c r="BD60" s="419">
        <f>'Inhalation Exposure'!K58</f>
        <v>1.8155669629815117</v>
      </c>
      <c r="BE60" s="419">
        <f>'Inhalation Exposure'!L58</f>
        <v>0.77574224781937307</v>
      </c>
      <c r="BF60" s="419">
        <f>'Inhalation Exposure'!M58</f>
        <v>0.90778348149075583</v>
      </c>
      <c r="BG60" s="419">
        <f>'Inhalation Exposure'!N58</f>
        <v>2.5858074927312437E-2</v>
      </c>
      <c r="BH60" s="419">
        <f>'Inhalation Exposure'!O58</f>
        <v>7.4612340944445688E-2</v>
      </c>
      <c r="BI60" s="448">
        <f>'Inhalation Exposure'!P58</f>
        <v>2.1253212269023917E-3</v>
      </c>
      <c r="BJ60" s="420"/>
      <c r="BK60" s="430"/>
      <c r="BL60" s="431"/>
      <c r="BM60" s="432"/>
      <c r="BN60" s="433"/>
      <c r="BO60" s="434"/>
      <c r="BP60" s="435"/>
      <c r="BQ60" s="435"/>
      <c r="BR60" s="435"/>
      <c r="BS60" s="435"/>
      <c r="BT60" s="435"/>
    </row>
    <row r="61" spans="1:72" x14ac:dyDescent="0.3">
      <c r="A61" s="305">
        <v>4</v>
      </c>
      <c r="B61" s="646"/>
      <c r="C61" s="308" t="s">
        <v>268</v>
      </c>
      <c r="D61" s="206" t="s">
        <v>73</v>
      </c>
      <c r="E61" s="380" t="s">
        <v>269</v>
      </c>
      <c r="F61" s="424">
        <f>'Hazard Values'!$G$12/BD61</f>
        <v>55.773619335643964</v>
      </c>
      <c r="G61" s="425">
        <f>'Hazard Values'!$G$12/BE61</f>
        <v>568.04586238514935</v>
      </c>
      <c r="H61" s="425">
        <f t="shared" si="0"/>
        <v>557.73619335643968</v>
      </c>
      <c r="I61" s="425">
        <f t="shared" si="1"/>
        <v>5680.458623851493</v>
      </c>
      <c r="J61" s="425">
        <f>'Hazard Values'!$G$13/BF61</f>
        <v>58.171363718297805</v>
      </c>
      <c r="K61" s="425">
        <f>'Hazard Values'!$G$13/BG61</f>
        <v>8886.9978844181314</v>
      </c>
      <c r="L61" s="425">
        <f t="shared" si="2"/>
        <v>581.713637182978</v>
      </c>
      <c r="M61" s="425">
        <f t="shared" si="3"/>
        <v>88869.978844181314</v>
      </c>
      <c r="N61" s="425">
        <f>'Hazard Values'!$G$14/BH61</f>
        <v>707.75159190595673</v>
      </c>
      <c r="O61" s="425">
        <f>'Hazard Values'!$G$14/BI61</f>
        <v>108125.14092708727</v>
      </c>
      <c r="P61" s="425">
        <f t="shared" si="4"/>
        <v>7077.5159190595678</v>
      </c>
      <c r="Q61" s="426">
        <f t="shared" si="5"/>
        <v>1081251.4092708726</v>
      </c>
      <c r="S61" s="663"/>
      <c r="T61" s="657"/>
      <c r="U61" s="657"/>
      <c r="V61" s="657"/>
      <c r="W61" s="657"/>
      <c r="X61" s="657"/>
      <c r="Y61" s="657"/>
      <c r="Z61" s="657"/>
      <c r="AA61" s="657"/>
      <c r="AB61" s="657"/>
      <c r="AC61" s="657"/>
      <c r="AD61" s="662"/>
      <c r="AF61" s="427">
        <f t="shared" si="69"/>
        <v>49.829916281436169</v>
      </c>
      <c r="AG61" s="428">
        <f t="shared" si="70"/>
        <v>404.31779902812002</v>
      </c>
      <c r="AH61" s="428">
        <f t="shared" si="71"/>
        <v>450.31033016183056</v>
      </c>
      <c r="AI61" s="428">
        <f t="shared" si="72"/>
        <v>3138.5520137747089</v>
      </c>
      <c r="AJ61" s="428">
        <f t="shared" si="73"/>
        <v>54.103892390778284</v>
      </c>
      <c r="AK61" s="428">
        <f t="shared" si="74"/>
        <v>7079.9836879973627</v>
      </c>
      <c r="AL61" s="428">
        <f t="shared" si="75"/>
        <v>505.68060930490037</v>
      </c>
      <c r="AM61" s="428">
        <f t="shared" si="76"/>
        <v>58836.477443002521</v>
      </c>
      <c r="AN61" s="428">
        <f t="shared" si="77"/>
        <v>658.26402408780257</v>
      </c>
      <c r="AO61" s="428">
        <f t="shared" si="78"/>
        <v>86139.801537301246</v>
      </c>
      <c r="AP61" s="428">
        <f t="shared" si="79"/>
        <v>6152.447413209622</v>
      </c>
      <c r="AQ61" s="429">
        <f t="shared" si="80"/>
        <v>715843.80888986413</v>
      </c>
      <c r="BB61" s="418">
        <f>'Inhalation Exposure'!I59</f>
        <v>1.8801003278800263</v>
      </c>
      <c r="BC61" s="419">
        <f>'Inhalation Exposure'!J59</f>
        <v>0.18459777096114521</v>
      </c>
      <c r="BD61" s="419">
        <f>'Inhalation Exposure'!K59</f>
        <v>1.9184697223265577</v>
      </c>
      <c r="BE61" s="419">
        <f>'Inhalation Exposure'!L59</f>
        <v>0.18836507240933181</v>
      </c>
      <c r="BF61" s="419">
        <f>'Inhalation Exposure'!M59</f>
        <v>0.95923486116327894</v>
      </c>
      <c r="BG61" s="419">
        <f>'Inhalation Exposure'!N59</f>
        <v>6.278835746977727E-3</v>
      </c>
      <c r="BH61" s="419">
        <f>'Inhalation Exposure'!O59</f>
        <v>7.8841221465474967E-2</v>
      </c>
      <c r="BI61" s="448">
        <f>'Inhalation Exposure'!P59</f>
        <v>5.1606869153241592E-4</v>
      </c>
      <c r="BJ61" s="420"/>
      <c r="BK61" s="430"/>
      <c r="BL61" s="431"/>
      <c r="BM61" s="432"/>
      <c r="BN61" s="433"/>
      <c r="BO61" s="434"/>
      <c r="BP61" s="435"/>
      <c r="BQ61" s="435"/>
      <c r="BR61" s="435"/>
      <c r="BS61" s="435"/>
      <c r="BT61" s="435"/>
    </row>
    <row r="62" spans="1:72" ht="26" x14ac:dyDescent="0.3">
      <c r="A62" s="305">
        <v>4</v>
      </c>
      <c r="B62" s="645" t="s">
        <v>245</v>
      </c>
      <c r="C62" s="308" t="s">
        <v>73</v>
      </c>
      <c r="D62" s="206" t="s">
        <v>73</v>
      </c>
      <c r="E62" s="380" t="s">
        <v>107</v>
      </c>
      <c r="F62" s="424">
        <f>'Hazard Values'!$G$12/BD62</f>
        <v>1570.406820072737</v>
      </c>
      <c r="G62" s="425">
        <f>'Hazard Values'!$G$12/BE62</f>
        <v>11644.608112905804</v>
      </c>
      <c r="H62" s="425">
        <f t="shared" si="0"/>
        <v>15704.06820072737</v>
      </c>
      <c r="I62" s="425">
        <f t="shared" si="1"/>
        <v>116446.08112905803</v>
      </c>
      <c r="J62" s="425">
        <f>'Hazard Values'!$G$13/BF62</f>
        <v>1116.7633886158715</v>
      </c>
      <c r="K62" s="425">
        <f>'Hazard Values'!$G$13/BG62</f>
        <v>8280.8300683960551</v>
      </c>
      <c r="L62" s="425">
        <f t="shared" si="2"/>
        <v>11167.633886158714</v>
      </c>
      <c r="M62" s="425">
        <f t="shared" si="3"/>
        <v>82808.300683960551</v>
      </c>
      <c r="N62" s="425">
        <f>'Hazard Values'!$G$14/BH62</f>
        <v>1874.0649592466987</v>
      </c>
      <c r="O62" s="425">
        <f>'Hazard Values'!$G$14/BI62</f>
        <v>14719.845395095459</v>
      </c>
      <c r="P62" s="425">
        <f t="shared" si="4"/>
        <v>18740.649592466987</v>
      </c>
      <c r="Q62" s="426">
        <f t="shared" si="5"/>
        <v>147198.4539509546</v>
      </c>
      <c r="S62" s="427">
        <f>'Hazard Values'!$I$12/'Bridge Table'!BO62</f>
        <v>280.55184690698707</v>
      </c>
      <c r="T62" s="428">
        <f>'Hazard Values'!$I$12/BP62</f>
        <v>841.65554072096131</v>
      </c>
      <c r="U62" s="428">
        <f>'Hazard Values'!$I$12/(BO62/'Bridge Table'!$V$5)</f>
        <v>1402.7592345349353</v>
      </c>
      <c r="V62" s="428">
        <f>'Hazard Values'!$I$12/(BP62/'Bridge Table'!$V$5)</f>
        <v>4208.2777036048074</v>
      </c>
      <c r="W62" s="428">
        <f>'Hazard Values'!$I$13/BQ62</f>
        <v>316.54326981429784</v>
      </c>
      <c r="X62" s="428">
        <f>'Hazard Values'!$I$13/BR62</f>
        <v>949.6298094428937</v>
      </c>
      <c r="Y62" s="428">
        <f>'Hazard Values'!$I$13/(BQ62/$Z$5)</f>
        <v>1582.716349071489</v>
      </c>
      <c r="Z62" s="428">
        <f>'Hazard Values'!$I$13/(BR62/$Z$5)</f>
        <v>4748.1490472144687</v>
      </c>
      <c r="AA62" s="428">
        <f>'Hazard Values'!$I$14/'Bridge Table'!BS62</f>
        <v>381.65802651783957</v>
      </c>
      <c r="AB62" s="428">
        <f>'Hazard Values'!$I$14/'Bridge Table'!BT62</f>
        <v>1588.6515353805078</v>
      </c>
      <c r="AC62" s="428">
        <f>'Hazard Values'!$I$14/(BS62/$AD$5)</f>
        <v>1908.290132589198</v>
      </c>
      <c r="AD62" s="429">
        <f>'Hazard Values'!$I$14/(BT62/$AD$5)</f>
        <v>7943.2576769025382</v>
      </c>
      <c r="AF62" s="427">
        <f>(1/((1/F62)+(1/$S$62)))</f>
        <v>238.02829400056029</v>
      </c>
      <c r="AG62" s="428">
        <f>(1/((1/G62)+(1/$T$62)))</f>
        <v>784.92247237665026</v>
      </c>
      <c r="AH62" s="428">
        <f>1/((1/(F62*$AI$5))+((1/($S$62*$AI$4))))</f>
        <v>1287.7330277458875</v>
      </c>
      <c r="AI62" s="428">
        <f>1/((1/(G62*$AI$5))+((1/($T$62*$AI$4))))</f>
        <v>4061.4980812024442</v>
      </c>
      <c r="AJ62" s="428">
        <f>(1/((1/J62)+(1/$W$62)))</f>
        <v>246.63524205527585</v>
      </c>
      <c r="AK62" s="428">
        <f>(1/((1/K62)+(1/$X$62)))</f>
        <v>851.93188464635841</v>
      </c>
      <c r="AL62" s="428">
        <f>1/((1/(J62*$AM$5))+(1/($W$62*$AM$4)))</f>
        <v>1386.2518602218652</v>
      </c>
      <c r="AM62" s="428">
        <f>1/((1/(K62*$AM$5))+(1/($X$62*$AM$4)))</f>
        <v>4490.6589429013839</v>
      </c>
      <c r="AN62" s="428">
        <f>(1/((1/N62)+(1/$AA$62)))</f>
        <v>317.08323159632488</v>
      </c>
      <c r="AO62" s="428">
        <f>(1/((1/O62)+(1/$AB$62)))</f>
        <v>1433.8970100783904</v>
      </c>
      <c r="AP62" s="428">
        <f>1/((1/(N62*$AM$5))+(1/($AA$62*$AM$4)))</f>
        <v>1731.9338025003226</v>
      </c>
      <c r="AQ62" s="429">
        <f>1/((1/(O62*$AM$5))+(1/($AB$62*$AM$4)))</f>
        <v>7536.5627793174217</v>
      </c>
      <c r="BB62" s="418">
        <f>'Inhalation Exposure'!I60</f>
        <v>0.10015876013115808</v>
      </c>
      <c r="BC62" s="419">
        <f>'Inhalation Exposure'!J60</f>
        <v>1.3507539152448964E-2</v>
      </c>
      <c r="BD62" s="419">
        <f>'Inhalation Exposure'!K60</f>
        <v>6.8135210973576929E-2</v>
      </c>
      <c r="BE62" s="419">
        <f>'Inhalation Exposure'!L60</f>
        <v>9.1888021445231047E-3</v>
      </c>
      <c r="BF62" s="419">
        <f>'Inhalation Exposure'!M60</f>
        <v>4.9965821380623082E-2</v>
      </c>
      <c r="BG62" s="419">
        <f>'Inhalation Exposure'!N60</f>
        <v>6.7384549059836107E-3</v>
      </c>
      <c r="BH62" s="419">
        <f>'Inhalation Exposure'!O60</f>
        <v>2.9774848371547074E-2</v>
      </c>
      <c r="BI62" s="448">
        <f>'Inhalation Exposure'!P60</f>
        <v>3.7908006845365464E-3</v>
      </c>
      <c r="BJ62" s="420"/>
      <c r="BK62" s="430">
        <v>4</v>
      </c>
      <c r="BL62" s="431" t="s">
        <v>245</v>
      </c>
      <c r="BM62" s="432" t="s">
        <v>73</v>
      </c>
      <c r="BN62" s="433" t="s">
        <v>73</v>
      </c>
      <c r="BO62" s="434">
        <f>'Dermal Exposure'!T41</f>
        <v>1.4043750000000002</v>
      </c>
      <c r="BP62" s="435">
        <f>'Dermal Exposure'!U41</f>
        <v>0.46812499999999996</v>
      </c>
      <c r="BQ62" s="435">
        <f>'Dermal Exposure'!V41</f>
        <v>1.0298750000000001</v>
      </c>
      <c r="BR62" s="435">
        <f>'Dermal Exposure'!W41</f>
        <v>0.34329166666666661</v>
      </c>
      <c r="BS62" s="435">
        <f>'Dermal Exposure'!X41</f>
        <v>0.85416780821917815</v>
      </c>
      <c r="BT62" s="435">
        <f>'Dermal Exposure'!Y41</f>
        <v>0.20520547945205475</v>
      </c>
    </row>
    <row r="63" spans="1:72" x14ac:dyDescent="0.3">
      <c r="A63" s="305">
        <v>4</v>
      </c>
      <c r="B63" s="646"/>
      <c r="C63" s="308" t="s">
        <v>54</v>
      </c>
      <c r="D63" s="206" t="s">
        <v>54</v>
      </c>
      <c r="E63" s="380" t="s">
        <v>107</v>
      </c>
      <c r="F63" s="424">
        <f>'Hazard Values'!$G$12/BD63</f>
        <v>11644.608112905804</v>
      </c>
      <c r="G63" s="425">
        <f>'Hazard Values'!$G$12/BE63</f>
        <v>11644.608112905804</v>
      </c>
      <c r="H63" s="425">
        <f t="shared" si="0"/>
        <v>116446.08112905803</v>
      </c>
      <c r="I63" s="425">
        <f t="shared" si="1"/>
        <v>116446.08112905803</v>
      </c>
      <c r="J63" s="425">
        <f>'Hazard Values'!$G$13/BF63</f>
        <v>8280.8300683960551</v>
      </c>
      <c r="K63" s="425">
        <f>'Hazard Values'!$G$13/BG63</f>
        <v>8280.8300683960551</v>
      </c>
      <c r="L63" s="425">
        <f t="shared" si="2"/>
        <v>82808.300683960551</v>
      </c>
      <c r="M63" s="425">
        <f t="shared" si="3"/>
        <v>82808.300683960551</v>
      </c>
      <c r="N63" s="425">
        <f>'Hazard Values'!$G$14/BH63</f>
        <v>14719.845395095459</v>
      </c>
      <c r="O63" s="425">
        <f>'Hazard Values'!$G$14/BI63</f>
        <v>14719.845395095459</v>
      </c>
      <c r="P63" s="425">
        <f t="shared" si="4"/>
        <v>147198.4539509546</v>
      </c>
      <c r="Q63" s="426">
        <f t="shared" si="5"/>
        <v>147198.4539509546</v>
      </c>
      <c r="S63" s="437" t="s">
        <v>122</v>
      </c>
      <c r="T63" s="438" t="s">
        <v>122</v>
      </c>
      <c r="U63" s="438" t="s">
        <v>122</v>
      </c>
      <c r="V63" s="438" t="s">
        <v>122</v>
      </c>
      <c r="W63" s="438" t="s">
        <v>122</v>
      </c>
      <c r="X63" s="438" t="s">
        <v>122</v>
      </c>
      <c r="Y63" s="438" t="s">
        <v>122</v>
      </c>
      <c r="Z63" s="438" t="s">
        <v>122</v>
      </c>
      <c r="AA63" s="438" t="s">
        <v>122</v>
      </c>
      <c r="AB63" s="438" t="s">
        <v>122</v>
      </c>
      <c r="AC63" s="438" t="s">
        <v>122</v>
      </c>
      <c r="AD63" s="438" t="s">
        <v>122</v>
      </c>
      <c r="AF63" s="427" t="s">
        <v>122</v>
      </c>
      <c r="AG63" s="428" t="s">
        <v>122</v>
      </c>
      <c r="AH63" s="428" t="s">
        <v>122</v>
      </c>
      <c r="AI63" s="428" t="s">
        <v>122</v>
      </c>
      <c r="AJ63" s="428" t="s">
        <v>122</v>
      </c>
      <c r="AK63" s="428" t="s">
        <v>122</v>
      </c>
      <c r="AL63" s="428" t="s">
        <v>122</v>
      </c>
      <c r="AM63" s="428" t="s">
        <v>122</v>
      </c>
      <c r="AN63" s="428" t="s">
        <v>122</v>
      </c>
      <c r="AO63" s="428" t="s">
        <v>122</v>
      </c>
      <c r="AP63" s="428" t="s">
        <v>122</v>
      </c>
      <c r="AQ63" s="429" t="s">
        <v>122</v>
      </c>
      <c r="BB63" s="418">
        <f>'Inhalation Exposure'!I61</f>
        <v>1.3507539152448964E-2</v>
      </c>
      <c r="BC63" s="419">
        <f>'Inhalation Exposure'!J61</f>
        <v>1.3507539152448964E-2</v>
      </c>
      <c r="BD63" s="419">
        <f>'Inhalation Exposure'!K61</f>
        <v>9.1888021445231047E-3</v>
      </c>
      <c r="BE63" s="419">
        <f>'Inhalation Exposure'!L61</f>
        <v>9.1888021445231047E-3</v>
      </c>
      <c r="BF63" s="419">
        <f>'Inhalation Exposure'!M61</f>
        <v>6.7384549059836107E-3</v>
      </c>
      <c r="BG63" s="419">
        <f>'Inhalation Exposure'!N61</f>
        <v>6.7384549059836107E-3</v>
      </c>
      <c r="BH63" s="419">
        <f>'Inhalation Exposure'!O61</f>
        <v>3.7908006845365464E-3</v>
      </c>
      <c r="BI63" s="448">
        <f>'Inhalation Exposure'!P61</f>
        <v>3.7908006845365464E-3</v>
      </c>
      <c r="BJ63" s="420"/>
      <c r="BK63" s="430"/>
      <c r="BL63" s="431"/>
      <c r="BM63" s="432"/>
      <c r="BN63" s="433"/>
      <c r="BO63" s="434"/>
      <c r="BP63" s="435"/>
      <c r="BQ63" s="435"/>
      <c r="BR63" s="435"/>
      <c r="BS63" s="435"/>
      <c r="BT63" s="435"/>
    </row>
    <row r="64" spans="1:72" ht="26" x14ac:dyDescent="0.3">
      <c r="A64" s="305">
        <v>5</v>
      </c>
      <c r="B64" s="645" t="s">
        <v>247</v>
      </c>
      <c r="C64" s="308" t="s">
        <v>263</v>
      </c>
      <c r="D64" s="206" t="s">
        <v>54</v>
      </c>
      <c r="E64" s="380" t="s">
        <v>107</v>
      </c>
      <c r="F64" s="424">
        <f>'Hazard Values'!$G$12/BD64</f>
        <v>518.62587235764136</v>
      </c>
      <c r="G64" s="425">
        <f>'Hazard Values'!$G$12/BE64</f>
        <v>518.62587235764136</v>
      </c>
      <c r="H64" s="425">
        <f t="shared" si="0"/>
        <v>5186.2587235764131</v>
      </c>
      <c r="I64" s="425">
        <f t="shared" si="1"/>
        <v>5186.2587235764131</v>
      </c>
      <c r="J64" s="425">
        <f>'Hazard Values'!$G$13/BF64</f>
        <v>368.81041220335243</v>
      </c>
      <c r="K64" s="425">
        <f>'Hazard Values'!$G$13/BG64</f>
        <v>368.81041220335243</v>
      </c>
      <c r="L64" s="425">
        <f t="shared" si="2"/>
        <v>3688.1041220335242</v>
      </c>
      <c r="M64" s="425">
        <f t="shared" si="3"/>
        <v>3688.1041220335242</v>
      </c>
      <c r="N64" s="425">
        <f>'Hazard Values'!$G$14/BH64</f>
        <v>394.87301466572268</v>
      </c>
      <c r="O64" s="425">
        <f>'Hazard Values'!$G$14/BI64</f>
        <v>421.87287891637044</v>
      </c>
      <c r="P64" s="425">
        <f t="shared" si="4"/>
        <v>3948.7301466572267</v>
      </c>
      <c r="Q64" s="426">
        <f t="shared" si="5"/>
        <v>4218.7287891637043</v>
      </c>
      <c r="S64" s="663">
        <f>'Hazard Values'!$I$12/'Bridge Table'!BO64</f>
        <v>13.692441355343181</v>
      </c>
      <c r="T64" s="657">
        <f>'Hazard Values'!$I$12/BP64</f>
        <v>40.855476344782886</v>
      </c>
      <c r="U64" s="657">
        <f>'Hazard Values'!$I$12/(BO64/'Bridge Table'!$V$5)</f>
        <v>68.462206776715902</v>
      </c>
      <c r="V64" s="657">
        <f>'Hazard Values'!$I$12/(BP64/'Bridge Table'!$V$5)</f>
        <v>204.27738172391443</v>
      </c>
      <c r="W64" s="657">
        <f>'Hazard Values'!$I$13/BQ64</f>
        <v>15.449016665350289</v>
      </c>
      <c r="X64" s="657">
        <f>'Hazard Values'!$I$13/BR64</f>
        <v>46.096741884168971</v>
      </c>
      <c r="Y64" s="657">
        <f>'Hazard Values'!$I$13/(BQ64/$Z$5)</f>
        <v>77.245083326751441</v>
      </c>
      <c r="Z64" s="657">
        <f>'Hazard Values'!$I$13/(BR64/$Z$5)</f>
        <v>230.48370942084483</v>
      </c>
      <c r="AA64" s="657">
        <f>'Hazard Values'!$I$14/'Bridge Table'!BS64</f>
        <v>16.540747176368374</v>
      </c>
      <c r="AB64" s="657">
        <f>'Hazard Values'!$I$14/'Bridge Table'!BT64</f>
        <v>52.728894206535152</v>
      </c>
      <c r="AC64" s="657">
        <f>'Hazard Values'!$I$14/(BS64/$AD$5)</f>
        <v>82.703735881841865</v>
      </c>
      <c r="AD64" s="662">
        <f>'Hazard Values'!$I$14/(BT64/$AD$5)</f>
        <v>263.64447103267577</v>
      </c>
      <c r="AF64" s="427">
        <v>38</v>
      </c>
      <c r="AG64" s="428">
        <f>(1/((1/G64)+(1/$T$64)))</f>
        <v>37.872052587707991</v>
      </c>
      <c r="AH64" s="428">
        <v>197</v>
      </c>
      <c r="AI64" s="428">
        <f>1/((1/(G64*$AI$5))+((1/($T$64*$AI$4))))</f>
        <v>196.53617604996541</v>
      </c>
      <c r="AJ64" s="428">
        <v>41</v>
      </c>
      <c r="AK64" s="428">
        <f>(1/((1/K64)+(1/$X$64)))</f>
        <v>40.975331970163332</v>
      </c>
      <c r="AL64" s="428">
        <v>217</v>
      </c>
      <c r="AM64" s="428">
        <f>1/((1/(K64*$AM$5))+(1/($X$64*$AM$4)))</f>
        <v>216.92710622773075</v>
      </c>
      <c r="AN64" s="428">
        <v>47</v>
      </c>
      <c r="AO64" s="428">
        <f>(1/((1/O64)+(1/$AB$64)))</f>
        <v>46.870643265015879</v>
      </c>
      <c r="AP64" s="428">
        <v>248</v>
      </c>
      <c r="AQ64" s="429">
        <f>1/((1/(O64*$AM$5))+(1/($AB$64*$AM$4)))</f>
        <v>248.13741638300252</v>
      </c>
      <c r="BB64" s="418">
        <f>'Inhalation Exposure'!I62</f>
        <v>0.30328220858895705</v>
      </c>
      <c r="BC64" s="419">
        <f>'Inhalation Exposure'!J62</f>
        <v>0.30328220858895705</v>
      </c>
      <c r="BD64" s="419">
        <f>'Inhalation Exposure'!K62</f>
        <v>0.2063144276115354</v>
      </c>
      <c r="BE64" s="419">
        <f>'Inhalation Exposure'!L62</f>
        <v>0.2063144276115354</v>
      </c>
      <c r="BF64" s="419">
        <f>'Inhalation Exposure'!M62</f>
        <v>0.15129724691512597</v>
      </c>
      <c r="BG64" s="419">
        <f>'Inhalation Exposure'!N62</f>
        <v>0.15129724691512597</v>
      </c>
      <c r="BH64" s="419">
        <f>'Inhalation Exposure'!O62</f>
        <v>0.14131125178872286</v>
      </c>
      <c r="BI64" s="448">
        <f>'Inhalation Exposure'!P62</f>
        <v>0.13226733167424459</v>
      </c>
      <c r="BJ64" s="420"/>
      <c r="BK64" s="430">
        <v>5</v>
      </c>
      <c r="BL64" s="431" t="s">
        <v>247</v>
      </c>
      <c r="BM64" s="432" t="s">
        <v>264</v>
      </c>
      <c r="BN64" s="433" t="s">
        <v>73</v>
      </c>
      <c r="BO64" s="434">
        <f>'Dermal Exposure'!T42</f>
        <v>28.774999999999999</v>
      </c>
      <c r="BP64" s="435">
        <f>'Dermal Exposure'!U42</f>
        <v>9.6437500000000007</v>
      </c>
      <c r="BQ64" s="435">
        <f>'Dermal Exposure'!V42</f>
        <v>21.101666666666667</v>
      </c>
      <c r="BR64" s="435">
        <f>'Dermal Exposure'!W42</f>
        <v>7.0720833333333344</v>
      </c>
      <c r="BS64" s="435">
        <f>'Dermal Exposure'!X42</f>
        <v>19.708904109589042</v>
      </c>
      <c r="BT64" s="435">
        <f>'Dermal Exposure'!Y42</f>
        <v>6.1825684931506864</v>
      </c>
    </row>
    <row r="65" spans="1:72" ht="26" x14ac:dyDescent="0.3">
      <c r="A65" s="305">
        <v>5</v>
      </c>
      <c r="B65" s="647"/>
      <c r="C65" s="308" t="s">
        <v>264</v>
      </c>
      <c r="D65" s="206" t="s">
        <v>73</v>
      </c>
      <c r="E65" s="380" t="s">
        <v>107</v>
      </c>
      <c r="F65" s="424">
        <f>'Hazard Values'!$G$12/BD65</f>
        <v>16.207058511176296</v>
      </c>
      <c r="G65" s="425">
        <f>'Hazard Values'!$G$12/BE65</f>
        <v>54.023528370587634</v>
      </c>
      <c r="H65" s="425">
        <f t="shared" si="0"/>
        <v>162.07058511176297</v>
      </c>
      <c r="I65" s="425">
        <f t="shared" si="1"/>
        <v>540.23528370587633</v>
      </c>
      <c r="J65" s="425">
        <f>'Hazard Values'!$G$13/BF65</f>
        <v>11.525325381354765</v>
      </c>
      <c r="K65" s="425">
        <f>'Hazard Values'!$G$13/BG65</f>
        <v>38.417751271182539</v>
      </c>
      <c r="L65" s="425">
        <f t="shared" si="2"/>
        <v>115.25325381354764</v>
      </c>
      <c r="M65" s="425">
        <f t="shared" si="3"/>
        <v>384.17751271182539</v>
      </c>
      <c r="N65" s="425">
        <f>'Hazard Values'!$G$14/BH65</f>
        <v>12.339781708303837</v>
      </c>
      <c r="O65" s="425">
        <f>'Hazard Values'!$G$14/BI65</f>
        <v>43.945091553788572</v>
      </c>
      <c r="P65" s="425">
        <f t="shared" si="4"/>
        <v>123.39781708303838</v>
      </c>
      <c r="Q65" s="426">
        <f t="shared" si="5"/>
        <v>439.45091553788575</v>
      </c>
      <c r="S65" s="663"/>
      <c r="T65" s="657"/>
      <c r="U65" s="657"/>
      <c r="V65" s="657"/>
      <c r="W65" s="657"/>
      <c r="X65" s="657"/>
      <c r="Y65" s="657"/>
      <c r="Z65" s="657"/>
      <c r="AA65" s="657"/>
      <c r="AB65" s="657"/>
      <c r="AC65" s="657"/>
      <c r="AD65" s="662"/>
      <c r="AF65" s="427">
        <f t="shared" ref="AF65:AF71" si="81">(1/((1/F65)+(1/$S$64)))</f>
        <v>7.4220036855997575</v>
      </c>
      <c r="AG65" s="428">
        <f t="shared" ref="AG65:AG71" si="82">(1/((1/G65)+(1/$T$64)))</f>
        <v>23.262859807894756</v>
      </c>
      <c r="AH65" s="428">
        <f t="shared" ref="AH65:AH71" si="83">1/((1/(F65*$AI$5))+((1/($S$64*$AI$4))))</f>
        <v>48.130722833185665</v>
      </c>
      <c r="AI65" s="428">
        <f t="shared" ref="AI65:AI71" si="84">1/((1/(G65*$AI$5))+((1/($T$64*$AI$4))))</f>
        <v>148.22830341859307</v>
      </c>
      <c r="AJ65" s="428">
        <f t="shared" ref="AJ65:AJ71" si="85">(1/((1/J65)+(1/$W$64)))</f>
        <v>6.6009003512241016</v>
      </c>
      <c r="AK65" s="428">
        <f t="shared" ref="AK65:AK71" si="86">(1/((1/K65)+(1/$X$64)))</f>
        <v>20.954194931544343</v>
      </c>
      <c r="AL65" s="428">
        <f t="shared" ref="AL65:AL71" si="87">1/((1/(J65*$AM$5))+(1/($W$64*$AM$4)))</f>
        <v>46.24843687879811</v>
      </c>
      <c r="AM65" s="428">
        <f t="shared" ref="AM65:AM71" si="88">1/((1/(K65*$AM$5))+(1/($X$64*$AM$4)))</f>
        <v>144.05766138730505</v>
      </c>
      <c r="AN65" s="428">
        <f t="shared" ref="AN65:AN71" si="89">(1/((1/N65)+(1/$AA$64)))</f>
        <v>7.0673639760439384</v>
      </c>
      <c r="AO65" s="428">
        <f t="shared" ref="AO65:AO71" si="90">(1/((1/O65)+(1/$AB$64)))</f>
        <v>23.968972265000154</v>
      </c>
      <c r="AP65" s="428">
        <f t="shared" ref="AP65:AP71" si="91">1/((1/(N65*$AM$5))+(1/($AA$64*$AM$4)))</f>
        <v>49.516659751566515</v>
      </c>
      <c r="AQ65" s="429">
        <f t="shared" ref="AQ65:AQ71" si="92">1/((1/(O65*$AM$5))+(1/($AB$64*$AM$4)))</f>
        <v>164.78390611681758</v>
      </c>
      <c r="BB65" s="418">
        <f>'Inhalation Exposure'!I63</f>
        <v>9.705030674846622</v>
      </c>
      <c r="BC65" s="419">
        <f>'Inhalation Exposure'!J63</f>
        <v>2.9115092024539879</v>
      </c>
      <c r="BD65" s="419">
        <f>'Inhalation Exposure'!K63</f>
        <v>6.602061683569131</v>
      </c>
      <c r="BE65" s="419">
        <f>'Inhalation Exposure'!L63</f>
        <v>1.9806185050707401</v>
      </c>
      <c r="BF65" s="419">
        <f>'Inhalation Exposure'!M63</f>
        <v>4.8415119012840302</v>
      </c>
      <c r="BG65" s="419">
        <f>'Inhalation Exposure'!N63</f>
        <v>1.4524535703852095</v>
      </c>
      <c r="BH65" s="419">
        <f>'Inhalation Exposure'!O63</f>
        <v>4.5219600572391307</v>
      </c>
      <c r="BI65" s="448">
        <f>'Inhalation Exposure'!P63</f>
        <v>1.2697663840727484</v>
      </c>
      <c r="BJ65" s="420"/>
      <c r="BK65" s="430">
        <v>5</v>
      </c>
      <c r="BL65" s="431" t="s">
        <v>247</v>
      </c>
      <c r="BM65" s="432" t="s">
        <v>265</v>
      </c>
      <c r="BN65" s="433" t="s">
        <v>73</v>
      </c>
      <c r="BO65" s="434">
        <f>'Dermal Exposure'!T43</f>
        <v>28.774999999999999</v>
      </c>
      <c r="BP65" s="435">
        <f>'Dermal Exposure'!U43</f>
        <v>9.6437500000000007</v>
      </c>
      <c r="BQ65" s="435">
        <f>'Dermal Exposure'!V43</f>
        <v>21.101666666666667</v>
      </c>
      <c r="BR65" s="435">
        <f>'Dermal Exposure'!W43</f>
        <v>7.0720833333333344</v>
      </c>
      <c r="BS65" s="435">
        <f>'Dermal Exposure'!X43</f>
        <v>19.708904109589042</v>
      </c>
      <c r="BT65" s="435">
        <f>'Dermal Exposure'!Y43</f>
        <v>6.1825684931506864</v>
      </c>
    </row>
    <row r="66" spans="1:72" ht="26" x14ac:dyDescent="0.3">
      <c r="A66" s="305">
        <v>5</v>
      </c>
      <c r="B66" s="647"/>
      <c r="C66" s="308" t="s">
        <v>265</v>
      </c>
      <c r="D66" s="206" t="s">
        <v>73</v>
      </c>
      <c r="E66" s="380" t="s">
        <v>107</v>
      </c>
      <c r="F66" s="424">
        <f>'Hazard Values'!$G$12/BD66</f>
        <v>3.3677004698548143</v>
      </c>
      <c r="G66" s="425">
        <f>'Hazard Values'!$G$12/BE66</f>
        <v>648.28234044705164</v>
      </c>
      <c r="H66" s="425">
        <f t="shared" si="0"/>
        <v>33.677004698548146</v>
      </c>
      <c r="I66" s="425">
        <f t="shared" si="1"/>
        <v>6482.8234044705168</v>
      </c>
      <c r="J66" s="425">
        <f>'Hazard Values'!$G$13/BF66</f>
        <v>2.3948728065152758</v>
      </c>
      <c r="K66" s="425">
        <f>'Hazard Values'!$G$13/BG66</f>
        <v>461.01301525419041</v>
      </c>
      <c r="L66" s="425">
        <f t="shared" si="2"/>
        <v>23.948728065152757</v>
      </c>
      <c r="M66" s="425">
        <f t="shared" si="3"/>
        <v>4610.130152541904</v>
      </c>
      <c r="N66" s="425">
        <f>'Hazard Values'!$G$14/BH66</f>
        <v>2.564110484842355</v>
      </c>
      <c r="O66" s="425">
        <f>'Hazard Values'!$G$14/BI66</f>
        <v>527.34109864546292</v>
      </c>
      <c r="P66" s="425">
        <f t="shared" si="4"/>
        <v>25.641104848423552</v>
      </c>
      <c r="Q66" s="426">
        <f t="shared" si="5"/>
        <v>5273.410986454629</v>
      </c>
      <c r="S66" s="663"/>
      <c r="T66" s="657"/>
      <c r="U66" s="657"/>
      <c r="V66" s="657"/>
      <c r="W66" s="657"/>
      <c r="X66" s="657"/>
      <c r="Y66" s="657"/>
      <c r="Z66" s="657"/>
      <c r="AA66" s="657"/>
      <c r="AB66" s="657"/>
      <c r="AC66" s="657"/>
      <c r="AD66" s="662"/>
      <c r="AF66" s="427">
        <f t="shared" si="81"/>
        <v>2.7029107763770632</v>
      </c>
      <c r="AG66" s="428">
        <f t="shared" si="82"/>
        <v>38.433362934827159</v>
      </c>
      <c r="AH66" s="428">
        <f t="shared" si="83"/>
        <v>22.573133530121332</v>
      </c>
      <c r="AI66" s="428">
        <f t="shared" si="84"/>
        <v>198.03712155464524</v>
      </c>
      <c r="AJ66" s="428">
        <f t="shared" si="85"/>
        <v>2.0734509680517852</v>
      </c>
      <c r="AK66" s="428">
        <f t="shared" si="86"/>
        <v>41.906505781581146</v>
      </c>
      <c r="AL66" s="428">
        <f t="shared" si="87"/>
        <v>18.280974592389299</v>
      </c>
      <c r="AM66" s="428">
        <f t="shared" si="88"/>
        <v>219.5093285213834</v>
      </c>
      <c r="AN66" s="428">
        <f t="shared" si="89"/>
        <v>2.2199748364607776</v>
      </c>
      <c r="AO66" s="428">
        <f t="shared" si="90"/>
        <v>47.935789376936832</v>
      </c>
      <c r="AP66" s="428">
        <f t="shared" si="91"/>
        <v>19.572830130251475</v>
      </c>
      <c r="AQ66" s="429">
        <f t="shared" si="92"/>
        <v>251.09115498955958</v>
      </c>
      <c r="BB66" s="418">
        <f>'Inhalation Exposure'!I64</f>
        <v>46.705460122699385</v>
      </c>
      <c r="BC66" s="419">
        <f>'Inhalation Exposure'!J64</f>
        <v>0.24262576687116569</v>
      </c>
      <c r="BD66" s="419">
        <f>'Inhalation Exposure'!K64</f>
        <v>31.77242185217645</v>
      </c>
      <c r="BE66" s="419">
        <f>'Inhalation Exposure'!L64</f>
        <v>0.16505154208922834</v>
      </c>
      <c r="BF66" s="419">
        <f>'Inhalation Exposure'!M64</f>
        <v>23.299776024929397</v>
      </c>
      <c r="BG66" s="419">
        <f>'Inhalation Exposure'!N64</f>
        <v>0.1210377975321008</v>
      </c>
      <c r="BH66" s="419">
        <f>'Inhalation Exposure'!O64</f>
        <v>21.761932775463322</v>
      </c>
      <c r="BI66" s="448">
        <f>'Inhalation Exposure'!P64</f>
        <v>0.1058138653393957</v>
      </c>
      <c r="BJ66" s="420"/>
      <c r="BK66" s="430">
        <v>5</v>
      </c>
      <c r="BL66" s="431" t="s">
        <v>247</v>
      </c>
      <c r="BM66" s="432" t="s">
        <v>266</v>
      </c>
      <c r="BN66" s="433" t="s">
        <v>73</v>
      </c>
      <c r="BO66" s="434">
        <f>'Dermal Exposure'!T44</f>
        <v>28.774999999999999</v>
      </c>
      <c r="BP66" s="435">
        <f>'Dermal Exposure'!U44</f>
        <v>9.6437500000000007</v>
      </c>
      <c r="BQ66" s="435">
        <f>'Dermal Exposure'!V44</f>
        <v>21.101666666666667</v>
      </c>
      <c r="BR66" s="435">
        <f>'Dermal Exposure'!W44</f>
        <v>7.0720833333333344</v>
      </c>
      <c r="BS66" s="435">
        <f>'Dermal Exposure'!X44</f>
        <v>19.708904109589042</v>
      </c>
      <c r="BT66" s="435">
        <f>'Dermal Exposure'!Y44</f>
        <v>6.1825684931506864</v>
      </c>
    </row>
    <row r="67" spans="1:72" ht="26" x14ac:dyDescent="0.3">
      <c r="A67" s="305">
        <v>5</v>
      </c>
      <c r="B67" s="647"/>
      <c r="C67" s="308" t="s">
        <v>266</v>
      </c>
      <c r="D67" s="206" t="s">
        <v>73</v>
      </c>
      <c r="E67" s="380" t="s">
        <v>269</v>
      </c>
      <c r="F67" s="424">
        <f>'Hazard Values'!$G$12/BD67</f>
        <v>30.628416529482646</v>
      </c>
      <c r="G67" s="425">
        <f>'Hazard Values'!$G$12/BE67</f>
        <v>314.84344960245346</v>
      </c>
      <c r="H67" s="425">
        <f t="shared" si="0"/>
        <v>306.28416529482644</v>
      </c>
      <c r="I67" s="425">
        <f t="shared" si="1"/>
        <v>3148.4344960245344</v>
      </c>
      <c r="J67" s="425">
        <f>'Hazard Values'!$G$13/BF67</f>
        <v>21.780785586386553</v>
      </c>
      <c r="K67" s="425">
        <f>'Hazard Values'!$G$13/BG67</f>
        <v>223.89461964082713</v>
      </c>
      <c r="L67" s="425">
        <f t="shared" si="2"/>
        <v>217.80785586386554</v>
      </c>
      <c r="M67" s="425">
        <f t="shared" si="3"/>
        <v>2238.9461964082711</v>
      </c>
      <c r="N67" s="425">
        <f>'Hazard Values'!$G$14/BH67</f>
        <v>23.319961101157872</v>
      </c>
      <c r="O67" s="425">
        <f>'Hazard Values'!$G$14/BI67</f>
        <v>256.10737830709996</v>
      </c>
      <c r="P67" s="425">
        <f t="shared" si="4"/>
        <v>233.19961101157872</v>
      </c>
      <c r="Q67" s="426">
        <f t="shared" si="5"/>
        <v>2561.0737830709995</v>
      </c>
      <c r="S67" s="663"/>
      <c r="T67" s="657"/>
      <c r="U67" s="657"/>
      <c r="V67" s="657"/>
      <c r="W67" s="657"/>
      <c r="X67" s="657"/>
      <c r="Y67" s="657"/>
      <c r="Z67" s="657"/>
      <c r="AA67" s="657"/>
      <c r="AB67" s="657"/>
      <c r="AC67" s="657"/>
      <c r="AD67" s="662"/>
      <c r="AF67" s="427">
        <f t="shared" si="81"/>
        <v>9.4623122645048721</v>
      </c>
      <c r="AG67" s="428">
        <f t="shared" si="82"/>
        <v>36.162828080765593</v>
      </c>
      <c r="AH67" s="428">
        <f t="shared" si="83"/>
        <v>55.954884208579067</v>
      </c>
      <c r="AI67" s="428">
        <f t="shared" si="84"/>
        <v>191.83096514963913</v>
      </c>
      <c r="AJ67" s="428">
        <f t="shared" si="85"/>
        <v>9.0382354768701259</v>
      </c>
      <c r="AK67" s="428">
        <f t="shared" si="86"/>
        <v>38.226454478181083</v>
      </c>
      <c r="AL67" s="428">
        <f t="shared" si="87"/>
        <v>57.022261908585662</v>
      </c>
      <c r="AM67" s="428">
        <f t="shared" si="88"/>
        <v>208.97156194786106</v>
      </c>
      <c r="AN67" s="428">
        <f t="shared" si="89"/>
        <v>9.6769374505689481</v>
      </c>
      <c r="AO67" s="428">
        <f t="shared" si="90"/>
        <v>43.72627200281967</v>
      </c>
      <c r="AP67" s="428">
        <f t="shared" si="91"/>
        <v>61.051835083459046</v>
      </c>
      <c r="AQ67" s="429">
        <f t="shared" si="92"/>
        <v>239.03727100303763</v>
      </c>
      <c r="BB67" s="418">
        <f>'Inhalation Exposure'!I65</f>
        <v>3.42361806066803</v>
      </c>
      <c r="BC67" s="419">
        <f>'Inhalation Exposure'!J65</f>
        <v>0.33305441206543968</v>
      </c>
      <c r="BD67" s="419">
        <f>'Inhalation Exposure'!K65</f>
        <v>3.4934878170081936</v>
      </c>
      <c r="BE67" s="419">
        <f>'Inhalation Exposure'!L65</f>
        <v>0.33985144088310165</v>
      </c>
      <c r="BF67" s="419">
        <f>'Inhalation Exposure'!M65</f>
        <v>2.5618910658060088</v>
      </c>
      <c r="BG67" s="419">
        <f>'Inhalation Exposure'!N65</f>
        <v>0.24922438998094121</v>
      </c>
      <c r="BH67" s="419">
        <f>'Inhalation Exposure'!O65</f>
        <v>2.392799874663146</v>
      </c>
      <c r="BI67" s="448">
        <f>'Inhalation Exposure'!P65</f>
        <v>0.2178773621003994</v>
      </c>
      <c r="BJ67" s="420"/>
      <c r="BK67" s="430">
        <v>5</v>
      </c>
      <c r="BL67" s="431" t="s">
        <v>247</v>
      </c>
      <c r="BM67" s="432" t="s">
        <v>267</v>
      </c>
      <c r="BN67" s="433" t="s">
        <v>73</v>
      </c>
      <c r="BO67" s="434">
        <f>'Dermal Exposure'!T45</f>
        <v>28.774999999999999</v>
      </c>
      <c r="BP67" s="435">
        <f>'Dermal Exposure'!U45</f>
        <v>9.6437500000000007</v>
      </c>
      <c r="BQ67" s="435">
        <f>'Dermal Exposure'!V45</f>
        <v>21.101666666666667</v>
      </c>
      <c r="BR67" s="435">
        <f>'Dermal Exposure'!W45</f>
        <v>7.0720833333333344</v>
      </c>
      <c r="BS67" s="435">
        <f>'Dermal Exposure'!X45</f>
        <v>19.708904109589042</v>
      </c>
      <c r="BT67" s="435">
        <f>'Dermal Exposure'!Y45</f>
        <v>6.1825684931506864</v>
      </c>
    </row>
    <row r="68" spans="1:72" ht="26" x14ac:dyDescent="0.3">
      <c r="A68" s="305">
        <v>5</v>
      </c>
      <c r="B68" s="647"/>
      <c r="C68" s="308" t="s">
        <v>267</v>
      </c>
      <c r="D68" s="206" t="s">
        <v>73</v>
      </c>
      <c r="E68" s="380" t="s">
        <v>107</v>
      </c>
      <c r="F68" s="424">
        <f>'Hazard Values'!$G$12/BD68</f>
        <v>997.35744684161796</v>
      </c>
      <c r="G68" s="425">
        <f>'Hazard Values'!$G$12/BE68</f>
        <v>997.35744684161796</v>
      </c>
      <c r="H68" s="425">
        <f t="shared" si="0"/>
        <v>9973.57446841618</v>
      </c>
      <c r="I68" s="425">
        <f t="shared" si="1"/>
        <v>9973.57446841618</v>
      </c>
      <c r="J68" s="425">
        <f>'Hazard Values'!$G$13/BF68</f>
        <v>709.25079269875471</v>
      </c>
      <c r="K68" s="425">
        <f>'Hazard Values'!$G$13/BG68</f>
        <v>709.25079269875471</v>
      </c>
      <c r="L68" s="425">
        <f t="shared" si="2"/>
        <v>7092.5079269875469</v>
      </c>
      <c r="M68" s="425">
        <f t="shared" si="3"/>
        <v>7092.5079269875469</v>
      </c>
      <c r="N68" s="425">
        <f>'Hazard Values'!$G$14/BH68</f>
        <v>759.3711820494666</v>
      </c>
      <c r="O68" s="425">
        <f>'Hazard Values'!$G$14/BI68</f>
        <v>811.29399791609694</v>
      </c>
      <c r="P68" s="425">
        <f t="shared" si="4"/>
        <v>7593.7118204946655</v>
      </c>
      <c r="Q68" s="426">
        <f t="shared" si="5"/>
        <v>8112.9399791609694</v>
      </c>
      <c r="S68" s="663"/>
      <c r="T68" s="657"/>
      <c r="U68" s="657"/>
      <c r="V68" s="657"/>
      <c r="W68" s="657"/>
      <c r="X68" s="657"/>
      <c r="Y68" s="657"/>
      <c r="Z68" s="657"/>
      <c r="AA68" s="657"/>
      <c r="AB68" s="657"/>
      <c r="AC68" s="657"/>
      <c r="AD68" s="662"/>
      <c r="AF68" s="427">
        <f t="shared" si="81"/>
        <v>13.507007429225197</v>
      </c>
      <c r="AG68" s="428">
        <f t="shared" si="82"/>
        <v>39.247742603387884</v>
      </c>
      <c r="AH68" s="428">
        <f t="shared" si="83"/>
        <v>67.995461443240231</v>
      </c>
      <c r="AI68" s="428">
        <f t="shared" si="84"/>
        <v>200.17737621210267</v>
      </c>
      <c r="AJ68" s="428">
        <f t="shared" si="85"/>
        <v>15.119677381908645</v>
      </c>
      <c r="AK68" s="428">
        <f t="shared" si="86"/>
        <v>43.28358699181998</v>
      </c>
      <c r="AL68" s="428">
        <f t="shared" si="87"/>
        <v>76.412864575342155</v>
      </c>
      <c r="AM68" s="428">
        <f t="shared" si="88"/>
        <v>223.22946922148739</v>
      </c>
      <c r="AN68" s="428">
        <f t="shared" si="89"/>
        <v>16.188134583563521</v>
      </c>
      <c r="AO68" s="428">
        <f t="shared" si="90"/>
        <v>49.510997655885241</v>
      </c>
      <c r="AP68" s="428">
        <f t="shared" si="91"/>
        <v>81.812707005332982</v>
      </c>
      <c r="AQ68" s="429">
        <f t="shared" si="92"/>
        <v>255.3465296080546</v>
      </c>
      <c r="BB68" s="418">
        <f>'Inhalation Exposure'!I66</f>
        <v>0.15770674846625768</v>
      </c>
      <c r="BC68" s="419">
        <f>'Inhalation Exposure'!J66</f>
        <v>0.15770674846625768</v>
      </c>
      <c r="BD68" s="419">
        <f>'Inhalation Exposure'!K66</f>
        <v>0.10728350235799841</v>
      </c>
      <c r="BE68" s="419">
        <f>'Inhalation Exposure'!L66</f>
        <v>0.10728350235799841</v>
      </c>
      <c r="BF68" s="419">
        <f>'Inhalation Exposure'!M66</f>
        <v>7.8674568395865493E-2</v>
      </c>
      <c r="BG68" s="419">
        <f>'Inhalation Exposure'!N66</f>
        <v>7.8674568395865493E-2</v>
      </c>
      <c r="BH68" s="419">
        <f>'Inhalation Exposure'!O66</f>
        <v>7.34818509301359E-2</v>
      </c>
      <c r="BI68" s="448">
        <f>'Inhalation Exposure'!P66</f>
        <v>6.8779012470607193E-2</v>
      </c>
      <c r="BJ68" s="420"/>
      <c r="BK68" s="430">
        <v>5</v>
      </c>
      <c r="BL68" s="431" t="s">
        <v>247</v>
      </c>
      <c r="BM68" s="432" t="s">
        <v>268</v>
      </c>
      <c r="BN68" s="433" t="s">
        <v>73</v>
      </c>
      <c r="BO68" s="434">
        <f>'Dermal Exposure'!T46</f>
        <v>28.774999999999999</v>
      </c>
      <c r="BP68" s="435">
        <f>'Dermal Exposure'!U46</f>
        <v>9.6437500000000007</v>
      </c>
      <c r="BQ68" s="435">
        <f>'Dermal Exposure'!V46</f>
        <v>21.101666666666667</v>
      </c>
      <c r="BR68" s="435">
        <f>'Dermal Exposure'!W46</f>
        <v>7.0720833333333344</v>
      </c>
      <c r="BS68" s="435">
        <f>'Dermal Exposure'!X46</f>
        <v>19.708904109589042</v>
      </c>
      <c r="BT68" s="435">
        <f>'Dermal Exposure'!Y46</f>
        <v>6.1825684931506864</v>
      </c>
    </row>
    <row r="69" spans="1:72" x14ac:dyDescent="0.3">
      <c r="A69" s="305">
        <v>5</v>
      </c>
      <c r="B69" s="647"/>
      <c r="C69" s="308" t="s">
        <v>268</v>
      </c>
      <c r="D69" s="206" t="s">
        <v>73</v>
      </c>
      <c r="E69" s="380" t="s">
        <v>107</v>
      </c>
      <c r="F69" s="424">
        <f>'Hazard Values'!$G$12/BD69</f>
        <v>19.541168632110153</v>
      </c>
      <c r="G69" s="425">
        <f>'Hazard Values'!$G$12/BE69</f>
        <v>308.01833547595629</v>
      </c>
      <c r="H69" s="425">
        <f t="shared" si="0"/>
        <v>195.41168632110154</v>
      </c>
      <c r="I69" s="425">
        <f t="shared" si="1"/>
        <v>3080.1833547595629</v>
      </c>
      <c r="J69" s="425">
        <f>'Hazard Values'!$G$13/BF69</f>
        <v>13.896311083327271</v>
      </c>
      <c r="K69" s="425">
        <f>'Hazard Values'!$G$13/BG69</f>
        <v>219.04107629003857</v>
      </c>
      <c r="L69" s="425">
        <f t="shared" si="2"/>
        <v>138.96311083327271</v>
      </c>
      <c r="M69" s="425">
        <f t="shared" si="3"/>
        <v>2190.4107629003856</v>
      </c>
      <c r="N69" s="425">
        <f>'Hazard Values'!$G$14/BH69</f>
        <v>14.878317066549062</v>
      </c>
      <c r="O69" s="425">
        <f>'Hazard Values'!$G$14/BI69</f>
        <v>250.55553313518658</v>
      </c>
      <c r="P69" s="425">
        <f t="shared" si="4"/>
        <v>148.78317066549062</v>
      </c>
      <c r="Q69" s="426">
        <f t="shared" si="5"/>
        <v>2505.5553313518658</v>
      </c>
      <c r="S69" s="663"/>
      <c r="T69" s="657"/>
      <c r="U69" s="657"/>
      <c r="V69" s="657"/>
      <c r="W69" s="657"/>
      <c r="X69" s="657"/>
      <c r="Y69" s="657"/>
      <c r="Z69" s="657"/>
      <c r="AA69" s="657"/>
      <c r="AB69" s="657"/>
      <c r="AC69" s="657"/>
      <c r="AD69" s="662"/>
      <c r="AF69" s="427">
        <f t="shared" si="81"/>
        <v>8.0510755711177389</v>
      </c>
      <c r="AG69" s="428">
        <f t="shared" si="82"/>
        <v>36.071024514913866</v>
      </c>
      <c r="AH69" s="428">
        <f t="shared" si="83"/>
        <v>50.699654742057753</v>
      </c>
      <c r="AI69" s="428">
        <f t="shared" si="84"/>
        <v>191.57232843451035</v>
      </c>
      <c r="AJ69" s="428">
        <f t="shared" si="85"/>
        <v>7.3157929382093752</v>
      </c>
      <c r="AK69" s="428">
        <f t="shared" si="86"/>
        <v>38.082383061394253</v>
      </c>
      <c r="AL69" s="428">
        <f t="shared" si="87"/>
        <v>49.647596000528686</v>
      </c>
      <c r="AM69" s="428">
        <f t="shared" si="88"/>
        <v>208.54027449802618</v>
      </c>
      <c r="AN69" s="428">
        <f t="shared" si="89"/>
        <v>7.8327756391761705</v>
      </c>
      <c r="AO69" s="428">
        <f t="shared" si="90"/>
        <v>43.561472362250122</v>
      </c>
      <c r="AP69" s="428">
        <f t="shared" si="91"/>
        <v>53.15602611789938</v>
      </c>
      <c r="AQ69" s="429">
        <f t="shared" si="92"/>
        <v>238.54393222495011</v>
      </c>
      <c r="BB69" s="418">
        <f>'Inhalation Exposure'!I67</f>
        <v>8.0491603629856723</v>
      </c>
      <c r="BC69" s="419">
        <f>'Inhalation Exposure'!J67</f>
        <v>0.51065141871165642</v>
      </c>
      <c r="BD69" s="419">
        <f>'Inhalation Exposure'!K67</f>
        <v>5.4756192945480766</v>
      </c>
      <c r="BE69" s="419">
        <f>'Inhalation Exposure'!L67</f>
        <v>0.34738191749092273</v>
      </c>
      <c r="BF69" s="419">
        <f>'Inhalation Exposure'!M67</f>
        <v>4.0154541493352562</v>
      </c>
      <c r="BG69" s="419">
        <f>'Inhalation Exposure'!N67</f>
        <v>0.25474673949334331</v>
      </c>
      <c r="BH69" s="419">
        <f>'Inhalation Exposure'!O67</f>
        <v>3.750424174347998</v>
      </c>
      <c r="BI69" s="448">
        <f>'Inhalation Exposure'!P67</f>
        <v>0.22270511970650936</v>
      </c>
      <c r="BJ69" s="420"/>
      <c r="BK69" s="430"/>
      <c r="BL69" s="431"/>
      <c r="BM69" s="432"/>
      <c r="BN69" s="433"/>
      <c r="BO69" s="434"/>
      <c r="BP69" s="435"/>
      <c r="BQ69" s="435"/>
      <c r="BR69" s="435"/>
      <c r="BS69" s="435"/>
      <c r="BT69" s="435"/>
    </row>
    <row r="70" spans="1:72" x14ac:dyDescent="0.3">
      <c r="A70" s="305">
        <v>5</v>
      </c>
      <c r="B70" s="647"/>
      <c r="C70" s="308" t="s">
        <v>268</v>
      </c>
      <c r="D70" s="206" t="s">
        <v>73</v>
      </c>
      <c r="E70" s="380" t="s">
        <v>270</v>
      </c>
      <c r="F70" s="424">
        <f>'Hazard Values'!$G$12/BD70</f>
        <v>58.934758222459244</v>
      </c>
      <c r="G70" s="425">
        <f>'Hazard Values'!$G$12/BE70</f>
        <v>137.93241286107485</v>
      </c>
      <c r="H70" s="425">
        <f t="shared" si="0"/>
        <v>589.34758222459243</v>
      </c>
      <c r="I70" s="425">
        <f t="shared" si="1"/>
        <v>1379.3241286107486</v>
      </c>
      <c r="J70" s="425">
        <f>'Hazard Values'!$G$13/BF70</f>
        <v>41.910274114017312</v>
      </c>
      <c r="K70" s="425">
        <f>'Hazard Values'!$G$13/BG70</f>
        <v>98.087875585998006</v>
      </c>
      <c r="L70" s="425">
        <f t="shared" si="2"/>
        <v>419.10274114017312</v>
      </c>
      <c r="M70" s="425">
        <f t="shared" si="3"/>
        <v>980.87875585998006</v>
      </c>
      <c r="N70" s="425">
        <f>'Hazard Values'!$G$14/BH70</f>
        <v>44.871933484741213</v>
      </c>
      <c r="O70" s="425">
        <f>'Hazard Values'!$G$14/BI70</f>
        <v>112.20023375435382</v>
      </c>
      <c r="P70" s="425">
        <f t="shared" si="4"/>
        <v>448.71933484741214</v>
      </c>
      <c r="Q70" s="426">
        <f t="shared" si="5"/>
        <v>1122.0023375435383</v>
      </c>
      <c r="S70" s="663"/>
      <c r="T70" s="657"/>
      <c r="U70" s="657"/>
      <c r="V70" s="657"/>
      <c r="W70" s="657"/>
      <c r="X70" s="657"/>
      <c r="Y70" s="657"/>
      <c r="Z70" s="657"/>
      <c r="AA70" s="657"/>
      <c r="AB70" s="657"/>
      <c r="AC70" s="657"/>
      <c r="AD70" s="662"/>
      <c r="AF70" s="427">
        <f t="shared" si="81"/>
        <v>11.110998709070284</v>
      </c>
      <c r="AG70" s="428">
        <f t="shared" si="82"/>
        <v>31.519441590005851</v>
      </c>
      <c r="AH70" s="428">
        <f t="shared" si="83"/>
        <v>61.336934646220925</v>
      </c>
      <c r="AI70" s="428">
        <f t="shared" si="84"/>
        <v>177.92652993976878</v>
      </c>
      <c r="AJ70" s="428">
        <f t="shared" si="85"/>
        <v>11.288014800032204</v>
      </c>
      <c r="AK70" s="428">
        <f t="shared" si="86"/>
        <v>31.359319476571574</v>
      </c>
      <c r="AL70" s="428">
        <f t="shared" si="87"/>
        <v>65.223668899146972</v>
      </c>
      <c r="AM70" s="428">
        <f t="shared" si="88"/>
        <v>186.62999772764223</v>
      </c>
      <c r="AN70" s="428">
        <f t="shared" si="89"/>
        <v>12.085701179234482</v>
      </c>
      <c r="AO70" s="428">
        <f t="shared" si="90"/>
        <v>35.871130398414486</v>
      </c>
      <c r="AP70" s="428">
        <f t="shared" si="91"/>
        <v>69.832808168020023</v>
      </c>
      <c r="AQ70" s="429">
        <f t="shared" si="92"/>
        <v>213.48132218703233</v>
      </c>
      <c r="BB70" s="418">
        <f>'Inhalation Exposure'!I68</f>
        <v>2.1351067484662578</v>
      </c>
      <c r="BC70" s="419">
        <f>'Inhalation Exposure'!J68</f>
        <v>0.91227288343558299</v>
      </c>
      <c r="BD70" s="419">
        <f>'Inhalation Exposure'!K68</f>
        <v>1.8155669629815117</v>
      </c>
      <c r="BE70" s="419">
        <f>'Inhalation Exposure'!L68</f>
        <v>0.77574224781937307</v>
      </c>
      <c r="BF70" s="419">
        <f>'Inhalation Exposure'!M68</f>
        <v>1.3314157728531086</v>
      </c>
      <c r="BG70" s="419">
        <f>'Inhalation Exposure'!N68</f>
        <v>0.56887764840087351</v>
      </c>
      <c r="BH70" s="419">
        <f>'Inhalation Exposure'!O68</f>
        <v>1.2435390157407613</v>
      </c>
      <c r="BI70" s="448">
        <f>'Inhalation Exposure'!P68</f>
        <v>0.49732516709515978</v>
      </c>
      <c r="BJ70" s="420"/>
      <c r="BK70" s="430"/>
      <c r="BL70" s="431"/>
      <c r="BM70" s="432"/>
      <c r="BN70" s="433"/>
      <c r="BO70" s="434"/>
      <c r="BP70" s="435"/>
      <c r="BQ70" s="435"/>
      <c r="BR70" s="435"/>
      <c r="BS70" s="435"/>
      <c r="BT70" s="435"/>
    </row>
    <row r="71" spans="1:72" x14ac:dyDescent="0.3">
      <c r="A71" s="305">
        <v>5</v>
      </c>
      <c r="B71" s="646"/>
      <c r="C71" s="308" t="s">
        <v>268</v>
      </c>
      <c r="D71" s="206" t="s">
        <v>73</v>
      </c>
      <c r="E71" s="380" t="s">
        <v>269</v>
      </c>
      <c r="F71" s="424">
        <f>'Hazard Values'!$G$12/BD71</f>
        <v>55.773619335643964</v>
      </c>
      <c r="G71" s="425">
        <f>'Hazard Values'!$G$12/BE71</f>
        <v>568.04586238514935</v>
      </c>
      <c r="H71" s="425">
        <f t="shared" si="0"/>
        <v>557.73619335643968</v>
      </c>
      <c r="I71" s="425">
        <f t="shared" si="1"/>
        <v>5680.458623851493</v>
      </c>
      <c r="J71" s="425">
        <f>'Hazard Values'!$G$13/BF71</f>
        <v>39.662293444293965</v>
      </c>
      <c r="K71" s="425">
        <f>'Hazard Values'!$G$13/BG71</f>
        <v>403.95444929173323</v>
      </c>
      <c r="L71" s="425">
        <f t="shared" si="2"/>
        <v>396.62293444293965</v>
      </c>
      <c r="M71" s="425">
        <f t="shared" si="3"/>
        <v>4039.5444929173323</v>
      </c>
      <c r="N71" s="425">
        <f>'Hazard Values'!$G$14/BH71</f>
        <v>42.465095514357401</v>
      </c>
      <c r="O71" s="425">
        <f>'Hazard Values'!$G$14/BI71</f>
        <v>462.07325182515928</v>
      </c>
      <c r="P71" s="425">
        <f t="shared" si="4"/>
        <v>424.65095514357404</v>
      </c>
      <c r="Q71" s="426">
        <f t="shared" si="5"/>
        <v>4620.7325182515924</v>
      </c>
      <c r="S71" s="663"/>
      <c r="T71" s="657"/>
      <c r="U71" s="657"/>
      <c r="V71" s="657"/>
      <c r="W71" s="657"/>
      <c r="X71" s="657"/>
      <c r="Y71" s="657"/>
      <c r="Z71" s="657"/>
      <c r="AA71" s="657"/>
      <c r="AB71" s="657"/>
      <c r="AC71" s="657"/>
      <c r="AD71" s="662"/>
      <c r="AF71" s="427">
        <f t="shared" si="81"/>
        <v>10.993526973203226</v>
      </c>
      <c r="AG71" s="428">
        <f t="shared" si="82"/>
        <v>38.114194890482374</v>
      </c>
      <c r="AH71" s="428">
        <f t="shared" si="83"/>
        <v>60.977240740805975</v>
      </c>
      <c r="AI71" s="428">
        <f t="shared" si="84"/>
        <v>197.18628220059816</v>
      </c>
      <c r="AJ71" s="428">
        <f t="shared" si="85"/>
        <v>11.118288264021569</v>
      </c>
      <c r="AK71" s="428">
        <f t="shared" si="86"/>
        <v>41.375257630825047</v>
      </c>
      <c r="AL71" s="428">
        <f t="shared" si="87"/>
        <v>64.653385481768879</v>
      </c>
      <c r="AM71" s="428">
        <f t="shared" si="88"/>
        <v>218.04286880079846</v>
      </c>
      <c r="AN71" s="428">
        <f t="shared" si="89"/>
        <v>11.903980634679092</v>
      </c>
      <c r="AO71" s="428">
        <f t="shared" si="90"/>
        <v>47.328108087681635</v>
      </c>
      <c r="AP71" s="428">
        <f t="shared" si="91"/>
        <v>69.222224722480547</v>
      </c>
      <c r="AQ71" s="429">
        <f t="shared" si="92"/>
        <v>249.413708898919</v>
      </c>
      <c r="BB71" s="418">
        <f>'Inhalation Exposure'!I69</f>
        <v>1.8801003278800263</v>
      </c>
      <c r="BC71" s="419">
        <f>'Inhalation Exposure'!J69</f>
        <v>0.18459777096114521</v>
      </c>
      <c r="BD71" s="419">
        <f>'Inhalation Exposure'!K69</f>
        <v>1.9184697223265577</v>
      </c>
      <c r="BE71" s="419">
        <f>'Inhalation Exposure'!L69</f>
        <v>0.18836507240933181</v>
      </c>
      <c r="BF71" s="419">
        <f>'Inhalation Exposure'!M69</f>
        <v>1.406877796372809</v>
      </c>
      <c r="BG71" s="419">
        <f>'Inhalation Exposure'!N69</f>
        <v>0.13813438643351</v>
      </c>
      <c r="BH71" s="419">
        <f>'Inhalation Exposure'!O69</f>
        <v>1.3140203577579164</v>
      </c>
      <c r="BI71" s="448">
        <f>'Inhalation Exposure'!P69</f>
        <v>0.12076007381858532</v>
      </c>
      <c r="BJ71" s="420"/>
      <c r="BK71" s="430"/>
      <c r="BL71" s="431"/>
      <c r="BM71" s="432"/>
      <c r="BN71" s="433"/>
      <c r="BO71" s="434"/>
      <c r="BP71" s="435"/>
      <c r="BQ71" s="435"/>
      <c r="BR71" s="435"/>
      <c r="BS71" s="435"/>
      <c r="BT71" s="435"/>
    </row>
    <row r="72" spans="1:72" x14ac:dyDescent="0.3">
      <c r="A72" s="305">
        <v>5</v>
      </c>
      <c r="B72" s="645" t="s">
        <v>248</v>
      </c>
      <c r="C72" s="308" t="s">
        <v>263</v>
      </c>
      <c r="D72" s="206" t="s">
        <v>54</v>
      </c>
      <c r="E72" s="380" t="s">
        <v>107</v>
      </c>
      <c r="F72" s="424">
        <f>'Hazard Values'!$G$12/BD72</f>
        <v>518.62587235764136</v>
      </c>
      <c r="G72" s="425">
        <f>'Hazard Values'!$G$12/BE72</f>
        <v>518.62587235764136</v>
      </c>
      <c r="H72" s="425">
        <f t="shared" ref="H72:H111" si="93">F72*$I$5</f>
        <v>5186.2587235764131</v>
      </c>
      <c r="I72" s="425">
        <f t="shared" ref="I72:I111" si="94">G72*$I$5</f>
        <v>5186.2587235764131</v>
      </c>
      <c r="J72" s="425">
        <f>'Hazard Values'!$G$13/BF72</f>
        <v>368.81041220335243</v>
      </c>
      <c r="K72" s="425">
        <f>'Hazard Values'!$G$13/BG72</f>
        <v>368.81041220335243</v>
      </c>
      <c r="L72" s="425">
        <f t="shared" ref="L72:L111" si="95">J72*$M$5</f>
        <v>3688.1041220335242</v>
      </c>
      <c r="M72" s="425">
        <f t="shared" ref="M72:M95" si="96">K72*$M$5</f>
        <v>3688.1041220335242</v>
      </c>
      <c r="N72" s="425">
        <f>'Hazard Values'!$G$14/BH72</f>
        <v>394.87301466572268</v>
      </c>
      <c r="O72" s="425">
        <f>'Hazard Values'!$G$14/BI72</f>
        <v>450.76828158187516</v>
      </c>
      <c r="P72" s="425">
        <f t="shared" ref="P72:P95" si="97">N72*$Q$5</f>
        <v>3948.7301466572267</v>
      </c>
      <c r="Q72" s="426">
        <f t="shared" ref="Q72:Q111" si="98">O72*$Q$5</f>
        <v>4507.6828158187518</v>
      </c>
      <c r="S72" s="663">
        <f>'Hazard Values'!$I$12/'Bridge Table'!BO72</f>
        <v>573.09090909090912</v>
      </c>
      <c r="T72" s="657">
        <f>'Hazard Values'!$I$12/BP72</f>
        <v>1400.8888888888887</v>
      </c>
      <c r="U72" s="657">
        <f>'Hazard Values'!$I$12/(BO72/'Bridge Table'!$V$5)</f>
        <v>2865.454545454545</v>
      </c>
      <c r="V72" s="657">
        <f>'Hazard Values'!$I$12/(BP72/'Bridge Table'!$V$5)</f>
        <v>7004.4444444444434</v>
      </c>
      <c r="W72" s="657">
        <f>'Hazard Values'!$I$13/BQ72</f>
        <v>646.61157024793386</v>
      </c>
      <c r="X72" s="657">
        <f>'Hazard Values'!$I$13/BR72</f>
        <v>1580.6060606060605</v>
      </c>
      <c r="Y72" s="657">
        <f>'Hazard Values'!$I$13/(BQ72/$Z$5)</f>
        <v>3233.0578512396696</v>
      </c>
      <c r="Z72" s="657">
        <f>'Hazard Values'!$I$13/(BR72/$Z$5)</f>
        <v>7903.030303030303</v>
      </c>
      <c r="AA72" s="657">
        <f>'Hazard Values'!$I$14/'Bridge Table'!BS72</f>
        <v>692.30545454545461</v>
      </c>
      <c r="AB72" s="657">
        <f>'Hazard Values'!$I$14/'Bridge Table'!BT72</f>
        <v>1931.8518518518515</v>
      </c>
      <c r="AC72" s="657">
        <f>'Hazard Values'!$I$14/(BS72/$AD$5)</f>
        <v>3461.5272727272727</v>
      </c>
      <c r="AD72" s="662">
        <f>'Hazard Values'!$I$14/(BT72/$AD$5)</f>
        <v>9659.2592592592573</v>
      </c>
      <c r="AF72" s="427">
        <v>378.5004610250117</v>
      </c>
      <c r="AG72" s="428">
        <f>(1/((1/G72)+(1/$T$72)))</f>
        <v>378.5004610250117</v>
      </c>
      <c r="AH72" s="428">
        <v>2979.8823417422236</v>
      </c>
      <c r="AI72" s="428">
        <f>1/((1/(G72*$AI$5))+((1/($T$72*$AI$4))))</f>
        <v>2979.8823417422236</v>
      </c>
      <c r="AJ72" s="428">
        <v>299.03511172403563</v>
      </c>
      <c r="AK72" s="428">
        <f>(1/((1/K72)+(1/$X$72)))</f>
        <v>299.03511172403563</v>
      </c>
      <c r="AL72" s="428">
        <v>2514.6113890402416</v>
      </c>
      <c r="AM72" s="428">
        <f>1/((1/(K72*$AM$5))+(1/($X$72*$AM$4)))</f>
        <v>2514.6113890402416</v>
      </c>
      <c r="AN72" s="428">
        <v>365.48735877382131</v>
      </c>
      <c r="AO72" s="428">
        <f>(1/((1/O72)+(1/$AB$72)))</f>
        <v>365.48735877382131</v>
      </c>
      <c r="AP72" s="428">
        <v>3073.4139199380725</v>
      </c>
      <c r="AQ72" s="429">
        <f>1/((1/(O72*$AM$5))+(1/($AB$72*$AM$4)))</f>
        <v>3073.4139199380725</v>
      </c>
      <c r="BB72" s="418">
        <f>'Inhalation Exposure'!I70</f>
        <v>0.30328220858895705</v>
      </c>
      <c r="BC72" s="419">
        <f>'Inhalation Exposure'!J70</f>
        <v>0.30328220858895705</v>
      </c>
      <c r="BD72" s="419">
        <f>'Inhalation Exposure'!K70</f>
        <v>0.2063144276115354</v>
      </c>
      <c r="BE72" s="419">
        <f>'Inhalation Exposure'!L70</f>
        <v>0.2063144276115354</v>
      </c>
      <c r="BF72" s="419">
        <f>'Inhalation Exposure'!M70</f>
        <v>0.15129724691512597</v>
      </c>
      <c r="BG72" s="419">
        <f>'Inhalation Exposure'!N70</f>
        <v>0.15129724691512597</v>
      </c>
      <c r="BH72" s="419">
        <f>'Inhalation Exposure'!O70</f>
        <v>0.14131125178872286</v>
      </c>
      <c r="BI72" s="448">
        <f>'Inhalation Exposure'!P70</f>
        <v>0.12378865656692124</v>
      </c>
      <c r="BJ72" s="420"/>
      <c r="BK72" s="430">
        <v>5</v>
      </c>
      <c r="BL72" s="431" t="s">
        <v>248</v>
      </c>
      <c r="BM72" s="432" t="s">
        <v>264</v>
      </c>
      <c r="BN72" s="433" t="s">
        <v>73</v>
      </c>
      <c r="BO72" s="434">
        <f>'Dermal Exposure'!T47</f>
        <v>0.6875</v>
      </c>
      <c r="BP72" s="435">
        <f>'Dermal Exposure'!U47</f>
        <v>0.28125000000000006</v>
      </c>
      <c r="BQ72" s="435">
        <f>'Dermal Exposure'!V47</f>
        <v>0.50416666666666665</v>
      </c>
      <c r="BR72" s="435">
        <f>'Dermal Exposure'!W47</f>
        <v>0.20625000000000002</v>
      </c>
      <c r="BS72" s="435">
        <f>'Dermal Exposure'!X47</f>
        <v>0.4708904109589041</v>
      </c>
      <c r="BT72" s="435">
        <f>'Dermal Exposure'!Y47</f>
        <v>0.16875000000000004</v>
      </c>
    </row>
    <row r="73" spans="1:72" ht="26" x14ac:dyDescent="0.3">
      <c r="A73" s="305">
        <v>5</v>
      </c>
      <c r="B73" s="647"/>
      <c r="C73" s="308" t="s">
        <v>264</v>
      </c>
      <c r="D73" s="206" t="s">
        <v>73</v>
      </c>
      <c r="E73" s="380" t="s">
        <v>107</v>
      </c>
      <c r="F73" s="424">
        <f>'Hazard Values'!$G$12/BD73</f>
        <v>16.207058511176296</v>
      </c>
      <c r="G73" s="425">
        <f>'Hazard Values'!$G$12/BE73</f>
        <v>54.023528370587634</v>
      </c>
      <c r="H73" s="425">
        <f t="shared" si="93"/>
        <v>162.07058511176297</v>
      </c>
      <c r="I73" s="425">
        <f t="shared" si="94"/>
        <v>540.23528370587633</v>
      </c>
      <c r="J73" s="425">
        <f>'Hazard Values'!$G$13/BF73</f>
        <v>11.525325381354765</v>
      </c>
      <c r="K73" s="425">
        <f>'Hazard Values'!$G$13/BG73</f>
        <v>38.417751271182539</v>
      </c>
      <c r="L73" s="425">
        <f t="shared" si="95"/>
        <v>115.25325381354764</v>
      </c>
      <c r="M73" s="425">
        <f t="shared" si="96"/>
        <v>384.17751271182539</v>
      </c>
      <c r="N73" s="425">
        <f>'Hazard Values'!$G$14/BH73</f>
        <v>12.339781708303837</v>
      </c>
      <c r="O73" s="425">
        <f>'Hazard Values'!$G$14/BI73</f>
        <v>46.955029331445331</v>
      </c>
      <c r="P73" s="425">
        <f t="shared" si="97"/>
        <v>123.39781708303838</v>
      </c>
      <c r="Q73" s="426">
        <f t="shared" si="98"/>
        <v>469.55029331445331</v>
      </c>
      <c r="S73" s="663"/>
      <c r="T73" s="657"/>
      <c r="U73" s="657"/>
      <c r="V73" s="657"/>
      <c r="W73" s="657"/>
      <c r="X73" s="657"/>
      <c r="Y73" s="657"/>
      <c r="Z73" s="657"/>
      <c r="AA73" s="657"/>
      <c r="AB73" s="657"/>
      <c r="AC73" s="657"/>
      <c r="AD73" s="662"/>
      <c r="AF73" s="427">
        <f t="shared" ref="AF73:AF79" si="99">(1/((1/F73)+(1/$S$72)))</f>
        <v>15.761326877901675</v>
      </c>
      <c r="AG73" s="428">
        <f t="shared" ref="AG73:AG79" si="100">(1/((1/G73)+(1/$T$72)))</f>
        <v>52.017537093734589</v>
      </c>
      <c r="AH73" s="428">
        <f t="shared" ref="AH73:AH79" si="101">1/((1/(F73*$AI$5))+((1/($S$72*$AI$4))))</f>
        <v>153.39456313814657</v>
      </c>
      <c r="AI73" s="428">
        <f t="shared" ref="AI73:AI79" si="102">1/((1/(G73*$AI$5))+((1/($T$72*$AI$4))))</f>
        <v>501.55184421250493</v>
      </c>
      <c r="AJ73" s="428">
        <f t="shared" ref="AJ73:AJ79" si="103">(1/((1/J73)+(1/$W$72)))</f>
        <v>11.323493321750982</v>
      </c>
      <c r="AK73" s="428">
        <f t="shared" ref="AK73:AK79" si="104">(1/((1/K73)+(1/$X$72)))</f>
        <v>37.506137987976331</v>
      </c>
      <c r="AL73" s="428">
        <f t="shared" ref="AL73:AL79" si="105">1/((1/(J73*$AM$5))+(1/($W$72*$AM$4)))</f>
        <v>111.28608585995963</v>
      </c>
      <c r="AM73" s="428">
        <f t="shared" ref="AM73:AM79" si="106">1/((1/(K73*$AM$5))+(1/($X$72*$AM$4)))</f>
        <v>366.36785177957717</v>
      </c>
      <c r="AN73" s="428">
        <f t="shared" ref="AN73:AN79" si="107">(1/((1/N73)+(1/$AA$72)))</f>
        <v>12.123686849821386</v>
      </c>
      <c r="AO73" s="428">
        <f t="shared" ref="AO73:AO79" si="108">(1/((1/O73)+(1/$AB$72)))</f>
        <v>45.840835318637737</v>
      </c>
      <c r="AP73" s="428">
        <f t="shared" ref="AP73:AP79" si="109">1/((1/(N73*$AM$5))+(1/($AA$72*$AM$4)))</f>
        <v>119.15030259406345</v>
      </c>
      <c r="AQ73" s="429">
        <f t="shared" ref="AQ73:AQ79" si="110">1/((1/(O73*$AM$5))+(1/($AB$72*$AM$4)))</f>
        <v>447.78292995281663</v>
      </c>
      <c r="BB73" s="418">
        <f>'Inhalation Exposure'!I71</f>
        <v>9.705030674846622</v>
      </c>
      <c r="BC73" s="419">
        <f>'Inhalation Exposure'!J71</f>
        <v>2.9115092024539879</v>
      </c>
      <c r="BD73" s="419">
        <f>'Inhalation Exposure'!K71</f>
        <v>6.602061683569131</v>
      </c>
      <c r="BE73" s="419">
        <f>'Inhalation Exposure'!L71</f>
        <v>1.9806185050707401</v>
      </c>
      <c r="BF73" s="419">
        <f>'Inhalation Exposure'!M71</f>
        <v>4.8415119012840302</v>
      </c>
      <c r="BG73" s="419">
        <f>'Inhalation Exposure'!N71</f>
        <v>1.4524535703852095</v>
      </c>
      <c r="BH73" s="419">
        <f>'Inhalation Exposure'!O71</f>
        <v>4.5219600572391307</v>
      </c>
      <c r="BI73" s="448">
        <f>'Inhalation Exposure'!P71</f>
        <v>1.188371103042444</v>
      </c>
      <c r="BJ73" s="420"/>
      <c r="BK73" s="430">
        <v>5</v>
      </c>
      <c r="BL73" s="431" t="s">
        <v>248</v>
      </c>
      <c r="BM73" s="432" t="s">
        <v>265</v>
      </c>
      <c r="BN73" s="433" t="s">
        <v>73</v>
      </c>
      <c r="BO73" s="434">
        <f>'Dermal Exposure'!T48</f>
        <v>0.6875</v>
      </c>
      <c r="BP73" s="435">
        <f>'Dermal Exposure'!U48</f>
        <v>0.28125000000000006</v>
      </c>
      <c r="BQ73" s="435">
        <f>'Dermal Exposure'!V48</f>
        <v>0.50416666666666665</v>
      </c>
      <c r="BR73" s="435">
        <f>'Dermal Exposure'!W48</f>
        <v>0.20625000000000002</v>
      </c>
      <c r="BS73" s="435">
        <f>'Dermal Exposure'!X48</f>
        <v>0.4708904109589041</v>
      </c>
      <c r="BT73" s="435">
        <f>'Dermal Exposure'!Y48</f>
        <v>0.16875000000000004</v>
      </c>
    </row>
    <row r="74" spans="1:72" x14ac:dyDescent="0.3">
      <c r="A74" s="305">
        <v>5</v>
      </c>
      <c r="B74" s="647"/>
      <c r="C74" s="308" t="s">
        <v>265</v>
      </c>
      <c r="D74" s="206" t="s">
        <v>73</v>
      </c>
      <c r="E74" s="380" t="s">
        <v>107</v>
      </c>
      <c r="F74" s="424">
        <f>'Hazard Values'!$G$12/BD74</f>
        <v>3.3677004698548143</v>
      </c>
      <c r="G74" s="425">
        <f>'Hazard Values'!$G$12/BE74</f>
        <v>648.28234044705164</v>
      </c>
      <c r="H74" s="425">
        <f t="shared" si="93"/>
        <v>33.677004698548146</v>
      </c>
      <c r="I74" s="425">
        <f t="shared" si="94"/>
        <v>6482.8234044705168</v>
      </c>
      <c r="J74" s="425">
        <f>'Hazard Values'!$G$13/BF74</f>
        <v>2.3948728065152758</v>
      </c>
      <c r="K74" s="425">
        <f>'Hazard Values'!$G$13/BG74</f>
        <v>461.01301525419041</v>
      </c>
      <c r="L74" s="425">
        <f t="shared" si="95"/>
        <v>23.948728065152757</v>
      </c>
      <c r="M74" s="425">
        <f t="shared" si="96"/>
        <v>4610.130152541904</v>
      </c>
      <c r="N74" s="425">
        <f>'Hazard Values'!$G$14/BH74</f>
        <v>2.564110484842355</v>
      </c>
      <c r="O74" s="425">
        <f>'Hazard Values'!$G$14/BI74</f>
        <v>563.46035197734398</v>
      </c>
      <c r="P74" s="425">
        <f t="shared" si="97"/>
        <v>25.641104848423552</v>
      </c>
      <c r="Q74" s="426">
        <f t="shared" si="98"/>
        <v>5634.60351977344</v>
      </c>
      <c r="S74" s="663"/>
      <c r="T74" s="657"/>
      <c r="U74" s="657"/>
      <c r="V74" s="657"/>
      <c r="W74" s="657"/>
      <c r="X74" s="657"/>
      <c r="Y74" s="657"/>
      <c r="Z74" s="657"/>
      <c r="AA74" s="657"/>
      <c r="AB74" s="657"/>
      <c r="AC74" s="657"/>
      <c r="AD74" s="662"/>
      <c r="AF74" s="427">
        <f t="shared" si="99"/>
        <v>3.3480261926967332</v>
      </c>
      <c r="AG74" s="428">
        <f t="shared" si="100"/>
        <v>443.18967326584163</v>
      </c>
      <c r="AH74" s="428">
        <f t="shared" si="101"/>
        <v>33.285804566423707</v>
      </c>
      <c r="AI74" s="428">
        <f t="shared" si="102"/>
        <v>3366.7735295559514</v>
      </c>
      <c r="AJ74" s="428">
        <f t="shared" si="103"/>
        <v>2.3860355818301193</v>
      </c>
      <c r="AK74" s="428">
        <f t="shared" si="104"/>
        <v>356.91279266775712</v>
      </c>
      <c r="AL74" s="428">
        <f t="shared" si="105"/>
        <v>23.772633371459797</v>
      </c>
      <c r="AM74" s="428">
        <f t="shared" si="106"/>
        <v>2911.6543678801813</v>
      </c>
      <c r="AN74" s="428">
        <f t="shared" si="107"/>
        <v>2.5546487629461141</v>
      </c>
      <c r="AO74" s="428">
        <f t="shared" si="108"/>
        <v>436.22674659392538</v>
      </c>
      <c r="AP74" s="428">
        <f t="shared" si="109"/>
        <v>25.452566129709624</v>
      </c>
      <c r="AQ74" s="429">
        <f t="shared" si="110"/>
        <v>3558.6886718535557</v>
      </c>
      <c r="BB74" s="418">
        <f>'Inhalation Exposure'!I72</f>
        <v>46.705460122699385</v>
      </c>
      <c r="BC74" s="419">
        <f>'Inhalation Exposure'!J72</f>
        <v>0.24262576687116569</v>
      </c>
      <c r="BD74" s="419">
        <f>'Inhalation Exposure'!K72</f>
        <v>31.77242185217645</v>
      </c>
      <c r="BE74" s="419">
        <f>'Inhalation Exposure'!L72</f>
        <v>0.16505154208922834</v>
      </c>
      <c r="BF74" s="419">
        <f>'Inhalation Exposure'!M72</f>
        <v>23.299776024929397</v>
      </c>
      <c r="BG74" s="419">
        <f>'Inhalation Exposure'!N72</f>
        <v>0.1210377975321008</v>
      </c>
      <c r="BH74" s="419">
        <f>'Inhalation Exposure'!O72</f>
        <v>21.761932775463322</v>
      </c>
      <c r="BI74" s="448">
        <f>'Inhalation Exposure'!P72</f>
        <v>9.9030925253537003E-2</v>
      </c>
      <c r="BJ74" s="420"/>
      <c r="BK74" s="430">
        <v>5</v>
      </c>
      <c r="BL74" s="431" t="s">
        <v>248</v>
      </c>
      <c r="BM74" s="432" t="s">
        <v>266</v>
      </c>
      <c r="BN74" s="433" t="s">
        <v>73</v>
      </c>
      <c r="BO74" s="434">
        <f>'Dermal Exposure'!T49</f>
        <v>0.6875</v>
      </c>
      <c r="BP74" s="435">
        <f>'Dermal Exposure'!U49</f>
        <v>0.28125000000000006</v>
      </c>
      <c r="BQ74" s="435">
        <f>'Dermal Exposure'!V49</f>
        <v>0.50416666666666665</v>
      </c>
      <c r="BR74" s="435">
        <f>'Dermal Exposure'!W49</f>
        <v>0.20625000000000002</v>
      </c>
      <c r="BS74" s="435">
        <f>'Dermal Exposure'!X49</f>
        <v>0.4708904109589041</v>
      </c>
      <c r="BT74" s="435">
        <f>'Dermal Exposure'!Y49</f>
        <v>0.16875000000000004</v>
      </c>
    </row>
    <row r="75" spans="1:72" x14ac:dyDescent="0.3">
      <c r="A75" s="305">
        <v>5</v>
      </c>
      <c r="B75" s="647"/>
      <c r="C75" s="308" t="s">
        <v>266</v>
      </c>
      <c r="D75" s="206" t="s">
        <v>73</v>
      </c>
      <c r="E75" s="380" t="s">
        <v>269</v>
      </c>
      <c r="F75" s="424">
        <f>'Hazard Values'!$G$12/BD75</f>
        <v>30.628416529482646</v>
      </c>
      <c r="G75" s="425">
        <f>'Hazard Values'!$G$12/BE75</f>
        <v>314.84344960245346</v>
      </c>
      <c r="H75" s="425">
        <f t="shared" si="93"/>
        <v>306.28416529482644</v>
      </c>
      <c r="I75" s="425">
        <f t="shared" si="94"/>
        <v>3148.4344960245344</v>
      </c>
      <c r="J75" s="425">
        <f>'Hazard Values'!$G$13/BF75</f>
        <v>21.780785586386553</v>
      </c>
      <c r="K75" s="425">
        <f>'Hazard Values'!$G$13/BG75</f>
        <v>223.89461964082713</v>
      </c>
      <c r="L75" s="425">
        <f t="shared" si="95"/>
        <v>217.80785586386554</v>
      </c>
      <c r="M75" s="425">
        <f t="shared" si="96"/>
        <v>2238.9461964082711</v>
      </c>
      <c r="N75" s="425">
        <f>'Hazard Values'!$G$14/BH75</f>
        <v>23.319961101157872</v>
      </c>
      <c r="O75" s="425">
        <f>'Hazard Values'!$G$14/BI75</f>
        <v>273.64897956101095</v>
      </c>
      <c r="P75" s="425">
        <f t="shared" si="97"/>
        <v>233.19961101157872</v>
      </c>
      <c r="Q75" s="426">
        <f t="shared" si="98"/>
        <v>2736.4897956101095</v>
      </c>
      <c r="S75" s="663"/>
      <c r="T75" s="657"/>
      <c r="U75" s="657"/>
      <c r="V75" s="657"/>
      <c r="W75" s="657"/>
      <c r="X75" s="657"/>
      <c r="Y75" s="657"/>
      <c r="Z75" s="657"/>
      <c r="AA75" s="657"/>
      <c r="AB75" s="657"/>
      <c r="AC75" s="657"/>
      <c r="AD75" s="662"/>
      <c r="AF75" s="427">
        <f t="shared" si="99"/>
        <v>29.074548930264285</v>
      </c>
      <c r="AG75" s="428">
        <f t="shared" si="100"/>
        <v>257.0684718079944</v>
      </c>
      <c r="AH75" s="428">
        <f t="shared" si="101"/>
        <v>276.70733111475471</v>
      </c>
      <c r="AI75" s="428">
        <f t="shared" si="102"/>
        <v>2172.0966677218776</v>
      </c>
      <c r="AJ75" s="428">
        <f t="shared" si="103"/>
        <v>21.071018910243208</v>
      </c>
      <c r="AK75" s="428">
        <f t="shared" si="104"/>
        <v>196.11474609860593</v>
      </c>
      <c r="AL75" s="428">
        <f t="shared" si="105"/>
        <v>204.06050487934024</v>
      </c>
      <c r="AM75" s="428">
        <f t="shared" si="106"/>
        <v>1744.6756692887732</v>
      </c>
      <c r="AN75" s="428">
        <f t="shared" si="107"/>
        <v>22.560037579900399</v>
      </c>
      <c r="AO75" s="428">
        <f t="shared" si="108"/>
        <v>239.69580078718505</v>
      </c>
      <c r="AP75" s="428">
        <f t="shared" si="109"/>
        <v>218.4807805574803</v>
      </c>
      <c r="AQ75" s="429">
        <f t="shared" si="110"/>
        <v>2132.3813735751673</v>
      </c>
      <c r="BB75" s="418">
        <f>'Inhalation Exposure'!I73</f>
        <v>3.42361806066803</v>
      </c>
      <c r="BC75" s="419">
        <f>'Inhalation Exposure'!J73</f>
        <v>0.33305441206543968</v>
      </c>
      <c r="BD75" s="419">
        <f>'Inhalation Exposure'!K73</f>
        <v>3.4934878170081936</v>
      </c>
      <c r="BE75" s="419">
        <f>'Inhalation Exposure'!L73</f>
        <v>0.33985144088310165</v>
      </c>
      <c r="BF75" s="419">
        <f>'Inhalation Exposure'!M73</f>
        <v>2.5618910658060088</v>
      </c>
      <c r="BG75" s="419">
        <f>'Inhalation Exposure'!N73</f>
        <v>0.24922438998094121</v>
      </c>
      <c r="BH75" s="419">
        <f>'Inhalation Exposure'!O73</f>
        <v>2.392799874663146</v>
      </c>
      <c r="BI75" s="448">
        <f>'Inhalation Exposure'!P73</f>
        <v>0.20391086452986099</v>
      </c>
      <c r="BJ75" s="420"/>
      <c r="BK75" s="430">
        <v>5</v>
      </c>
      <c r="BL75" s="431" t="s">
        <v>248</v>
      </c>
      <c r="BM75" s="432" t="s">
        <v>267</v>
      </c>
      <c r="BN75" s="433" t="s">
        <v>73</v>
      </c>
      <c r="BO75" s="434">
        <f>'Dermal Exposure'!T50</f>
        <v>0.6875</v>
      </c>
      <c r="BP75" s="435">
        <f>'Dermal Exposure'!U50</f>
        <v>0.28125000000000006</v>
      </c>
      <c r="BQ75" s="435">
        <f>'Dermal Exposure'!V50</f>
        <v>0.50416666666666665</v>
      </c>
      <c r="BR75" s="435">
        <f>'Dermal Exposure'!W50</f>
        <v>0.20625000000000002</v>
      </c>
      <c r="BS75" s="435">
        <f>'Dermal Exposure'!X50</f>
        <v>0.4708904109589041</v>
      </c>
      <c r="BT75" s="435">
        <f>'Dermal Exposure'!Y50</f>
        <v>0.16875000000000004</v>
      </c>
    </row>
    <row r="76" spans="1:72" ht="26" x14ac:dyDescent="0.3">
      <c r="A76" s="305">
        <v>5</v>
      </c>
      <c r="B76" s="647"/>
      <c r="C76" s="308" t="s">
        <v>267</v>
      </c>
      <c r="D76" s="206" t="s">
        <v>73</v>
      </c>
      <c r="E76" s="380" t="s">
        <v>107</v>
      </c>
      <c r="F76" s="424">
        <f>'Hazard Values'!$G$12/BD76</f>
        <v>997.35744684161796</v>
      </c>
      <c r="G76" s="425">
        <f>'Hazard Values'!$G$12/BE76</f>
        <v>997.35744684161796</v>
      </c>
      <c r="H76" s="425">
        <f t="shared" si="93"/>
        <v>9973.57446841618</v>
      </c>
      <c r="I76" s="425">
        <f t="shared" si="94"/>
        <v>9973.57446841618</v>
      </c>
      <c r="J76" s="425">
        <f>'Hazard Values'!$G$13/BF76</f>
        <v>709.25079269875471</v>
      </c>
      <c r="K76" s="425">
        <f>'Hazard Values'!$G$13/BG76</f>
        <v>709.25079269875471</v>
      </c>
      <c r="L76" s="425">
        <f t="shared" si="95"/>
        <v>7092.5079269875469</v>
      </c>
      <c r="M76" s="425">
        <f t="shared" si="96"/>
        <v>7092.5079269875469</v>
      </c>
      <c r="N76" s="425">
        <f>'Hazard Values'!$G$14/BH76</f>
        <v>759.3711820494666</v>
      </c>
      <c r="O76" s="425">
        <f>'Hazard Values'!$G$14/BI76</f>
        <v>866.86207996514452</v>
      </c>
      <c r="P76" s="425">
        <f t="shared" si="97"/>
        <v>7593.7118204946655</v>
      </c>
      <c r="Q76" s="426">
        <f t="shared" si="98"/>
        <v>8668.6207996514459</v>
      </c>
      <c r="S76" s="663"/>
      <c r="T76" s="657"/>
      <c r="U76" s="657"/>
      <c r="V76" s="657"/>
      <c r="W76" s="657"/>
      <c r="X76" s="657"/>
      <c r="Y76" s="657"/>
      <c r="Z76" s="657"/>
      <c r="AA76" s="657"/>
      <c r="AB76" s="657"/>
      <c r="AC76" s="657"/>
      <c r="AD76" s="662"/>
      <c r="AF76" s="427">
        <f t="shared" si="99"/>
        <v>363.95751808065711</v>
      </c>
      <c r="AG76" s="428">
        <f t="shared" si="100"/>
        <v>582.58692808778108</v>
      </c>
      <c r="AH76" s="428">
        <f t="shared" si="101"/>
        <v>2225.9334614850727</v>
      </c>
      <c r="AI76" s="428">
        <f t="shared" si="102"/>
        <v>4114.6937481400219</v>
      </c>
      <c r="AJ76" s="428">
        <f t="shared" si="103"/>
        <v>338.24212641306701</v>
      </c>
      <c r="AK76" s="428">
        <f t="shared" si="104"/>
        <v>489.5703850707369</v>
      </c>
      <c r="AL76" s="428">
        <f t="shared" si="105"/>
        <v>2220.7488607237938</v>
      </c>
      <c r="AM76" s="428">
        <f t="shared" si="106"/>
        <v>3737.9321910073572</v>
      </c>
      <c r="AN76" s="428">
        <f t="shared" si="107"/>
        <v>362.14457001292374</v>
      </c>
      <c r="AO76" s="428">
        <f t="shared" si="108"/>
        <v>598.36380397534504</v>
      </c>
      <c r="AP76" s="428">
        <f t="shared" si="109"/>
        <v>2377.6817802149417</v>
      </c>
      <c r="AQ76" s="429">
        <f t="shared" si="110"/>
        <v>4568.5837890089924</v>
      </c>
      <c r="BB76" s="418">
        <f>'Inhalation Exposure'!I74</f>
        <v>0.15770674846625768</v>
      </c>
      <c r="BC76" s="419">
        <f>'Inhalation Exposure'!J74</f>
        <v>0.15770674846625768</v>
      </c>
      <c r="BD76" s="419">
        <f>'Inhalation Exposure'!K74</f>
        <v>0.10728350235799841</v>
      </c>
      <c r="BE76" s="419">
        <f>'Inhalation Exposure'!L74</f>
        <v>0.10728350235799841</v>
      </c>
      <c r="BF76" s="419">
        <f>'Inhalation Exposure'!M74</f>
        <v>7.8674568395865493E-2</v>
      </c>
      <c r="BG76" s="419">
        <f>'Inhalation Exposure'!N74</f>
        <v>7.8674568395865493E-2</v>
      </c>
      <c r="BH76" s="419">
        <f>'Inhalation Exposure'!O74</f>
        <v>7.34818509301359E-2</v>
      </c>
      <c r="BI76" s="448">
        <f>'Inhalation Exposure'!P74</f>
        <v>6.4370101414799055E-2</v>
      </c>
      <c r="BJ76" s="420"/>
      <c r="BK76" s="430">
        <v>5</v>
      </c>
      <c r="BL76" s="431" t="s">
        <v>248</v>
      </c>
      <c r="BM76" s="432" t="s">
        <v>268</v>
      </c>
      <c r="BN76" s="433" t="s">
        <v>73</v>
      </c>
      <c r="BO76" s="434">
        <f>'Dermal Exposure'!T51</f>
        <v>0.6875</v>
      </c>
      <c r="BP76" s="435">
        <f>'Dermal Exposure'!U51</f>
        <v>0.28125000000000006</v>
      </c>
      <c r="BQ76" s="435">
        <f>'Dermal Exposure'!V51</f>
        <v>0.50416666666666665</v>
      </c>
      <c r="BR76" s="435">
        <f>'Dermal Exposure'!W51</f>
        <v>0.20625000000000002</v>
      </c>
      <c r="BS76" s="435">
        <f>'Dermal Exposure'!X51</f>
        <v>0.4708904109589041</v>
      </c>
      <c r="BT76" s="435">
        <f>'Dermal Exposure'!Y51</f>
        <v>0.16875000000000004</v>
      </c>
    </row>
    <row r="77" spans="1:72" x14ac:dyDescent="0.3">
      <c r="A77" s="305">
        <v>5</v>
      </c>
      <c r="B77" s="647"/>
      <c r="C77" s="308" t="s">
        <v>268</v>
      </c>
      <c r="D77" s="206" t="s">
        <v>73</v>
      </c>
      <c r="E77" s="380" t="s">
        <v>107</v>
      </c>
      <c r="F77" s="424">
        <f>'Hazard Values'!$G$12/BD77</f>
        <v>19.541168632110153</v>
      </c>
      <c r="G77" s="425">
        <f>'Hazard Values'!$G$12/BE77</f>
        <v>308.01833547595629</v>
      </c>
      <c r="H77" s="425">
        <f t="shared" si="93"/>
        <v>195.41168632110154</v>
      </c>
      <c r="I77" s="425">
        <f t="shared" si="94"/>
        <v>3080.1833547595629</v>
      </c>
      <c r="J77" s="425">
        <f>'Hazard Values'!$G$13/BF77</f>
        <v>13.896311083327271</v>
      </c>
      <c r="K77" s="425">
        <f>'Hazard Values'!$G$13/BG77</f>
        <v>219.04107629003857</v>
      </c>
      <c r="L77" s="425">
        <f t="shared" si="95"/>
        <v>138.96311083327271</v>
      </c>
      <c r="M77" s="425">
        <f t="shared" si="96"/>
        <v>2190.4107629003856</v>
      </c>
      <c r="N77" s="425">
        <f>'Hazard Values'!$G$14/BH77</f>
        <v>14.878317066549062</v>
      </c>
      <c r="O77" s="425">
        <f>'Hazard Values'!$G$14/BI77</f>
        <v>267.71687102115828</v>
      </c>
      <c r="P77" s="425">
        <f t="shared" si="97"/>
        <v>148.78317066549062</v>
      </c>
      <c r="Q77" s="426">
        <f t="shared" si="98"/>
        <v>2677.1687102115829</v>
      </c>
      <c r="S77" s="663"/>
      <c r="T77" s="657"/>
      <c r="U77" s="657"/>
      <c r="V77" s="657"/>
      <c r="W77" s="657"/>
      <c r="X77" s="657"/>
      <c r="Y77" s="657"/>
      <c r="Z77" s="657"/>
      <c r="AA77" s="657"/>
      <c r="AB77" s="657"/>
      <c r="AC77" s="657"/>
      <c r="AD77" s="662"/>
      <c r="AF77" s="427">
        <f t="shared" si="99"/>
        <v>18.896827419640321</v>
      </c>
      <c r="AG77" s="428">
        <f t="shared" si="100"/>
        <v>252.50022797621102</v>
      </c>
      <c r="AH77" s="428">
        <f t="shared" si="101"/>
        <v>182.93622210301825</v>
      </c>
      <c r="AI77" s="428">
        <f t="shared" si="102"/>
        <v>2139.3921140866314</v>
      </c>
      <c r="AJ77" s="428">
        <f t="shared" si="103"/>
        <v>13.603948997752466</v>
      </c>
      <c r="AK77" s="428">
        <f t="shared" si="104"/>
        <v>192.38085378383707</v>
      </c>
      <c r="AL77" s="428">
        <f t="shared" si="105"/>
        <v>133.23635338138865</v>
      </c>
      <c r="AM77" s="428">
        <f t="shared" si="106"/>
        <v>1715.0625363748813</v>
      </c>
      <c r="AN77" s="428">
        <f t="shared" si="107"/>
        <v>14.56529472692697</v>
      </c>
      <c r="AO77" s="428">
        <f t="shared" si="108"/>
        <v>235.1321546246898</v>
      </c>
      <c r="AP77" s="428">
        <f t="shared" si="109"/>
        <v>142.65172235367345</v>
      </c>
      <c r="AQ77" s="429">
        <f t="shared" si="110"/>
        <v>2096.1875444581883</v>
      </c>
      <c r="BB77" s="418">
        <f>'Inhalation Exposure'!I75</f>
        <v>8.0491603629856723</v>
      </c>
      <c r="BC77" s="419">
        <f>'Inhalation Exposure'!J75</f>
        <v>0.51065141871165642</v>
      </c>
      <c r="BD77" s="419">
        <f>'Inhalation Exposure'!K75</f>
        <v>5.4756192945480766</v>
      </c>
      <c r="BE77" s="419">
        <f>'Inhalation Exposure'!L75</f>
        <v>0.34738191749092273</v>
      </c>
      <c r="BF77" s="419">
        <f>'Inhalation Exposure'!M75</f>
        <v>4.0154541493352562</v>
      </c>
      <c r="BG77" s="419">
        <f>'Inhalation Exposure'!N75</f>
        <v>0.25474673949334331</v>
      </c>
      <c r="BH77" s="419">
        <f>'Inhalation Exposure'!O75</f>
        <v>3.750424174347998</v>
      </c>
      <c r="BI77" s="448">
        <f>'Inhalation Exposure'!P75</f>
        <v>0.20842915049455363</v>
      </c>
      <c r="BJ77" s="420"/>
      <c r="BK77" s="430"/>
      <c r="BL77" s="431"/>
      <c r="BM77" s="432"/>
      <c r="BN77" s="433"/>
      <c r="BO77" s="434"/>
      <c r="BP77" s="435"/>
      <c r="BQ77" s="435"/>
      <c r="BR77" s="435"/>
      <c r="BS77" s="435"/>
      <c r="BT77" s="435"/>
    </row>
    <row r="78" spans="1:72" x14ac:dyDescent="0.3">
      <c r="A78" s="305">
        <v>5</v>
      </c>
      <c r="B78" s="647"/>
      <c r="C78" s="308" t="s">
        <v>268</v>
      </c>
      <c r="D78" s="206" t="s">
        <v>73</v>
      </c>
      <c r="E78" s="380" t="s">
        <v>270</v>
      </c>
      <c r="F78" s="424">
        <f>'Hazard Values'!$G$12/BD78</f>
        <v>58.934758222459244</v>
      </c>
      <c r="G78" s="425">
        <f>'Hazard Values'!$G$12/BE78</f>
        <v>137.93241286107485</v>
      </c>
      <c r="H78" s="425">
        <f t="shared" si="93"/>
        <v>589.34758222459243</v>
      </c>
      <c r="I78" s="425">
        <f t="shared" si="94"/>
        <v>1379.3241286107486</v>
      </c>
      <c r="J78" s="425">
        <f>'Hazard Values'!$G$13/BF78</f>
        <v>41.910274114017312</v>
      </c>
      <c r="K78" s="425">
        <f>'Hazard Values'!$G$13/BG78</f>
        <v>98.087875585998006</v>
      </c>
      <c r="L78" s="425">
        <f t="shared" si="95"/>
        <v>419.10274114017312</v>
      </c>
      <c r="M78" s="425">
        <f t="shared" si="96"/>
        <v>980.87875585998006</v>
      </c>
      <c r="N78" s="425">
        <f>'Hazard Values'!$G$14/BH78</f>
        <v>44.871933484741213</v>
      </c>
      <c r="O78" s="425">
        <f>'Hazard Values'!$G$14/BI78</f>
        <v>119.88518127177534</v>
      </c>
      <c r="P78" s="425">
        <f t="shared" si="97"/>
        <v>448.71933484741214</v>
      </c>
      <c r="Q78" s="426">
        <f t="shared" si="98"/>
        <v>1198.8518127177533</v>
      </c>
      <c r="S78" s="663"/>
      <c r="T78" s="657"/>
      <c r="U78" s="657"/>
      <c r="V78" s="657"/>
      <c r="W78" s="657"/>
      <c r="X78" s="657"/>
      <c r="Y78" s="657"/>
      <c r="Z78" s="657"/>
      <c r="AA78" s="657"/>
      <c r="AB78" s="657"/>
      <c r="AC78" s="657"/>
      <c r="AD78" s="662"/>
      <c r="AF78" s="427">
        <f t="shared" si="99"/>
        <v>53.439244501467272</v>
      </c>
      <c r="AG78" s="428">
        <f t="shared" si="100"/>
        <v>125.56882620156983</v>
      </c>
      <c r="AH78" s="428">
        <f t="shared" si="101"/>
        <v>488.81199151992251</v>
      </c>
      <c r="AI78" s="428">
        <f t="shared" si="102"/>
        <v>1152.3933593284944</v>
      </c>
      <c r="AJ78" s="428">
        <f t="shared" si="103"/>
        <v>39.359198805811545</v>
      </c>
      <c r="AK78" s="428">
        <f t="shared" si="104"/>
        <v>92.3564964885081</v>
      </c>
      <c r="AL78" s="428">
        <f t="shared" si="105"/>
        <v>371.00871482662848</v>
      </c>
      <c r="AM78" s="428">
        <f t="shared" si="106"/>
        <v>872.57923058122799</v>
      </c>
      <c r="AN78" s="428">
        <f t="shared" si="107"/>
        <v>42.140582188088899</v>
      </c>
      <c r="AO78" s="428">
        <f t="shared" si="108"/>
        <v>112.88016237484321</v>
      </c>
      <c r="AP78" s="428">
        <f t="shared" si="109"/>
        <v>397.22666400771033</v>
      </c>
      <c r="AQ78" s="429">
        <f t="shared" si="110"/>
        <v>1066.4857262659452</v>
      </c>
      <c r="BB78" s="418">
        <f>'Inhalation Exposure'!I76</f>
        <v>2.1351067484662578</v>
      </c>
      <c r="BC78" s="419">
        <f>'Inhalation Exposure'!J76</f>
        <v>0.91227288343558299</v>
      </c>
      <c r="BD78" s="419">
        <f>'Inhalation Exposure'!K76</f>
        <v>1.8155669629815117</v>
      </c>
      <c r="BE78" s="419">
        <f>'Inhalation Exposure'!L76</f>
        <v>0.77574224781937307</v>
      </c>
      <c r="BF78" s="419">
        <f>'Inhalation Exposure'!M76</f>
        <v>1.3314157728531086</v>
      </c>
      <c r="BG78" s="419">
        <f>'Inhalation Exposure'!N76</f>
        <v>0.56887764840087351</v>
      </c>
      <c r="BH78" s="419">
        <f>'Inhalation Exposure'!O76</f>
        <v>1.2435390157407613</v>
      </c>
      <c r="BI78" s="448">
        <f>'Inhalation Exposure'!P76</f>
        <v>0.46544534869162379</v>
      </c>
      <c r="BJ78" s="420"/>
      <c r="BK78" s="430"/>
      <c r="BL78" s="431"/>
      <c r="BM78" s="432"/>
      <c r="BN78" s="433"/>
      <c r="BO78" s="434"/>
      <c r="BP78" s="435"/>
      <c r="BQ78" s="435"/>
      <c r="BR78" s="435"/>
      <c r="BS78" s="435"/>
      <c r="BT78" s="435"/>
    </row>
    <row r="79" spans="1:72" x14ac:dyDescent="0.3">
      <c r="A79" s="305">
        <v>5</v>
      </c>
      <c r="B79" s="646"/>
      <c r="C79" s="308" t="s">
        <v>268</v>
      </c>
      <c r="D79" s="206" t="s">
        <v>73</v>
      </c>
      <c r="E79" s="380" t="s">
        <v>269</v>
      </c>
      <c r="F79" s="424">
        <f>'Hazard Values'!$G$12/BD79</f>
        <v>55.773619335643964</v>
      </c>
      <c r="G79" s="425">
        <f>'Hazard Values'!$G$12/BE79</f>
        <v>568.04586238514935</v>
      </c>
      <c r="H79" s="425">
        <f t="shared" si="93"/>
        <v>557.73619335643968</v>
      </c>
      <c r="I79" s="425">
        <f t="shared" si="94"/>
        <v>5680.458623851493</v>
      </c>
      <c r="J79" s="425">
        <f>'Hazard Values'!$G$13/BF79</f>
        <v>39.662293444293965</v>
      </c>
      <c r="K79" s="425">
        <f>'Hazard Values'!$G$13/BG79</f>
        <v>403.95444929173323</v>
      </c>
      <c r="L79" s="425">
        <f t="shared" si="95"/>
        <v>396.62293444293965</v>
      </c>
      <c r="M79" s="425">
        <f t="shared" si="96"/>
        <v>4039.5444929173323</v>
      </c>
      <c r="N79" s="425">
        <f>'Hazard Values'!$G$14/BH79</f>
        <v>42.465095514357401</v>
      </c>
      <c r="O79" s="425">
        <f>'Hazard Values'!$G$14/BI79</f>
        <v>493.72210468989618</v>
      </c>
      <c r="P79" s="425">
        <f t="shared" si="97"/>
        <v>424.65095514357404</v>
      </c>
      <c r="Q79" s="426">
        <f t="shared" si="98"/>
        <v>4937.2210468989615</v>
      </c>
      <c r="S79" s="663"/>
      <c r="T79" s="657"/>
      <c r="U79" s="657"/>
      <c r="V79" s="657"/>
      <c r="W79" s="657"/>
      <c r="X79" s="657"/>
      <c r="Y79" s="657"/>
      <c r="Z79" s="657"/>
      <c r="AA79" s="657"/>
      <c r="AB79" s="657"/>
      <c r="AC79" s="657"/>
      <c r="AD79" s="662"/>
      <c r="AF79" s="427">
        <f t="shared" si="99"/>
        <v>50.827090356532331</v>
      </c>
      <c r="AG79" s="428">
        <f t="shared" si="100"/>
        <v>404.1622692066075</v>
      </c>
      <c r="AH79" s="428">
        <f t="shared" si="101"/>
        <v>466.86493168441871</v>
      </c>
      <c r="AI79" s="428">
        <f t="shared" si="102"/>
        <v>3136.6780365219001</v>
      </c>
      <c r="AJ79" s="428">
        <f t="shared" si="103"/>
        <v>37.370063469517063</v>
      </c>
      <c r="AK79" s="428">
        <f t="shared" si="104"/>
        <v>321.73009972478991</v>
      </c>
      <c r="AL79" s="428">
        <f t="shared" si="105"/>
        <v>353.2831033628508</v>
      </c>
      <c r="AM79" s="428">
        <f t="shared" si="106"/>
        <v>2673.1791999157126</v>
      </c>
      <c r="AN79" s="428">
        <f t="shared" si="107"/>
        <v>40.010881288029594</v>
      </c>
      <c r="AO79" s="428">
        <f t="shared" si="108"/>
        <v>393.22567744140986</v>
      </c>
      <c r="AP79" s="428">
        <f t="shared" si="109"/>
        <v>378.24844266715894</v>
      </c>
      <c r="AQ79" s="429">
        <f t="shared" si="110"/>
        <v>3267.2190221192041</v>
      </c>
      <c r="BB79" s="418">
        <f>'Inhalation Exposure'!I77</f>
        <v>1.8801003278800263</v>
      </c>
      <c r="BC79" s="419">
        <f>'Inhalation Exposure'!J77</f>
        <v>0.18459777096114521</v>
      </c>
      <c r="BD79" s="419">
        <f>'Inhalation Exposure'!K77</f>
        <v>1.9184697223265577</v>
      </c>
      <c r="BE79" s="419">
        <f>'Inhalation Exposure'!L77</f>
        <v>0.18836507240933181</v>
      </c>
      <c r="BF79" s="419">
        <f>'Inhalation Exposure'!M77</f>
        <v>1.406877796372809</v>
      </c>
      <c r="BG79" s="419">
        <f>'Inhalation Exposure'!N77</f>
        <v>0.13813438643351</v>
      </c>
      <c r="BH79" s="419">
        <f>'Inhalation Exposure'!O77</f>
        <v>1.3140203577579164</v>
      </c>
      <c r="BI79" s="448">
        <f>'Inhalation Exposure'!P77</f>
        <v>0.11301904344559908</v>
      </c>
      <c r="BJ79" s="420"/>
      <c r="BK79" s="430"/>
      <c r="BL79" s="431"/>
      <c r="BM79" s="432"/>
      <c r="BN79" s="433"/>
      <c r="BO79" s="434"/>
      <c r="BP79" s="435"/>
      <c r="BQ79" s="435"/>
      <c r="BR79" s="435"/>
      <c r="BS79" s="435"/>
      <c r="BT79" s="435"/>
    </row>
    <row r="80" spans="1:72" ht="39" x14ac:dyDescent="0.3">
      <c r="A80" s="306">
        <v>6</v>
      </c>
      <c r="B80" s="641" t="s">
        <v>282</v>
      </c>
      <c r="C80" s="308" t="s">
        <v>263</v>
      </c>
      <c r="D80" s="206" t="s">
        <v>54</v>
      </c>
      <c r="E80" s="380" t="s">
        <v>107</v>
      </c>
      <c r="F80" s="424">
        <f>'Hazard Values'!$G$12/BD80</f>
        <v>518.62587235764136</v>
      </c>
      <c r="G80" s="425">
        <f>'Hazard Values'!$G$12/BE80</f>
        <v>518.62587235764136</v>
      </c>
      <c r="H80" s="425">
        <f t="shared" si="93"/>
        <v>5186.2587235764131</v>
      </c>
      <c r="I80" s="425">
        <f t="shared" si="94"/>
        <v>5186.2587235764131</v>
      </c>
      <c r="J80" s="425">
        <f>'Hazard Values'!$G$13/BF80</f>
        <v>368.81041220335243</v>
      </c>
      <c r="K80" s="425">
        <f>'Hazard Values'!$G$13/BG80</f>
        <v>368.81041220335243</v>
      </c>
      <c r="L80" s="425">
        <f t="shared" si="95"/>
        <v>3688.1041220335242</v>
      </c>
      <c r="M80" s="425">
        <f t="shared" si="96"/>
        <v>3688.1041220335242</v>
      </c>
      <c r="N80" s="425">
        <f>'Hazard Values'!$G$14/BH80</f>
        <v>394.87301466572268</v>
      </c>
      <c r="O80" s="425">
        <f>'Hazard Values'!$G$14/BI80</f>
        <v>401.29371409118158</v>
      </c>
      <c r="P80" s="425">
        <f t="shared" si="97"/>
        <v>3948.7301466572267</v>
      </c>
      <c r="Q80" s="426">
        <f t="shared" si="98"/>
        <v>4012.9371409118157</v>
      </c>
      <c r="S80" s="663">
        <f>'Hazard Values'!$I$12/'Bridge Table'!BO80</f>
        <v>14.027592345349355</v>
      </c>
      <c r="T80" s="657">
        <f>'Hazard Values'!$I$12/BP80</f>
        <v>42.082777036048064</v>
      </c>
      <c r="U80" s="657">
        <f>'Hazard Values'!$I$12/(BO80/'Bridge Table'!$V$5)</f>
        <v>70.137961726746781</v>
      </c>
      <c r="V80" s="657">
        <f>'Hazard Values'!$I$12/(BP80/'Bridge Table'!$V$5)</f>
        <v>210.41388518024033</v>
      </c>
      <c r="W80" s="657">
        <f>'Hazard Values'!$I$13/BQ80</f>
        <v>15.827163490714893</v>
      </c>
      <c r="X80" s="657">
        <f>'Hazard Values'!$I$13/BR80</f>
        <v>47.481490472144678</v>
      </c>
      <c r="Y80" s="657">
        <f>'Hazard Values'!$I$13/(BQ80/$Z$5)</f>
        <v>79.135817453574461</v>
      </c>
      <c r="Z80" s="657">
        <f>'Hazard Values'!$I$13/(BR80/$Z$5)</f>
        <v>237.4074523607234</v>
      </c>
      <c r="AA80" s="657">
        <f>'Hazard Values'!$I$14/'Bridge Table'!BS80</f>
        <v>16.945616377392078</v>
      </c>
      <c r="AB80" s="657">
        <f>'Hazard Values'!$I$14/'Bridge Table'!BT80</f>
        <v>51.663464565219748</v>
      </c>
      <c r="AC80" s="657">
        <f>'Hazard Values'!$I$14/(BS80/$AD$5)</f>
        <v>84.728081886960396</v>
      </c>
      <c r="AD80" s="662">
        <f>'Hazard Values'!$I$14/(BT80/$AD$5)</f>
        <v>258.31732282609875</v>
      </c>
      <c r="AF80" s="427">
        <v>39</v>
      </c>
      <c r="AG80" s="428">
        <f>(1/((1/G80)+(1/$T$80)))</f>
        <v>38.924345067893611</v>
      </c>
      <c r="AH80" s="428">
        <v>202</v>
      </c>
      <c r="AI80" s="428">
        <f>1/((1/(G80*$AI$5))+((1/($T$80*$AI$4))))</f>
        <v>202.20994058578702</v>
      </c>
      <c r="AJ80" s="428">
        <v>42</v>
      </c>
      <c r="AK80" s="428">
        <f>(1/((1/K80)+(1/$X$80)))</f>
        <v>42.065838803287313</v>
      </c>
      <c r="AL80" s="428">
        <v>223</v>
      </c>
      <c r="AM80" s="428">
        <f>1/((1/(K80*$AM$5))+(1/($X$80*$AM$4)))</f>
        <v>223.0495024812592</v>
      </c>
      <c r="AN80" s="428">
        <v>46</v>
      </c>
      <c r="AO80" s="428">
        <f>(1/((1/O80)+(1/$AB$80)))</f>
        <v>45.770824605744856</v>
      </c>
      <c r="AP80" s="428">
        <v>243</v>
      </c>
      <c r="AQ80" s="429">
        <f>1/((1/(O80*$AM$5))+(1/($AB$80*$AM$4)))</f>
        <v>242.69478386510991</v>
      </c>
      <c r="BB80" s="418">
        <f>'Inhalation Exposure'!I78</f>
        <v>0.30328220858895705</v>
      </c>
      <c r="BC80" s="419">
        <f>'Inhalation Exposure'!J78</f>
        <v>0.30328220858895705</v>
      </c>
      <c r="BD80" s="419">
        <f>'Inhalation Exposure'!K78</f>
        <v>0.2063144276115354</v>
      </c>
      <c r="BE80" s="419">
        <f>'Inhalation Exposure'!L78</f>
        <v>0.2063144276115354</v>
      </c>
      <c r="BF80" s="419">
        <f>'Inhalation Exposure'!M78</f>
        <v>0.15129724691512597</v>
      </c>
      <c r="BG80" s="419">
        <f>'Inhalation Exposure'!N78</f>
        <v>0.15129724691512597</v>
      </c>
      <c r="BH80" s="419">
        <f>'Inhalation Exposure'!O78</f>
        <v>0.14131125178872286</v>
      </c>
      <c r="BI80" s="448">
        <f>'Inhalation Exposure'!P78</f>
        <v>0.13905027176010332</v>
      </c>
      <c r="BJ80" s="420"/>
      <c r="BK80" s="436">
        <v>6</v>
      </c>
      <c r="BL80" s="439" t="s">
        <v>282</v>
      </c>
      <c r="BM80" s="432" t="s">
        <v>264</v>
      </c>
      <c r="BN80" s="433" t="s">
        <v>73</v>
      </c>
      <c r="BO80" s="434">
        <f>'Dermal Exposure'!T52</f>
        <v>28.087499999999999</v>
      </c>
      <c r="BP80" s="435">
        <f>'Dermal Exposure'!U52</f>
        <v>9.3625000000000007</v>
      </c>
      <c r="BQ80" s="435">
        <f>'Dermal Exposure'!V52</f>
        <v>20.5975</v>
      </c>
      <c r="BR80" s="435">
        <f>'Dermal Exposure'!W52</f>
        <v>6.8658333333333337</v>
      </c>
      <c r="BS80" s="435">
        <f>'Dermal Exposure'!X52</f>
        <v>19.238013698630137</v>
      </c>
      <c r="BT80" s="435">
        <f>'Dermal Exposure'!Y52</f>
        <v>6.310068493150685</v>
      </c>
    </row>
    <row r="81" spans="1:72" ht="39" x14ac:dyDescent="0.3">
      <c r="A81" s="306">
        <v>6</v>
      </c>
      <c r="B81" s="644"/>
      <c r="C81" s="308" t="s">
        <v>264</v>
      </c>
      <c r="D81" s="206" t="s">
        <v>73</v>
      </c>
      <c r="E81" s="380" t="s">
        <v>107</v>
      </c>
      <c r="F81" s="424">
        <f>'Hazard Values'!$G$12/BD81</f>
        <v>16.207058511176296</v>
      </c>
      <c r="G81" s="425">
        <f>'Hazard Values'!$G$12/BE81</f>
        <v>54.023528370587634</v>
      </c>
      <c r="H81" s="425">
        <f t="shared" si="93"/>
        <v>162.07058511176297</v>
      </c>
      <c r="I81" s="425">
        <f t="shared" si="94"/>
        <v>540.23528370587633</v>
      </c>
      <c r="J81" s="425">
        <f>'Hazard Values'!$G$13/BF81</f>
        <v>11.525325381354765</v>
      </c>
      <c r="K81" s="425">
        <f>'Hazard Values'!$G$13/BG81</f>
        <v>38.417751271182539</v>
      </c>
      <c r="L81" s="425">
        <f t="shared" si="95"/>
        <v>115.25325381354764</v>
      </c>
      <c r="M81" s="425">
        <f t="shared" si="96"/>
        <v>384.17751271182539</v>
      </c>
      <c r="N81" s="425">
        <f>'Hazard Values'!$G$14/BH81</f>
        <v>12.339781708303837</v>
      </c>
      <c r="O81" s="425">
        <f>'Hazard Values'!$G$14/BI81</f>
        <v>41.80142855116474</v>
      </c>
      <c r="P81" s="425">
        <f t="shared" si="97"/>
        <v>123.39781708303838</v>
      </c>
      <c r="Q81" s="426">
        <f t="shared" si="98"/>
        <v>418.01428551164742</v>
      </c>
      <c r="S81" s="663"/>
      <c r="T81" s="657"/>
      <c r="U81" s="657"/>
      <c r="V81" s="657"/>
      <c r="W81" s="657"/>
      <c r="X81" s="657"/>
      <c r="Y81" s="657"/>
      <c r="Z81" s="657"/>
      <c r="AA81" s="657"/>
      <c r="AB81" s="657"/>
      <c r="AC81" s="657"/>
      <c r="AD81" s="662"/>
      <c r="AF81" s="427">
        <f t="shared" ref="AF81:AF87" si="111">(1/((1/F81)+(1/$S$80)))</f>
        <v>7.5193859850025966</v>
      </c>
      <c r="AG81" s="428">
        <f t="shared" ref="AG81:AG87" si="112">(1/((1/G81)+(1/$T$80)))</f>
        <v>23.655680961835042</v>
      </c>
      <c r="AH81" s="428">
        <f t="shared" ref="AH81:AH87" si="113">1/((1/(F81*$AI$5))+((1/($S$80*$AI$4))))</f>
        <v>48.952980630405975</v>
      </c>
      <c r="AI81" s="428">
        <f t="shared" ref="AI81:AI87" si="114">1/((1/(G81*$AI$5))+((1/($T$80*$AI$4))))</f>
        <v>151.43293254381595</v>
      </c>
      <c r="AJ81" s="428">
        <f t="shared" ref="AJ81:AJ87" si="115">(1/((1/J81)+(1/$W$80)))</f>
        <v>6.6689802872255157</v>
      </c>
      <c r="AK81" s="428">
        <f t="shared" ref="AK81:AK87" si="116">(1/((1/K81)+(1/$X$80)))</f>
        <v>21.235718196378365</v>
      </c>
      <c r="AL81" s="428">
        <f t="shared" ref="AL81:AL87" si="117">1/((1/(J81*$AM$5))+(1/($W$80*$AM$4)))</f>
        <v>46.919615363489875</v>
      </c>
      <c r="AM81" s="428">
        <f t="shared" ref="AM81:AM87" si="118">1/((1/(K81*$AM$5))+(1/($X$80*$AM$4)))</f>
        <v>146.73232087675839</v>
      </c>
      <c r="AN81" s="428">
        <f t="shared" ref="AN81:AN87" si="119">(1/((1/N81)+(1/$AA$80)))</f>
        <v>7.1402548941894537</v>
      </c>
      <c r="AO81" s="428">
        <f t="shared" ref="AO81:AO87" si="120">(1/((1/O81)+(1/$AB$80)))</f>
        <v>23.106072780070225</v>
      </c>
      <c r="AP81" s="428">
        <f t="shared" ref="AP81:AP87" si="121">1/((1/(N81*$AM$5))+(1/($AA$80*$AM$4)))</f>
        <v>50.235268182509834</v>
      </c>
      <c r="AQ81" s="429">
        <f t="shared" ref="AQ81:AQ87" si="122">1/((1/(O81*$AM$5))+(1/($AB$80*$AM$4)))</f>
        <v>159.65589927376288</v>
      </c>
      <c r="BB81" s="418">
        <f>'Inhalation Exposure'!I79</f>
        <v>9.705030674846622</v>
      </c>
      <c r="BC81" s="419">
        <f>'Inhalation Exposure'!J79</f>
        <v>2.9115092024539879</v>
      </c>
      <c r="BD81" s="419">
        <f>'Inhalation Exposure'!K79</f>
        <v>6.602061683569131</v>
      </c>
      <c r="BE81" s="419">
        <f>'Inhalation Exposure'!L79</f>
        <v>1.9806185050707401</v>
      </c>
      <c r="BF81" s="419">
        <f>'Inhalation Exposure'!M79</f>
        <v>4.8415119012840302</v>
      </c>
      <c r="BG81" s="419">
        <f>'Inhalation Exposure'!N79</f>
        <v>1.4524535703852095</v>
      </c>
      <c r="BH81" s="419">
        <f>'Inhalation Exposure'!O79</f>
        <v>4.5219600572391307</v>
      </c>
      <c r="BI81" s="448">
        <f>'Inhalation Exposure'!P79</f>
        <v>1.3348826088969921</v>
      </c>
      <c r="BJ81" s="420"/>
      <c r="BK81" s="436">
        <v>6</v>
      </c>
      <c r="BL81" s="439" t="s">
        <v>282</v>
      </c>
      <c r="BM81" s="432" t="s">
        <v>265</v>
      </c>
      <c r="BN81" s="433" t="s">
        <v>73</v>
      </c>
      <c r="BO81" s="434">
        <f>'Dermal Exposure'!T53</f>
        <v>28.087499999999999</v>
      </c>
      <c r="BP81" s="435">
        <f>'Dermal Exposure'!U53</f>
        <v>9.3625000000000007</v>
      </c>
      <c r="BQ81" s="435">
        <f>'Dermal Exposure'!V53</f>
        <v>20.5975</v>
      </c>
      <c r="BR81" s="435">
        <f>'Dermal Exposure'!W53</f>
        <v>6.8658333333333337</v>
      </c>
      <c r="BS81" s="435">
        <f>'Dermal Exposure'!X53</f>
        <v>19.238013698630137</v>
      </c>
      <c r="BT81" s="435">
        <f>'Dermal Exposure'!Y53</f>
        <v>6.310068493150685</v>
      </c>
    </row>
    <row r="82" spans="1:72" ht="39" x14ac:dyDescent="0.3">
      <c r="A82" s="306">
        <v>6</v>
      </c>
      <c r="B82" s="644"/>
      <c r="C82" s="308" t="s">
        <v>265</v>
      </c>
      <c r="D82" s="206" t="s">
        <v>73</v>
      </c>
      <c r="E82" s="380" t="s">
        <v>107</v>
      </c>
      <c r="F82" s="424">
        <f>'Hazard Values'!$G$12/BD82</f>
        <v>3.3677004698548143</v>
      </c>
      <c r="G82" s="425">
        <f>'Hazard Values'!$G$12/BE82</f>
        <v>648.28234044705164</v>
      </c>
      <c r="H82" s="425">
        <f t="shared" si="93"/>
        <v>33.677004698548146</v>
      </c>
      <c r="I82" s="425">
        <f t="shared" si="94"/>
        <v>6482.8234044705168</v>
      </c>
      <c r="J82" s="425">
        <f>'Hazard Values'!$G$13/BF82</f>
        <v>2.3948728065152758</v>
      </c>
      <c r="K82" s="425">
        <f>'Hazard Values'!$G$13/BG82</f>
        <v>461.01301525419041</v>
      </c>
      <c r="L82" s="425">
        <f t="shared" si="95"/>
        <v>23.948728065152757</v>
      </c>
      <c r="M82" s="425">
        <f t="shared" si="96"/>
        <v>4610.130152541904</v>
      </c>
      <c r="N82" s="425">
        <f>'Hazard Values'!$G$14/BH82</f>
        <v>2.564110484842355</v>
      </c>
      <c r="O82" s="425">
        <f>'Hazard Values'!$G$14/BI82</f>
        <v>501.61714261397691</v>
      </c>
      <c r="P82" s="425">
        <f t="shared" si="97"/>
        <v>25.641104848423552</v>
      </c>
      <c r="Q82" s="426">
        <f t="shared" si="98"/>
        <v>5016.1714261397692</v>
      </c>
      <c r="S82" s="663"/>
      <c r="T82" s="657"/>
      <c r="U82" s="657"/>
      <c r="V82" s="657"/>
      <c r="W82" s="657"/>
      <c r="X82" s="657"/>
      <c r="Y82" s="657"/>
      <c r="Z82" s="657"/>
      <c r="AA82" s="657"/>
      <c r="AB82" s="657"/>
      <c r="AC82" s="657"/>
      <c r="AD82" s="662"/>
      <c r="AF82" s="427">
        <f t="shared" si="111"/>
        <v>2.7157191220762069</v>
      </c>
      <c r="AG82" s="428">
        <f t="shared" si="112"/>
        <v>39.517525579656095</v>
      </c>
      <c r="AH82" s="428">
        <f t="shared" si="113"/>
        <v>22.752369412149825</v>
      </c>
      <c r="AI82" s="428">
        <f t="shared" si="114"/>
        <v>203.79914837043071</v>
      </c>
      <c r="AJ82" s="428">
        <f t="shared" si="115"/>
        <v>2.0801211692211408</v>
      </c>
      <c r="AK82" s="428">
        <f t="shared" si="116"/>
        <v>43.047830104003545</v>
      </c>
      <c r="AL82" s="428">
        <f t="shared" si="117"/>
        <v>18.384930183981123</v>
      </c>
      <c r="AM82" s="428">
        <f t="shared" si="118"/>
        <v>225.78045675383913</v>
      </c>
      <c r="AN82" s="428">
        <f t="shared" si="119"/>
        <v>2.2271163985127678</v>
      </c>
      <c r="AO82" s="428">
        <f t="shared" si="120"/>
        <v>46.839305655169163</v>
      </c>
      <c r="AP82" s="428">
        <f t="shared" si="121"/>
        <v>19.684131916982455</v>
      </c>
      <c r="AQ82" s="429">
        <f t="shared" si="122"/>
        <v>245.66626934055935</v>
      </c>
      <c r="BB82" s="418">
        <f>'Inhalation Exposure'!I80</f>
        <v>46.705460122699385</v>
      </c>
      <c r="BC82" s="419">
        <f>'Inhalation Exposure'!J80</f>
        <v>0.24262576687116569</v>
      </c>
      <c r="BD82" s="419">
        <f>'Inhalation Exposure'!K80</f>
        <v>31.77242185217645</v>
      </c>
      <c r="BE82" s="419">
        <f>'Inhalation Exposure'!L80</f>
        <v>0.16505154208922834</v>
      </c>
      <c r="BF82" s="419">
        <f>'Inhalation Exposure'!M80</f>
        <v>23.299776024929397</v>
      </c>
      <c r="BG82" s="419">
        <f>'Inhalation Exposure'!N80</f>
        <v>0.1210377975321008</v>
      </c>
      <c r="BH82" s="419">
        <f>'Inhalation Exposure'!O80</f>
        <v>21.761932775463322</v>
      </c>
      <c r="BI82" s="448">
        <f>'Inhalation Exposure'!P80</f>
        <v>0.11124021740808267</v>
      </c>
      <c r="BJ82" s="420"/>
      <c r="BK82" s="436">
        <v>6</v>
      </c>
      <c r="BL82" s="439" t="s">
        <v>282</v>
      </c>
      <c r="BM82" s="432" t="s">
        <v>266</v>
      </c>
      <c r="BN82" s="433" t="s">
        <v>73</v>
      </c>
      <c r="BO82" s="434">
        <f>'Dermal Exposure'!T54</f>
        <v>28.087499999999999</v>
      </c>
      <c r="BP82" s="435">
        <f>'Dermal Exposure'!U54</f>
        <v>9.3625000000000007</v>
      </c>
      <c r="BQ82" s="435">
        <f>'Dermal Exposure'!V54</f>
        <v>20.5975</v>
      </c>
      <c r="BR82" s="435">
        <f>'Dermal Exposure'!W54</f>
        <v>6.8658333333333337</v>
      </c>
      <c r="BS82" s="435">
        <f>'Dermal Exposure'!X54</f>
        <v>19.238013698630137</v>
      </c>
      <c r="BT82" s="435">
        <f>'Dermal Exposure'!Y54</f>
        <v>6.310068493150685</v>
      </c>
    </row>
    <row r="83" spans="1:72" ht="39" x14ac:dyDescent="0.3">
      <c r="A83" s="306">
        <v>6</v>
      </c>
      <c r="B83" s="644"/>
      <c r="C83" s="308" t="s">
        <v>266</v>
      </c>
      <c r="D83" s="206" t="s">
        <v>73</v>
      </c>
      <c r="E83" s="380" t="s">
        <v>269</v>
      </c>
      <c r="F83" s="424">
        <f>'Hazard Values'!$G$12/BD83</f>
        <v>30.628416529482646</v>
      </c>
      <c r="G83" s="425">
        <f>'Hazard Values'!$G$12/BE83</f>
        <v>314.84344960245346</v>
      </c>
      <c r="H83" s="425">
        <f t="shared" si="93"/>
        <v>306.28416529482644</v>
      </c>
      <c r="I83" s="425">
        <f t="shared" si="94"/>
        <v>3148.4344960245344</v>
      </c>
      <c r="J83" s="425">
        <f>'Hazard Values'!$G$13/BF83</f>
        <v>21.780785586386553</v>
      </c>
      <c r="K83" s="425">
        <f>'Hazard Values'!$G$13/BG83</f>
        <v>223.89461964082713</v>
      </c>
      <c r="L83" s="425">
        <f t="shared" si="95"/>
        <v>217.80785586386554</v>
      </c>
      <c r="M83" s="425">
        <f t="shared" si="96"/>
        <v>2238.9461964082711</v>
      </c>
      <c r="N83" s="425">
        <f>'Hazard Values'!$G$14/BH83</f>
        <v>23.319961101157872</v>
      </c>
      <c r="O83" s="425">
        <f>'Hazard Values'!$G$14/BI83</f>
        <v>243.61433546285119</v>
      </c>
      <c r="P83" s="425">
        <f t="shared" si="97"/>
        <v>233.19961101157872</v>
      </c>
      <c r="Q83" s="426">
        <f t="shared" si="98"/>
        <v>2436.143354628512</v>
      </c>
      <c r="S83" s="663"/>
      <c r="T83" s="657"/>
      <c r="U83" s="657"/>
      <c r="V83" s="657"/>
      <c r="W83" s="657"/>
      <c r="X83" s="657"/>
      <c r="Y83" s="657"/>
      <c r="Z83" s="657"/>
      <c r="AA83" s="657"/>
      <c r="AB83" s="657"/>
      <c r="AC83" s="657"/>
      <c r="AD83" s="662"/>
      <c r="AF83" s="427">
        <f t="shared" si="111"/>
        <v>9.6211674998409453</v>
      </c>
      <c r="AG83" s="428">
        <f t="shared" si="112"/>
        <v>37.121079097108485</v>
      </c>
      <c r="AH83" s="428">
        <f t="shared" si="113"/>
        <v>57.069299387190242</v>
      </c>
      <c r="AI83" s="428">
        <f t="shared" si="114"/>
        <v>197.23258074137701</v>
      </c>
      <c r="AJ83" s="428">
        <f t="shared" si="115"/>
        <v>9.1663614446298762</v>
      </c>
      <c r="AK83" s="428">
        <f t="shared" si="116"/>
        <v>39.173861858418</v>
      </c>
      <c r="AL83" s="428">
        <f t="shared" si="117"/>
        <v>58.046034552725395</v>
      </c>
      <c r="AM83" s="428">
        <f t="shared" si="118"/>
        <v>214.64725473530461</v>
      </c>
      <c r="AN83" s="428">
        <f t="shared" si="119"/>
        <v>9.81411765338372</v>
      </c>
      <c r="AO83" s="428">
        <f t="shared" si="120"/>
        <v>42.624134244322015</v>
      </c>
      <c r="AP83" s="428">
        <f t="shared" si="121"/>
        <v>62.147954327784639</v>
      </c>
      <c r="AQ83" s="429">
        <f t="shared" si="122"/>
        <v>233.55250074857668</v>
      </c>
      <c r="BB83" s="418">
        <f>'Inhalation Exposure'!I81</f>
        <v>3.42361806066803</v>
      </c>
      <c r="BC83" s="419">
        <f>'Inhalation Exposure'!J81</f>
        <v>0.33305441206543968</v>
      </c>
      <c r="BD83" s="419">
        <f>'Inhalation Exposure'!K81</f>
        <v>3.4934878170081936</v>
      </c>
      <c r="BE83" s="419">
        <f>'Inhalation Exposure'!L81</f>
        <v>0.33985144088310165</v>
      </c>
      <c r="BF83" s="419">
        <f>'Inhalation Exposure'!M81</f>
        <v>2.5618910658060088</v>
      </c>
      <c r="BG83" s="419">
        <f>'Inhalation Exposure'!N81</f>
        <v>0.24922438998094121</v>
      </c>
      <c r="BH83" s="419">
        <f>'Inhalation Exposure'!O81</f>
        <v>2.392799874663146</v>
      </c>
      <c r="BI83" s="448">
        <f>'Inhalation Exposure'!P81</f>
        <v>0.22905056015683015</v>
      </c>
      <c r="BJ83" s="420"/>
      <c r="BK83" s="436">
        <v>6</v>
      </c>
      <c r="BL83" s="439" t="s">
        <v>282</v>
      </c>
      <c r="BM83" s="432" t="s">
        <v>267</v>
      </c>
      <c r="BN83" s="433" t="s">
        <v>73</v>
      </c>
      <c r="BO83" s="434">
        <f>'Dermal Exposure'!T55</f>
        <v>28.087499999999999</v>
      </c>
      <c r="BP83" s="435">
        <f>'Dermal Exposure'!U55</f>
        <v>9.3625000000000007</v>
      </c>
      <c r="BQ83" s="435">
        <f>'Dermal Exposure'!V55</f>
        <v>20.5975</v>
      </c>
      <c r="BR83" s="435">
        <f>'Dermal Exposure'!W55</f>
        <v>6.8658333333333337</v>
      </c>
      <c r="BS83" s="435">
        <f>'Dermal Exposure'!X55</f>
        <v>19.238013698630137</v>
      </c>
      <c r="BT83" s="435">
        <f>'Dermal Exposure'!Y55</f>
        <v>6.310068493150685</v>
      </c>
    </row>
    <row r="84" spans="1:72" ht="39" x14ac:dyDescent="0.3">
      <c r="A84" s="306">
        <v>6</v>
      </c>
      <c r="B84" s="644"/>
      <c r="C84" s="308" t="s">
        <v>267</v>
      </c>
      <c r="D84" s="206" t="s">
        <v>73</v>
      </c>
      <c r="E84" s="380" t="s">
        <v>107</v>
      </c>
      <c r="F84" s="424">
        <f>'Hazard Values'!$G$12/BD84</f>
        <v>997.35744684161796</v>
      </c>
      <c r="G84" s="425">
        <f>'Hazard Values'!$G$12/BE84</f>
        <v>997.35744684161796</v>
      </c>
      <c r="H84" s="425">
        <f t="shared" si="93"/>
        <v>9973.57446841618</v>
      </c>
      <c r="I84" s="425">
        <f t="shared" si="94"/>
        <v>9973.57446841618</v>
      </c>
      <c r="J84" s="425">
        <f>'Hazard Values'!$G$13/BF84</f>
        <v>709.25079269875471</v>
      </c>
      <c r="K84" s="425">
        <f>'Hazard Values'!$G$13/BG84</f>
        <v>709.25079269875471</v>
      </c>
      <c r="L84" s="425">
        <f t="shared" si="95"/>
        <v>7092.5079269875469</v>
      </c>
      <c r="M84" s="425">
        <f t="shared" si="96"/>
        <v>7092.5079269875469</v>
      </c>
      <c r="N84" s="425">
        <f>'Hazard Values'!$G$14/BH84</f>
        <v>759.3711820494666</v>
      </c>
      <c r="O84" s="425">
        <f>'Hazard Values'!$G$14/BI84</f>
        <v>771.71868094457989</v>
      </c>
      <c r="P84" s="425">
        <f t="shared" si="97"/>
        <v>7593.7118204946655</v>
      </c>
      <c r="Q84" s="426">
        <f t="shared" si="98"/>
        <v>7717.1868094457986</v>
      </c>
      <c r="S84" s="663"/>
      <c r="T84" s="657"/>
      <c r="U84" s="657"/>
      <c r="V84" s="657"/>
      <c r="W84" s="657"/>
      <c r="X84" s="657"/>
      <c r="Y84" s="657"/>
      <c r="Z84" s="657"/>
      <c r="AA84" s="657"/>
      <c r="AB84" s="657"/>
      <c r="AC84" s="657"/>
      <c r="AD84" s="662"/>
      <c r="AF84" s="427">
        <f t="shared" si="111"/>
        <v>13.833034052134453</v>
      </c>
      <c r="AG84" s="428">
        <f t="shared" si="112"/>
        <v>40.379013719616928</v>
      </c>
      <c r="AH84" s="428">
        <f t="shared" si="113"/>
        <v>69.648169360687092</v>
      </c>
      <c r="AI84" s="428">
        <f t="shared" si="114"/>
        <v>206.06647220809097</v>
      </c>
      <c r="AJ84" s="428">
        <f t="shared" si="115"/>
        <v>15.481684632857631</v>
      </c>
      <c r="AK84" s="428">
        <f t="shared" si="116"/>
        <v>44.502244062820793</v>
      </c>
      <c r="AL84" s="428">
        <f t="shared" si="117"/>
        <v>78.262589804906113</v>
      </c>
      <c r="AM84" s="428">
        <f t="shared" si="118"/>
        <v>229.71810050337351</v>
      </c>
      <c r="AN84" s="428">
        <f t="shared" si="119"/>
        <v>16.575723680246231</v>
      </c>
      <c r="AO84" s="428">
        <f t="shared" si="120"/>
        <v>48.42181840439715</v>
      </c>
      <c r="AP84" s="428">
        <f t="shared" si="121"/>
        <v>83.793146151119458</v>
      </c>
      <c r="AQ84" s="429">
        <f t="shared" si="122"/>
        <v>249.95072453144837</v>
      </c>
      <c r="BB84" s="418">
        <f>'Inhalation Exposure'!I82</f>
        <v>0.15770674846625768</v>
      </c>
      <c r="BC84" s="419">
        <f>'Inhalation Exposure'!J82</f>
        <v>0.15770674846625768</v>
      </c>
      <c r="BD84" s="419">
        <f>'Inhalation Exposure'!K82</f>
        <v>0.10728350235799841</v>
      </c>
      <c r="BE84" s="419">
        <f>'Inhalation Exposure'!L82</f>
        <v>0.10728350235799841</v>
      </c>
      <c r="BF84" s="419">
        <f>'Inhalation Exposure'!M82</f>
        <v>7.8674568395865493E-2</v>
      </c>
      <c r="BG84" s="419">
        <f>'Inhalation Exposure'!N82</f>
        <v>7.8674568395865493E-2</v>
      </c>
      <c r="BH84" s="419">
        <f>'Inhalation Exposure'!O82</f>
        <v>7.34818509301359E-2</v>
      </c>
      <c r="BI84" s="448">
        <f>'Inhalation Exposure'!P82</f>
        <v>7.230614131525373E-2</v>
      </c>
      <c r="BJ84" s="420"/>
      <c r="BK84" s="436">
        <v>6</v>
      </c>
      <c r="BL84" s="439" t="s">
        <v>282</v>
      </c>
      <c r="BM84" s="432" t="s">
        <v>268</v>
      </c>
      <c r="BN84" s="433" t="s">
        <v>73</v>
      </c>
      <c r="BO84" s="434">
        <f>'Dermal Exposure'!T56</f>
        <v>28.087499999999999</v>
      </c>
      <c r="BP84" s="435">
        <f>'Dermal Exposure'!U56</f>
        <v>9.3625000000000007</v>
      </c>
      <c r="BQ84" s="435">
        <f>'Dermal Exposure'!V56</f>
        <v>20.5975</v>
      </c>
      <c r="BR84" s="435">
        <f>'Dermal Exposure'!W56</f>
        <v>6.8658333333333337</v>
      </c>
      <c r="BS84" s="435">
        <f>'Dermal Exposure'!X56</f>
        <v>19.238013698630137</v>
      </c>
      <c r="BT84" s="435">
        <f>'Dermal Exposure'!Y56</f>
        <v>6.310068493150685</v>
      </c>
    </row>
    <row r="85" spans="1:72" x14ac:dyDescent="0.3">
      <c r="A85" s="306">
        <v>6</v>
      </c>
      <c r="B85" s="644"/>
      <c r="C85" s="308" t="s">
        <v>268</v>
      </c>
      <c r="D85" s="206" t="s">
        <v>73</v>
      </c>
      <c r="E85" s="380" t="s">
        <v>107</v>
      </c>
      <c r="F85" s="424">
        <f>'Hazard Values'!$G$12/BD85</f>
        <v>19.541168632110153</v>
      </c>
      <c r="G85" s="425">
        <f>'Hazard Values'!$G$12/BE85</f>
        <v>308.01833547595629</v>
      </c>
      <c r="H85" s="425">
        <f t="shared" si="93"/>
        <v>195.41168632110154</v>
      </c>
      <c r="I85" s="425">
        <f t="shared" si="94"/>
        <v>3080.1833547595629</v>
      </c>
      <c r="J85" s="425">
        <f>'Hazard Values'!$G$13/BF85</f>
        <v>13.896311083327271</v>
      </c>
      <c r="K85" s="425">
        <f>'Hazard Values'!$G$13/BG85</f>
        <v>219.04107629003857</v>
      </c>
      <c r="L85" s="425">
        <f t="shared" si="95"/>
        <v>138.96311083327271</v>
      </c>
      <c r="M85" s="425">
        <f t="shared" si="96"/>
        <v>2190.4107629003856</v>
      </c>
      <c r="N85" s="425">
        <f>'Hazard Values'!$G$14/BH85</f>
        <v>14.878317066549062</v>
      </c>
      <c r="O85" s="425">
        <f>'Hazard Values'!$G$14/BI85</f>
        <v>238.33331200664088</v>
      </c>
      <c r="P85" s="425">
        <f t="shared" si="97"/>
        <v>148.78317066549062</v>
      </c>
      <c r="Q85" s="426">
        <f t="shared" si="98"/>
        <v>2383.3331200664088</v>
      </c>
      <c r="S85" s="663"/>
      <c r="T85" s="657"/>
      <c r="U85" s="657"/>
      <c r="V85" s="657"/>
      <c r="W85" s="657"/>
      <c r="X85" s="657"/>
      <c r="Y85" s="657"/>
      <c r="Z85" s="657"/>
      <c r="AA85" s="657"/>
      <c r="AB85" s="657"/>
      <c r="AC85" s="657"/>
      <c r="AD85" s="662"/>
      <c r="AF85" s="427">
        <f t="shared" si="111"/>
        <v>8.1657928246750107</v>
      </c>
      <c r="AG85" s="428">
        <f t="shared" si="112"/>
        <v>37.024352313090318</v>
      </c>
      <c r="AH85" s="428">
        <f t="shared" si="113"/>
        <v>51.612862140487096</v>
      </c>
      <c r="AI85" s="428">
        <f t="shared" si="114"/>
        <v>196.95918384539897</v>
      </c>
      <c r="AJ85" s="428">
        <f t="shared" si="115"/>
        <v>7.399511348707847</v>
      </c>
      <c r="AK85" s="428">
        <f t="shared" si="116"/>
        <v>39.022574723115298</v>
      </c>
      <c r="AL85" s="428">
        <f t="shared" si="117"/>
        <v>50.421886334165428</v>
      </c>
      <c r="AM85" s="428">
        <f t="shared" si="118"/>
        <v>214.19224700386457</v>
      </c>
      <c r="AN85" s="428">
        <f t="shared" si="119"/>
        <v>7.9224101506831985</v>
      </c>
      <c r="AO85" s="428">
        <f t="shared" si="120"/>
        <v>42.459522361330052</v>
      </c>
      <c r="AP85" s="428">
        <f t="shared" si="121"/>
        <v>53.98503296844644</v>
      </c>
      <c r="AQ85" s="429">
        <f t="shared" si="122"/>
        <v>233.05741781043795</v>
      </c>
      <c r="BB85" s="418">
        <f>'Inhalation Exposure'!I83</f>
        <v>8.0491603629856723</v>
      </c>
      <c r="BC85" s="419">
        <f>'Inhalation Exposure'!J83</f>
        <v>0.51065141871165642</v>
      </c>
      <c r="BD85" s="419">
        <f>'Inhalation Exposure'!K83</f>
        <v>5.4756192945480766</v>
      </c>
      <c r="BE85" s="419">
        <f>'Inhalation Exposure'!L83</f>
        <v>0.34738191749092273</v>
      </c>
      <c r="BF85" s="419">
        <f>'Inhalation Exposure'!M83</f>
        <v>4.0154541493352562</v>
      </c>
      <c r="BG85" s="419">
        <f>'Inhalation Exposure'!N83</f>
        <v>0.25474673949334331</v>
      </c>
      <c r="BH85" s="419">
        <f>'Inhalation Exposure'!O83</f>
        <v>3.750424174347998</v>
      </c>
      <c r="BI85" s="448">
        <f>'Inhalation Exposure'!P83</f>
        <v>0.23412589507607395</v>
      </c>
      <c r="BJ85" s="420"/>
      <c r="BK85" s="436"/>
      <c r="BL85" s="439"/>
      <c r="BM85" s="432"/>
      <c r="BN85" s="433"/>
      <c r="BO85" s="434"/>
      <c r="BP85" s="435"/>
      <c r="BQ85" s="435"/>
      <c r="BR85" s="435"/>
      <c r="BS85" s="435"/>
      <c r="BT85" s="435"/>
    </row>
    <row r="86" spans="1:72" x14ac:dyDescent="0.3">
      <c r="A86" s="306">
        <v>6</v>
      </c>
      <c r="B86" s="644"/>
      <c r="C86" s="308" t="s">
        <v>268</v>
      </c>
      <c r="D86" s="206" t="s">
        <v>73</v>
      </c>
      <c r="E86" s="380" t="s">
        <v>270</v>
      </c>
      <c r="F86" s="424">
        <f>'Hazard Values'!$G$12/BD86</f>
        <v>58.934758222459244</v>
      </c>
      <c r="G86" s="425">
        <f>'Hazard Values'!$G$12/BE86</f>
        <v>137.93241286107485</v>
      </c>
      <c r="H86" s="425">
        <f t="shared" si="93"/>
        <v>589.34758222459243</v>
      </c>
      <c r="I86" s="425">
        <f t="shared" si="94"/>
        <v>1379.3241286107486</v>
      </c>
      <c r="J86" s="425">
        <f>'Hazard Values'!$G$13/BF86</f>
        <v>41.910274114017312</v>
      </c>
      <c r="K86" s="425">
        <f>'Hazard Values'!$G$13/BG86</f>
        <v>98.087875585998006</v>
      </c>
      <c r="L86" s="425">
        <f t="shared" si="95"/>
        <v>419.10274114017312</v>
      </c>
      <c r="M86" s="425">
        <f t="shared" si="96"/>
        <v>980.87875585998006</v>
      </c>
      <c r="N86" s="425">
        <f>'Hazard Values'!$G$14/BH86</f>
        <v>44.871933484741213</v>
      </c>
      <c r="O86" s="425">
        <f>'Hazard Values'!$G$14/BI86</f>
        <v>106.72705161999508</v>
      </c>
      <c r="P86" s="425">
        <f t="shared" si="97"/>
        <v>448.71933484741214</v>
      </c>
      <c r="Q86" s="426">
        <f t="shared" si="98"/>
        <v>1067.2705161999509</v>
      </c>
      <c r="S86" s="663"/>
      <c r="T86" s="657"/>
      <c r="U86" s="657"/>
      <c r="V86" s="657"/>
      <c r="W86" s="657"/>
      <c r="X86" s="657"/>
      <c r="Y86" s="657"/>
      <c r="Z86" s="657"/>
      <c r="AA86" s="657"/>
      <c r="AB86" s="657"/>
      <c r="AC86" s="657"/>
      <c r="AD86" s="662"/>
      <c r="AF86" s="427">
        <f t="shared" si="111"/>
        <v>11.330676121077911</v>
      </c>
      <c r="AG86" s="428">
        <f t="shared" si="112"/>
        <v>32.244939884206474</v>
      </c>
      <c r="AH86" s="428">
        <f t="shared" si="113"/>
        <v>62.678611449395461</v>
      </c>
      <c r="AI86" s="428">
        <f t="shared" si="114"/>
        <v>182.56401136923117</v>
      </c>
      <c r="AJ86" s="428">
        <f t="shared" si="115"/>
        <v>11.488572888951033</v>
      </c>
      <c r="AK86" s="428">
        <f t="shared" si="116"/>
        <v>31.994084031452434</v>
      </c>
      <c r="AL86" s="428">
        <f t="shared" si="117"/>
        <v>66.566582303005276</v>
      </c>
      <c r="AM86" s="428">
        <f t="shared" si="118"/>
        <v>191.14385842352712</v>
      </c>
      <c r="AN86" s="428">
        <f t="shared" si="119"/>
        <v>12.300432039770239</v>
      </c>
      <c r="AO86" s="428">
        <f t="shared" si="120"/>
        <v>34.811991161593902</v>
      </c>
      <c r="AP86" s="428">
        <f t="shared" si="121"/>
        <v>71.270620785750964</v>
      </c>
      <c r="AQ86" s="429">
        <f t="shared" si="122"/>
        <v>207.97902210581609</v>
      </c>
      <c r="BB86" s="418">
        <f>'Inhalation Exposure'!I84</f>
        <v>2.1351067484662578</v>
      </c>
      <c r="BC86" s="419">
        <f>'Inhalation Exposure'!J84</f>
        <v>0.91227288343558299</v>
      </c>
      <c r="BD86" s="419">
        <f>'Inhalation Exposure'!K84</f>
        <v>1.8155669629815117</v>
      </c>
      <c r="BE86" s="419">
        <f>'Inhalation Exposure'!L84</f>
        <v>0.77574224781937307</v>
      </c>
      <c r="BF86" s="419">
        <f>'Inhalation Exposure'!M84</f>
        <v>1.3314157728531086</v>
      </c>
      <c r="BG86" s="419">
        <f>'Inhalation Exposure'!N84</f>
        <v>0.56887764840087351</v>
      </c>
      <c r="BH86" s="419">
        <f>'Inhalation Exposure'!O84</f>
        <v>1.2435390157407613</v>
      </c>
      <c r="BI86" s="448">
        <f>'Inhalation Exposure'!P84</f>
        <v>0.52282902181798852</v>
      </c>
      <c r="BJ86" s="420"/>
      <c r="BK86" s="436"/>
      <c r="BL86" s="439"/>
      <c r="BM86" s="432"/>
      <c r="BN86" s="433"/>
      <c r="BO86" s="434"/>
      <c r="BP86" s="435"/>
      <c r="BQ86" s="435"/>
      <c r="BR86" s="435"/>
      <c r="BS86" s="435"/>
      <c r="BT86" s="435"/>
    </row>
    <row r="87" spans="1:72" x14ac:dyDescent="0.3">
      <c r="A87" s="306">
        <v>6</v>
      </c>
      <c r="B87" s="643"/>
      <c r="C87" s="308" t="s">
        <v>268</v>
      </c>
      <c r="D87" s="206" t="s">
        <v>73</v>
      </c>
      <c r="E87" s="380" t="s">
        <v>269</v>
      </c>
      <c r="F87" s="424">
        <f>'Hazard Values'!$G$12/BD87</f>
        <v>55.773619335643964</v>
      </c>
      <c r="G87" s="425">
        <f>'Hazard Values'!$G$12/BE87</f>
        <v>568.04586238514935</v>
      </c>
      <c r="H87" s="425">
        <f t="shared" si="93"/>
        <v>557.73619335643968</v>
      </c>
      <c r="I87" s="425">
        <f t="shared" si="94"/>
        <v>5680.458623851493</v>
      </c>
      <c r="J87" s="425">
        <f>'Hazard Values'!$G$13/BF87</f>
        <v>39.662293444293965</v>
      </c>
      <c r="K87" s="425">
        <f>'Hazard Values'!$G$13/BG87</f>
        <v>403.95444929173323</v>
      </c>
      <c r="L87" s="425">
        <f t="shared" si="95"/>
        <v>396.62293444293965</v>
      </c>
      <c r="M87" s="425">
        <f t="shared" si="96"/>
        <v>4039.5444929173323</v>
      </c>
      <c r="N87" s="425">
        <f>'Hazard Values'!$G$14/BH87</f>
        <v>42.465095514357401</v>
      </c>
      <c r="O87" s="425">
        <f>'Hazard Values'!$G$14/BI87</f>
        <v>439.53309319954178</v>
      </c>
      <c r="P87" s="425">
        <f t="shared" si="97"/>
        <v>424.65095514357404</v>
      </c>
      <c r="Q87" s="426">
        <f t="shared" si="98"/>
        <v>4395.3309319954178</v>
      </c>
      <c r="S87" s="663"/>
      <c r="T87" s="657"/>
      <c r="U87" s="657"/>
      <c r="V87" s="657"/>
      <c r="W87" s="657"/>
      <c r="X87" s="657"/>
      <c r="Y87" s="657"/>
      <c r="Z87" s="657"/>
      <c r="AA87" s="657"/>
      <c r="AB87" s="657"/>
      <c r="AC87" s="657"/>
      <c r="AD87" s="662"/>
      <c r="AF87" s="427">
        <f t="shared" si="111"/>
        <v>11.208538889564078</v>
      </c>
      <c r="AG87" s="428">
        <f t="shared" si="112"/>
        <v>39.180175832561261</v>
      </c>
      <c r="AH87" s="428">
        <f t="shared" si="113"/>
        <v>62.303057812711891</v>
      </c>
      <c r="AI87" s="428">
        <f t="shared" si="114"/>
        <v>202.89818983820678</v>
      </c>
      <c r="AJ87" s="428">
        <f t="shared" si="115"/>
        <v>11.312808548383931</v>
      </c>
      <c r="AK87" s="428">
        <f t="shared" si="116"/>
        <v>42.487444276718655</v>
      </c>
      <c r="AL87" s="428">
        <f t="shared" si="117"/>
        <v>65.972680508470702</v>
      </c>
      <c r="AM87" s="428">
        <f t="shared" si="118"/>
        <v>224.22930606458937</v>
      </c>
      <c r="AN87" s="428">
        <f t="shared" si="119"/>
        <v>12.112247019136392</v>
      </c>
      <c r="AO87" s="428">
        <f t="shared" si="120"/>
        <v>46.229563352581401</v>
      </c>
      <c r="AP87" s="428">
        <f t="shared" si="121"/>
        <v>70.634749931069294</v>
      </c>
      <c r="AQ87" s="429">
        <f t="shared" si="122"/>
        <v>243.97849968816433</v>
      </c>
      <c r="BB87" s="418">
        <f>'Inhalation Exposure'!I85</f>
        <v>1.8801003278800263</v>
      </c>
      <c r="BC87" s="419">
        <f>'Inhalation Exposure'!J85</f>
        <v>0.18459777096114521</v>
      </c>
      <c r="BD87" s="419">
        <f>'Inhalation Exposure'!K85</f>
        <v>1.9184697223265577</v>
      </c>
      <c r="BE87" s="419">
        <f>'Inhalation Exposure'!L85</f>
        <v>0.18836507240933181</v>
      </c>
      <c r="BF87" s="419">
        <f>'Inhalation Exposure'!M85</f>
        <v>1.406877796372809</v>
      </c>
      <c r="BG87" s="419">
        <f>'Inhalation Exposure'!N85</f>
        <v>0.13813438643351</v>
      </c>
      <c r="BH87" s="419">
        <f>'Inhalation Exposure'!O85</f>
        <v>1.3140203577579164</v>
      </c>
      <c r="BI87" s="448">
        <f>'Inhalation Exposure'!P85</f>
        <v>0.1269528981169743</v>
      </c>
      <c r="BJ87" s="420"/>
      <c r="BK87" s="436"/>
      <c r="BL87" s="439"/>
      <c r="BM87" s="432"/>
      <c r="BN87" s="433"/>
      <c r="BO87" s="434"/>
      <c r="BP87" s="435"/>
      <c r="BQ87" s="435"/>
      <c r="BR87" s="435"/>
      <c r="BS87" s="435"/>
      <c r="BT87" s="435"/>
    </row>
    <row r="88" spans="1:72" ht="26" x14ac:dyDescent="0.3">
      <c r="A88" s="306">
        <v>6</v>
      </c>
      <c r="B88" s="641" t="s">
        <v>285</v>
      </c>
      <c r="C88" s="308" t="s">
        <v>73</v>
      </c>
      <c r="D88" s="206" t="s">
        <v>73</v>
      </c>
      <c r="E88" s="380" t="s">
        <v>107</v>
      </c>
      <c r="F88" s="424">
        <f>'Hazard Values'!$G$12/BD88</f>
        <v>130.73454545454547</v>
      </c>
      <c r="G88" s="425">
        <f>'Hazard Values'!$G$12/BE88</f>
        <v>2422.8650281400373</v>
      </c>
      <c r="H88" s="425">
        <f t="shared" si="93"/>
        <v>1307.3454545454547</v>
      </c>
      <c r="I88" s="425">
        <f t="shared" si="94"/>
        <v>24228.650281400372</v>
      </c>
      <c r="J88" s="425">
        <f>'Hazard Values'!$G$13/BF88</f>
        <v>92.969256198347111</v>
      </c>
      <c r="K88" s="425">
        <f>'Hazard Values'!$G$13/BG88</f>
        <v>1722.9719868761351</v>
      </c>
      <c r="L88" s="425">
        <f t="shared" si="95"/>
        <v>929.69256198347114</v>
      </c>
      <c r="M88" s="425">
        <f t="shared" si="96"/>
        <v>17229.719868761353</v>
      </c>
      <c r="N88" s="425">
        <f>'Hazard Values'!$G$14/BH88</f>
        <v>99.539083636363628</v>
      </c>
      <c r="O88" s="425">
        <f>'Hazard Values'!$G$14/BI88</f>
        <v>1962.4773127113995</v>
      </c>
      <c r="P88" s="425">
        <f t="shared" si="97"/>
        <v>995.39083636363625</v>
      </c>
      <c r="Q88" s="426">
        <f t="shared" si="98"/>
        <v>19624.773127113993</v>
      </c>
      <c r="S88" s="427">
        <f>'Hazard Values'!$I$12/'Bridge Table'!BO88</f>
        <v>25.504713355180638</v>
      </c>
      <c r="T88" s="428">
        <f>'Hazard Values'!$I$12/BP88</f>
        <v>76.514140065541937</v>
      </c>
      <c r="U88" s="428">
        <f>'Hazard Values'!$I$12/(BO88/'Bridge Table'!$V$5)</f>
        <v>127.52356677590319</v>
      </c>
      <c r="V88" s="428">
        <f>'Hazard Values'!$I$12/(BP88/'Bridge Table'!$V$5)</f>
        <v>382.57070032770963</v>
      </c>
      <c r="W88" s="428">
        <f>'Hazard Values'!$I$13/BQ88</f>
        <v>28.776660892208884</v>
      </c>
      <c r="X88" s="428">
        <f>'Hazard Values'!$I$13/BR88</f>
        <v>86.329982676626685</v>
      </c>
      <c r="Y88" s="428">
        <f>'Hazard Values'!$I$13/(BQ88/$Z$5)</f>
        <v>143.88330446104445</v>
      </c>
      <c r="Z88" s="428">
        <f>'Hazard Values'!$I$13/(BR88/$Z$5)</f>
        <v>431.64991338313342</v>
      </c>
      <c r="AA88" s="428">
        <f>'Hazard Values'!$I$14/'Bridge Table'!BS88</f>
        <v>30.81021159525832</v>
      </c>
      <c r="AB88" s="428">
        <f>'Hazard Values'!$I$14/'Bridge Table'!BT88</f>
        <v>98.33046253805847</v>
      </c>
      <c r="AC88" s="428">
        <f>'Hazard Values'!$I$14/(BS88/$AD$5)</f>
        <v>154.05105797629159</v>
      </c>
      <c r="AD88" s="429">
        <f>'Hazard Values'!$I$14/(BT88/$AD$5)</f>
        <v>491.65231269029232</v>
      </c>
      <c r="AF88" s="427">
        <f>(1/((1/F88)+(1/$S$88)))</f>
        <v>21.341288564986769</v>
      </c>
      <c r="AG88" s="428">
        <f>(1/((1/G88)+(1/$T$88)))</f>
        <v>74.171792932124589</v>
      </c>
      <c r="AH88" s="428">
        <f>1/((1/(F88*$AI$5))+((1/($S$88*$AI$4))))</f>
        <v>116.18994688335546</v>
      </c>
      <c r="AI88" s="428">
        <f>1/((1/(G88*$AI$5))+((1/($T$88*$AI$4))))</f>
        <v>376.62380558169542</v>
      </c>
      <c r="AJ88" s="428">
        <f>(1/((1/J88)+(1/$W$88)))</f>
        <v>21.974821192818908</v>
      </c>
      <c r="AK88" s="428">
        <f>(1/((1/K88)+(1/$X$88)))</f>
        <v>82.210788625901742</v>
      </c>
      <c r="AL88" s="428">
        <f>1/((1/(J88*$AM$5))+(1/($W$88*$AM$4)))</f>
        <v>124.59970658063365</v>
      </c>
      <c r="AM88" s="428">
        <f>1/((1/(K88*$AM$5))+(1/($X$88*$AM$4)))</f>
        <v>421.10024198040702</v>
      </c>
      <c r="AN88" s="428">
        <f>(1/((1/N88)+(1/$AA$88)))</f>
        <v>23.527708557111453</v>
      </c>
      <c r="AO88" s="428">
        <f>(1/((1/O88)+(1/$AB$88)))</f>
        <v>93.638671300140558</v>
      </c>
      <c r="AP88" s="428">
        <f>1/((1/(N88*$AM$5))+(1/($AA$88*$AM$4)))</f>
        <v>133.40475251233178</v>
      </c>
      <c r="AQ88" s="429">
        <f>1/((1/(O88*$AM$5))+(1/($AB$88*$AM$4)))</f>
        <v>479.63616214222242</v>
      </c>
      <c r="BB88" s="418">
        <f>'Inhalation Exposure'!I86</f>
        <v>1.203125</v>
      </c>
      <c r="BC88" s="419">
        <f>'Inhalation Exposure'!J86</f>
        <v>6.4919010416666478E-2</v>
      </c>
      <c r="BD88" s="419">
        <f>'Inhalation Exposure'!K86</f>
        <v>0.81845238095238093</v>
      </c>
      <c r="BE88" s="419">
        <f>'Inhalation Exposure'!L86</f>
        <v>4.4162592120181275E-2</v>
      </c>
      <c r="BF88" s="419">
        <f>'Inhalation Exposure'!M86</f>
        <v>0.60019841269841268</v>
      </c>
      <c r="BG88" s="419">
        <f>'Inhalation Exposure'!N86</f>
        <v>3.2385900888132937E-2</v>
      </c>
      <c r="BH88" s="419">
        <f>'Inhalation Exposure'!O86</f>
        <v>0.56058382257012396</v>
      </c>
      <c r="BI88" s="448">
        <f>'Inhalation Exposure'!P86</f>
        <v>2.8433449721212603E-2</v>
      </c>
      <c r="BJ88" s="420"/>
      <c r="BK88" s="436">
        <v>6</v>
      </c>
      <c r="BL88" s="439" t="s">
        <v>285</v>
      </c>
      <c r="BM88" s="432" t="s">
        <v>73</v>
      </c>
      <c r="BN88" s="433" t="s">
        <v>73</v>
      </c>
      <c r="BO88" s="434">
        <f>'Dermal Exposure'!T57</f>
        <v>15.448125000000005</v>
      </c>
      <c r="BP88" s="435">
        <f>'Dermal Exposure'!U57</f>
        <v>5.149375</v>
      </c>
      <c r="BQ88" s="435">
        <f>'Dermal Exposure'!V57</f>
        <v>11.328625000000004</v>
      </c>
      <c r="BR88" s="435">
        <f>'Dermal Exposure'!W57</f>
        <v>3.7762083333333334</v>
      </c>
      <c r="BS88" s="435">
        <f>'Dermal Exposure'!X57</f>
        <v>10.580907534246577</v>
      </c>
      <c r="BT88" s="435">
        <f>'Dermal Exposure'!Y57</f>
        <v>3.3153510273972606</v>
      </c>
    </row>
    <row r="89" spans="1:72" ht="26" x14ac:dyDescent="0.3">
      <c r="A89" s="306">
        <v>6</v>
      </c>
      <c r="B89" s="643"/>
      <c r="C89" s="308" t="s">
        <v>54</v>
      </c>
      <c r="D89" s="206" t="s">
        <v>54</v>
      </c>
      <c r="E89" s="380" t="s">
        <v>107</v>
      </c>
      <c r="F89" s="424">
        <f>'Hazard Values'!$G$12/BD89</f>
        <v>2422.8650281400373</v>
      </c>
      <c r="G89" s="425">
        <f>'Hazard Values'!$G$12/BE89</f>
        <v>2422.8650281400373</v>
      </c>
      <c r="H89" s="425">
        <f t="shared" si="93"/>
        <v>24228.650281400372</v>
      </c>
      <c r="I89" s="425">
        <f t="shared" si="94"/>
        <v>24228.650281400372</v>
      </c>
      <c r="J89" s="425">
        <f>'Hazard Values'!$G$13/BF89</f>
        <v>1722.9719868761351</v>
      </c>
      <c r="K89" s="425">
        <f>'Hazard Values'!$G$13/BG89</f>
        <v>1722.9719868761351</v>
      </c>
      <c r="L89" s="425">
        <f t="shared" si="95"/>
        <v>17229.719868761353</v>
      </c>
      <c r="M89" s="425">
        <f t="shared" si="96"/>
        <v>17229.719868761353</v>
      </c>
      <c r="N89" s="425">
        <f>'Hazard Values'!$G$14/BH89</f>
        <v>1844.7286739487156</v>
      </c>
      <c r="O89" s="425">
        <f>'Hazard Values'!$G$14/BI89</f>
        <v>1962.4773127113995</v>
      </c>
      <c r="P89" s="425">
        <f t="shared" si="97"/>
        <v>18447.286739487157</v>
      </c>
      <c r="Q89" s="426">
        <f t="shared" si="98"/>
        <v>19624.773127113993</v>
      </c>
      <c r="S89" s="427">
        <f>'Hazard Values'!$I$12/'Bridge Table'!BO89</f>
        <v>76.514140065541937</v>
      </c>
      <c r="T89" s="428">
        <f>'Hazard Values'!$I$12/BP89</f>
        <v>76.514140065541937</v>
      </c>
      <c r="U89" s="428">
        <f>'Hazard Values'!$I$12/(BO89/'Bridge Table'!$V$5)</f>
        <v>382.57070032770963</v>
      </c>
      <c r="V89" s="428">
        <f>'Hazard Values'!$I$12/(BP89/'Bridge Table'!$V$5)</f>
        <v>382.57070032770963</v>
      </c>
      <c r="W89" s="428">
        <f>'Hazard Values'!$I$13/BQ89</f>
        <v>86.329982676626685</v>
      </c>
      <c r="X89" s="428">
        <f>'Hazard Values'!$I$13/BR89</f>
        <v>86.329982676626685</v>
      </c>
      <c r="Y89" s="428">
        <f>'Hazard Values'!$I$13/(BQ89/$Z$5)</f>
        <v>431.64991338313342</v>
      </c>
      <c r="Z89" s="428">
        <f>'Hazard Values'!$I$13/(BR89/$Z$5)</f>
        <v>431.64991338313342</v>
      </c>
      <c r="AA89" s="428">
        <f>'Hazard Values'!$I$14/'Bridge Table'!BS89</f>
        <v>92.43063478577497</v>
      </c>
      <c r="AB89" s="428">
        <f>'Hazard Values'!$I$14/'Bridge Table'!BT89</f>
        <v>98.33046253805847</v>
      </c>
      <c r="AC89" s="428">
        <f>'Hazard Values'!$I$14/(BS89/$AD$5)</f>
        <v>462.15317392887482</v>
      </c>
      <c r="AD89" s="429">
        <f>'Hazard Values'!$I$14/(BT89/$AD$5)</f>
        <v>491.65231269029232</v>
      </c>
      <c r="AF89" s="427">
        <f>AG89</f>
        <v>74.171792932124589</v>
      </c>
      <c r="AG89" s="428">
        <f t="shared" ref="AG89" si="123">(1/((1/G89)+(1/$T$88)))</f>
        <v>74.171792932124589</v>
      </c>
      <c r="AH89" s="428">
        <f>AI89</f>
        <v>376.62380558169542</v>
      </c>
      <c r="AI89" s="428">
        <f>1/((1/(G89*$AI$5))+((1/($T$88*$AI$4))))</f>
        <v>376.62380558169542</v>
      </c>
      <c r="AJ89" s="428">
        <f>AK89</f>
        <v>82.210788625901742</v>
      </c>
      <c r="AK89" s="428">
        <f t="shared" ref="AK89" si="124">(1/((1/K89)+(1/$X$88)))</f>
        <v>82.210788625901742</v>
      </c>
      <c r="AL89" s="428">
        <f>AM89</f>
        <v>421.10024198040702</v>
      </c>
      <c r="AM89" s="428">
        <f>1/((1/(K89*$AM$5))+(1/($X$88*$AM$4)))</f>
        <v>421.10024198040702</v>
      </c>
      <c r="AN89" s="428">
        <f>AO89</f>
        <v>93.638671300140558</v>
      </c>
      <c r="AO89" s="428">
        <f t="shared" ref="AO89" si="125">(1/((1/O89)+(1/$AB$88)))</f>
        <v>93.638671300140558</v>
      </c>
      <c r="AP89" s="428">
        <f>AQ89</f>
        <v>479.63616214222242</v>
      </c>
      <c r="AQ89" s="429">
        <f>1/((1/(O89*$AM$5))+(1/($AB$88*$AM$4)))</f>
        <v>479.63616214222242</v>
      </c>
      <c r="BB89" s="418">
        <f>'Inhalation Exposure'!I87</f>
        <v>6.4919010416666478E-2</v>
      </c>
      <c r="BC89" s="419">
        <f>'Inhalation Exposure'!J87</f>
        <v>6.4919010416666478E-2</v>
      </c>
      <c r="BD89" s="419">
        <f>'Inhalation Exposure'!K87</f>
        <v>4.4162592120181275E-2</v>
      </c>
      <c r="BE89" s="419">
        <f>'Inhalation Exposure'!L87</f>
        <v>4.4162592120181275E-2</v>
      </c>
      <c r="BF89" s="419">
        <f>'Inhalation Exposure'!M87</f>
        <v>3.2385900888132937E-2</v>
      </c>
      <c r="BG89" s="419">
        <f>'Inhalation Exposure'!N87</f>
        <v>3.2385900888132937E-2</v>
      </c>
      <c r="BH89" s="419">
        <f>'Inhalation Exposure'!O87</f>
        <v>3.0248350767247446E-2</v>
      </c>
      <c r="BI89" s="448">
        <f>'Inhalation Exposure'!P87</f>
        <v>2.8433449721212603E-2</v>
      </c>
      <c r="BJ89" s="420"/>
      <c r="BK89" s="436">
        <v>6</v>
      </c>
      <c r="BL89" s="439" t="s">
        <v>285</v>
      </c>
      <c r="BM89" s="432" t="s">
        <v>54</v>
      </c>
      <c r="BN89" s="433" t="s">
        <v>54</v>
      </c>
      <c r="BO89" s="434">
        <f>'Dermal Exposure'!T58</f>
        <v>5.149375</v>
      </c>
      <c r="BP89" s="435">
        <f>'Dermal Exposure'!U58</f>
        <v>5.149375</v>
      </c>
      <c r="BQ89" s="435">
        <f>'Dermal Exposure'!V58</f>
        <v>3.7762083333333334</v>
      </c>
      <c r="BR89" s="435">
        <f>'Dermal Exposure'!W58</f>
        <v>3.7762083333333334</v>
      </c>
      <c r="BS89" s="435">
        <f>'Dermal Exposure'!X58</f>
        <v>3.5269691780821919</v>
      </c>
      <c r="BT89" s="435">
        <f>'Dermal Exposure'!Y58</f>
        <v>3.3153510273972606</v>
      </c>
    </row>
    <row r="90" spans="1:72" ht="39" x14ac:dyDescent="0.3">
      <c r="A90" s="306">
        <v>6</v>
      </c>
      <c r="B90" s="641" t="s">
        <v>283</v>
      </c>
      <c r="C90" s="308" t="s">
        <v>73</v>
      </c>
      <c r="D90" s="206" t="s">
        <v>73</v>
      </c>
      <c r="E90" s="380" t="s">
        <v>107</v>
      </c>
      <c r="F90" s="424">
        <f>'Hazard Values'!$G$12/BD90</f>
        <v>1561.8010355650399</v>
      </c>
      <c r="G90" s="425">
        <f>'Hazard Values'!$G$12/BE90</f>
        <v>5379.953051574541</v>
      </c>
      <c r="H90" s="425">
        <f t="shared" si="93"/>
        <v>15618.0103556504</v>
      </c>
      <c r="I90" s="425">
        <f t="shared" si="94"/>
        <v>53799.530515745413</v>
      </c>
      <c r="J90" s="425">
        <f>'Hazard Values'!$G$13/BF90</f>
        <v>1110.6435571520294</v>
      </c>
      <c r="K90" s="425">
        <f>'Hazard Values'!$G$13/BG90</f>
        <v>3825.8459678571717</v>
      </c>
      <c r="L90" s="425">
        <f t="shared" si="95"/>
        <v>11106.435571520295</v>
      </c>
      <c r="M90" s="425">
        <f t="shared" si="96"/>
        <v>38258.459678571715</v>
      </c>
      <c r="N90" s="425">
        <f>'Hazard Values'!$G$14/BH90</f>
        <v>1189.1290351907728</v>
      </c>
      <c r="O90" s="425">
        <f>'Hazard Values'!$G$14/BI90</f>
        <v>4096.2057495857453</v>
      </c>
      <c r="P90" s="425">
        <f t="shared" si="97"/>
        <v>11891.290351907728</v>
      </c>
      <c r="Q90" s="426">
        <f t="shared" si="98"/>
        <v>40962.057495857451</v>
      </c>
      <c r="S90" s="427">
        <f>'Hazard Values'!$I$12/'Bridge Table'!BO90</f>
        <v>140.27592345349353</v>
      </c>
      <c r="T90" s="428">
        <f>'Hazard Values'!$I$12/BP90</f>
        <v>420.82777036048066</v>
      </c>
      <c r="U90" s="428">
        <f>'Hazard Values'!$I$12/(BO90/'Bridge Table'!$V$5)</f>
        <v>701.37961726746767</v>
      </c>
      <c r="V90" s="428">
        <f>'Hazard Values'!$I$12/(BP90/'Bridge Table'!$V$5)</f>
        <v>2104.1388518024037</v>
      </c>
      <c r="W90" s="428">
        <f>'Hazard Values'!$I$13/BQ90</f>
        <v>158.27163490714892</v>
      </c>
      <c r="X90" s="428">
        <f>'Hazard Values'!$I$13/BR90</f>
        <v>474.81490472144685</v>
      </c>
      <c r="Y90" s="428">
        <f>'Hazard Values'!$I$13/(BQ90/$Z$5)</f>
        <v>791.35817453574452</v>
      </c>
      <c r="Z90" s="428">
        <f>'Hazard Values'!$I$13/(BR90/$Z$5)</f>
        <v>2374.0745236072344</v>
      </c>
      <c r="AA90" s="428">
        <f>'Hazard Values'!$I$14/'Bridge Table'!BS90</f>
        <v>169.45616377392076</v>
      </c>
      <c r="AB90" s="428">
        <f>'Hazard Values'!$I$14/'Bridge Table'!BT90</f>
        <v>508.36849132176246</v>
      </c>
      <c r="AC90" s="428">
        <f>'Hazard Values'!$I$14/(BS90/$AD$5)</f>
        <v>847.28081886960388</v>
      </c>
      <c r="AD90" s="429">
        <f>'Hazard Values'!$I$14/(BT90/$AD$5)</f>
        <v>2541.842456608812</v>
      </c>
      <c r="AF90" s="427">
        <f>(1/((1/F90)+(1/$S$90)))</f>
        <v>128.71514496080019</v>
      </c>
      <c r="AG90" s="428">
        <f>(1/((1/G90)+(1/$T$90)))</f>
        <v>390.29808517794379</v>
      </c>
      <c r="AH90" s="428">
        <f>1/((1/(F90*$AI$5))+((1/($S$90*$AI$4))))</f>
        <v>671.23551455685003</v>
      </c>
      <c r="AI90" s="428">
        <f>1/((1/(G90*$AI$5))+((1/($T$90*$AI$4))))</f>
        <v>2024.9418982257844</v>
      </c>
      <c r="AJ90" s="428">
        <f>(1/((1/J90)+(1/$W$90)))</f>
        <v>138.5304334675703</v>
      </c>
      <c r="AK90" s="428">
        <f>(1/((1/K90)+(1/$X$90)))</f>
        <v>422.39291646770658</v>
      </c>
      <c r="AL90" s="428">
        <f>1/((1/(J90*$AM$5))+(1/($W$90*$AM$4)))</f>
        <v>738.72255369955906</v>
      </c>
      <c r="AM90" s="428">
        <f>1/((1/(K90*$AM$5))+(1/($X$90*$AM$4)))</f>
        <v>2235.3622834206826</v>
      </c>
      <c r="AN90" s="428">
        <f>(1/((1/N90)+(1/$AA$90)))</f>
        <v>148.3199174326119</v>
      </c>
      <c r="AO90" s="428">
        <f>(1/((1/O90)+(1/$AB$90)))</f>
        <v>452.24201589809121</v>
      </c>
      <c r="AP90" s="428">
        <f>1/((1/(N90*$AM$5))+(1/($AA$90*$AM$4)))</f>
        <v>790.92561416099443</v>
      </c>
      <c r="AQ90" s="429">
        <f>1/((1/(O90*$AM$5))+(1/($AB$90*$AM$4)))</f>
        <v>2393.3278847824113</v>
      </c>
      <c r="BB90" s="418">
        <f>'Inhalation Exposure'!I88</f>
        <v>0.10071065162477269</v>
      </c>
      <c r="BC90" s="419">
        <f>'Inhalation Exposure'!J88</f>
        <v>2.9236314609467868E-2</v>
      </c>
      <c r="BD90" s="419">
        <f>'Inhalation Exposure'!K88</f>
        <v>6.8510647363790964E-2</v>
      </c>
      <c r="BE90" s="419">
        <f>'Inhalation Exposure'!L88</f>
        <v>1.988864939419583E-2</v>
      </c>
      <c r="BF90" s="419">
        <f>'Inhalation Exposure'!M88</f>
        <v>5.0241141400113362E-2</v>
      </c>
      <c r="BG90" s="419">
        <f>'Inhalation Exposure'!N88</f>
        <v>1.4585009555743607E-2</v>
      </c>
      <c r="BH90" s="419">
        <f>'Inhalation Exposure'!O88</f>
        <v>4.6925100934103389E-2</v>
      </c>
      <c r="BI90" s="448">
        <f>'Inhalation Exposure'!P88</f>
        <v>1.3622362598764266E-2</v>
      </c>
      <c r="BJ90" s="420"/>
      <c r="BK90" s="436">
        <v>6</v>
      </c>
      <c r="BL90" s="439" t="s">
        <v>283</v>
      </c>
      <c r="BM90" s="432" t="s">
        <v>73</v>
      </c>
      <c r="BN90" s="433" t="s">
        <v>73</v>
      </c>
      <c r="BO90" s="434">
        <f>'Dermal Exposure'!T59</f>
        <v>2.8087500000000003</v>
      </c>
      <c r="BP90" s="435">
        <f>'Dermal Exposure'!U59</f>
        <v>0.93624999999999992</v>
      </c>
      <c r="BQ90" s="435">
        <f>'Dermal Exposure'!V59</f>
        <v>2.0597500000000002</v>
      </c>
      <c r="BR90" s="435">
        <f>'Dermal Exposure'!W59</f>
        <v>0.68658333333333321</v>
      </c>
      <c r="BS90" s="435">
        <f>'Dermal Exposure'!X59</f>
        <v>1.9238013698630139</v>
      </c>
      <c r="BT90" s="435">
        <f>'Dermal Exposure'!Y59</f>
        <v>0.6412671232876711</v>
      </c>
    </row>
    <row r="91" spans="1:72" ht="39" x14ac:dyDescent="0.3">
      <c r="A91" s="306">
        <v>6</v>
      </c>
      <c r="B91" s="643"/>
      <c r="C91" s="308" t="s">
        <v>54</v>
      </c>
      <c r="D91" s="206" t="s">
        <v>54</v>
      </c>
      <c r="E91" s="380" t="s">
        <v>107</v>
      </c>
      <c r="F91" s="424">
        <f>'Hazard Values'!$G$12/BD91</f>
        <v>37313.973297553137</v>
      </c>
      <c r="G91" s="425">
        <f>'Hazard Values'!$G$12/BE91</f>
        <v>293164.56990530889</v>
      </c>
      <c r="H91" s="425">
        <f t="shared" si="93"/>
        <v>373139.73297553137</v>
      </c>
      <c r="I91" s="425">
        <f t="shared" si="94"/>
        <v>2931645.6990530891</v>
      </c>
      <c r="J91" s="425">
        <f>'Hazard Values'!$G$13/BF91</f>
        <v>26535.085514062841</v>
      </c>
      <c r="K91" s="425">
        <f>'Hazard Values'!$G$13/BG91</f>
        <v>208478.11810598432</v>
      </c>
      <c r="L91" s="425">
        <f t="shared" si="95"/>
        <v>265350.85514062841</v>
      </c>
      <c r="M91" s="425">
        <f t="shared" si="96"/>
        <v>2084781.1810598432</v>
      </c>
      <c r="N91" s="425">
        <f>'Hazard Values'!$G$14/BH91</f>
        <v>28410.23155705661</v>
      </c>
      <c r="O91" s="425">
        <f>'Hazard Values'!$G$14/BI91</f>
        <v>223210.57178547382</v>
      </c>
      <c r="P91" s="425">
        <f t="shared" si="97"/>
        <v>284102.3155705661</v>
      </c>
      <c r="Q91" s="426">
        <f>O91*$Q$5</f>
        <v>2232105.7178547382</v>
      </c>
      <c r="S91" s="427">
        <f>'Hazard Values'!$I$12/'Bridge Table'!BO91</f>
        <v>420.82777036048066</v>
      </c>
      <c r="T91" s="428">
        <f>'Hazard Values'!$I$12/BP91</f>
        <v>420.82777036048066</v>
      </c>
      <c r="U91" s="428">
        <f>'Hazard Values'!$I$12/(BO91/'Bridge Table'!$V$5)</f>
        <v>2104.1388518024037</v>
      </c>
      <c r="V91" s="428">
        <f>'Hazard Values'!$I$12/(BP91/'Bridge Table'!$V$5)</f>
        <v>2104.1388518024037</v>
      </c>
      <c r="W91" s="428">
        <f>'Hazard Values'!$I$13/BQ91</f>
        <v>474.81490472144685</v>
      </c>
      <c r="X91" s="428">
        <f>'Hazard Values'!$I$13/BR91</f>
        <v>474.81490472144685</v>
      </c>
      <c r="Y91" s="428">
        <f>'Hazard Values'!$I$13/(BQ91/$Z$5)</f>
        <v>2374.0745236072344</v>
      </c>
      <c r="Z91" s="428">
        <f>'Hazard Values'!$I$13/(BR91/$Z$5)</f>
        <v>2374.0745236072344</v>
      </c>
      <c r="AA91" s="428">
        <f>'Hazard Values'!$I$14/'Bridge Table'!BS91</f>
        <v>508.36849132176246</v>
      </c>
      <c r="AB91" s="428">
        <f>'Hazard Values'!$I$14/'Bridge Table'!BT91</f>
        <v>508.36849132176246</v>
      </c>
      <c r="AC91" s="428">
        <f>'Hazard Values'!$I$14/(BS91/$AD$5)</f>
        <v>2541.842456608812</v>
      </c>
      <c r="AD91" s="429">
        <f>'Hazard Values'!$I$14/(BT91/$AD$5)</f>
        <v>2541.842456608812</v>
      </c>
      <c r="AF91" s="427">
        <f>AG91</f>
        <v>420.22455230635182</v>
      </c>
      <c r="AG91" s="428">
        <f t="shared" ref="AG91" si="126">(1/((1/G91)+(1/$T$90)))</f>
        <v>420.22455230635182</v>
      </c>
      <c r="AH91" s="428">
        <f>AI91</f>
        <v>2102.6297250696257</v>
      </c>
      <c r="AI91" s="428">
        <f>1/((1/(G91*$AI$5))+((1/($T$90*$AI$4))))</f>
        <v>2102.6297250696257</v>
      </c>
      <c r="AJ91" s="428">
        <f>AK91</f>
        <v>473.73595746525268</v>
      </c>
      <c r="AK91" s="428">
        <f t="shared" ref="AK91" si="127">(1/((1/K91)+(1/$X$90)))</f>
        <v>473.73595746525268</v>
      </c>
      <c r="AL91" s="428">
        <f>AM91</f>
        <v>2371.3740872939497</v>
      </c>
      <c r="AM91" s="428">
        <f>1/((1/(K91*$AM$5))+(1/($X$90*$AM$4)))</f>
        <v>2371.3740872939497</v>
      </c>
      <c r="AN91" s="428">
        <f>AO91</f>
        <v>507.21329845946389</v>
      </c>
      <c r="AO91" s="428">
        <f t="shared" ref="AO91" si="128">(1/((1/O91)+(1/$AB$90)))</f>
        <v>507.21329845946389</v>
      </c>
      <c r="AP91" s="428">
        <f>AQ91</f>
        <v>2538.9511894627221</v>
      </c>
      <c r="AQ91" s="429">
        <f>1/((1/(O91*$AM$5))+(1/($AB$90*$AM$4)))</f>
        <v>2538.9511894627221</v>
      </c>
      <c r="BB91" s="418">
        <f>'Inhalation Exposure'!I89</f>
        <v>4.215310943857976E-3</v>
      </c>
      <c r="BC91" s="419">
        <f>'Inhalation Exposure'!J89</f>
        <v>5.36524587711278E-4</v>
      </c>
      <c r="BD91" s="419">
        <f>'Inhalation Exposure'!K89</f>
        <v>2.8675584652095069E-3</v>
      </c>
      <c r="BE91" s="419">
        <f>'Inhalation Exposure'!L89</f>
        <v>3.6498271272876058E-4</v>
      </c>
      <c r="BF91" s="419">
        <f>'Inhalation Exposure'!M89</f>
        <v>2.1028762078203057E-3</v>
      </c>
      <c r="BG91" s="419">
        <f>'Inhalation Exposure'!N89</f>
        <v>2.6765398933442441E-4</v>
      </c>
      <c r="BH91" s="419">
        <f>'Inhalation Exposure'!O89</f>
        <v>1.9640811405544577E-3</v>
      </c>
      <c r="BI91" s="448">
        <f>'Inhalation Exposure'!P89</f>
        <v>2.499881594032607E-4</v>
      </c>
      <c r="BJ91" s="420"/>
      <c r="BK91" s="436">
        <v>6</v>
      </c>
      <c r="BL91" s="439" t="s">
        <v>283</v>
      </c>
      <c r="BM91" s="432" t="s">
        <v>54</v>
      </c>
      <c r="BN91" s="433" t="s">
        <v>54</v>
      </c>
      <c r="BO91" s="434">
        <f>'Dermal Exposure'!T60</f>
        <v>0.93624999999999992</v>
      </c>
      <c r="BP91" s="435">
        <f>'Dermal Exposure'!U60</f>
        <v>0.93624999999999992</v>
      </c>
      <c r="BQ91" s="435">
        <f>'Dermal Exposure'!V60</f>
        <v>0.68658333333333321</v>
      </c>
      <c r="BR91" s="435">
        <f>'Dermal Exposure'!W60</f>
        <v>0.68658333333333321</v>
      </c>
      <c r="BS91" s="435">
        <f>'Dermal Exposure'!X60</f>
        <v>0.6412671232876711</v>
      </c>
      <c r="BT91" s="435">
        <f>'Dermal Exposure'!Y60</f>
        <v>0.6412671232876711</v>
      </c>
    </row>
    <row r="92" spans="1:72" ht="52" x14ac:dyDescent="0.3">
      <c r="A92" s="306">
        <v>6</v>
      </c>
      <c r="B92" s="641" t="s">
        <v>284</v>
      </c>
      <c r="C92" s="308" t="s">
        <v>73</v>
      </c>
      <c r="D92" s="206" t="s">
        <v>73</v>
      </c>
      <c r="E92" s="380" t="s">
        <v>107</v>
      </c>
      <c r="F92" s="424">
        <f>'Hazard Values'!$G$12/BD92</f>
        <v>18.984832210595076</v>
      </c>
      <c r="G92" s="425">
        <f>'Hazard Values'!$G$12/BE92</f>
        <v>126.53768486143248</v>
      </c>
      <c r="H92" s="425">
        <f t="shared" si="93"/>
        <v>189.84832210595076</v>
      </c>
      <c r="I92" s="425">
        <f t="shared" si="94"/>
        <v>1265.3768486143249</v>
      </c>
      <c r="J92" s="425">
        <f>'Hazard Values'!$G$13/BF92</f>
        <v>13.500683568621987</v>
      </c>
      <c r="K92" s="425">
        <f>'Hazard Values'!$G$13/BG92</f>
        <v>89.984742760423927</v>
      </c>
      <c r="L92" s="425">
        <f t="shared" si="95"/>
        <v>135.00683568621986</v>
      </c>
      <c r="M92" s="425">
        <f t="shared" si="96"/>
        <v>899.84742760423933</v>
      </c>
      <c r="N92" s="425">
        <f>'Hazard Values'!$G$14/BH92</f>
        <v>14.454731874137938</v>
      </c>
      <c r="O92" s="425">
        <f>'Hazard Values'!$G$14/BI92</f>
        <v>96.343664582160557</v>
      </c>
      <c r="P92" s="425">
        <f t="shared" si="97"/>
        <v>144.54731874137937</v>
      </c>
      <c r="Q92" s="426">
        <f t="shared" si="98"/>
        <v>963.43664582160557</v>
      </c>
      <c r="S92" s="427">
        <f>'Hazard Values'!$I$12/'Bridge Table'!BO92</f>
        <v>28.055184690698709</v>
      </c>
      <c r="T92" s="428">
        <f>'Hazard Values'!$I$12/BP92</f>
        <v>84.165554072096128</v>
      </c>
      <c r="U92" s="428">
        <f>'Hazard Values'!$I$12/(BO92/'Bridge Table'!$V$5)</f>
        <v>140.27592345349356</v>
      </c>
      <c r="V92" s="428">
        <f>'Hazard Values'!$I$12/(BP92/'Bridge Table'!$V$5)</f>
        <v>420.82777036048066</v>
      </c>
      <c r="W92" s="428">
        <f>'Hazard Values'!$I$13/BQ92</f>
        <v>31.654326981429787</v>
      </c>
      <c r="X92" s="428">
        <f>'Hazard Values'!$I$13/BR92</f>
        <v>94.962980944289356</v>
      </c>
      <c r="Y92" s="428">
        <f>'Hazard Values'!$I$13/(BQ92/$Z$5)</f>
        <v>158.27163490714892</v>
      </c>
      <c r="Z92" s="428">
        <f>'Hazard Values'!$I$13/(BR92/$Z$5)</f>
        <v>474.81490472144679</v>
      </c>
      <c r="AA92" s="428">
        <f>'Hazard Values'!$I$14/'Bridge Table'!BS92</f>
        <v>33.891232754784156</v>
      </c>
      <c r="AB92" s="428">
        <f>'Hazard Values'!$I$14/'Bridge Table'!BT92</f>
        <v>101.67369826435247</v>
      </c>
      <c r="AC92" s="428">
        <f>'Hazard Values'!$I$14/(BS92/$AD$5)</f>
        <v>169.45616377392079</v>
      </c>
      <c r="AD92" s="429">
        <f>'Hazard Values'!$I$14/(BT92/$AD$5)</f>
        <v>508.36849132176235</v>
      </c>
      <c r="AF92" s="427">
        <f>(1/((1/F92)+(1/$S$92)))</f>
        <v>11.32276323598688</v>
      </c>
      <c r="AG92" s="428">
        <f>(1/((1/G92)+(1/$T$92)))</f>
        <v>50.545565465761968</v>
      </c>
      <c r="AH92" s="428">
        <f>1/((1/(F92*$AI$5))+((1/($S$92*$AI$4))))</f>
        <v>80.670078183376432</v>
      </c>
      <c r="AI92" s="428">
        <f>1/((1/(G92*$AI$5))+((1/($T$92*$AI$4))))</f>
        <v>315.80136353314919</v>
      </c>
      <c r="AJ92" s="428">
        <f>(1/((1/J92)+(1/$W$92)))</f>
        <v>9.4641778829899259</v>
      </c>
      <c r="AK92" s="428">
        <f>(1/((1/K92)+(1/$X$92)))</f>
        <v>46.203431114827751</v>
      </c>
      <c r="AL92" s="428">
        <f>1/((1/(J92*$AM$5))+(1/($W$92*$AM$4)))</f>
        <v>72.858237989536121</v>
      </c>
      <c r="AM92" s="428">
        <f>1/((1/(K92*$AM$5))+(1/($X$92*$AM$4)))</f>
        <v>310.81157936356317</v>
      </c>
      <c r="AN92" s="428">
        <f>(1/((1/N92)+(1/$AA$92)))</f>
        <v>10.132979786721211</v>
      </c>
      <c r="AO92" s="428">
        <f>(1/((1/O92)+(1/$AB$92)))</f>
        <v>49.468473580275585</v>
      </c>
      <c r="AP92" s="428">
        <f>1/((1/(N92*$AM$5))+(1/($AA$92*$AM$4)))</f>
        <v>78.006886807463331</v>
      </c>
      <c r="AQ92" s="429">
        <f>1/((1/(O92*$AM$5))+(1/($AB$92*$AM$4)))</f>
        <v>332.77559763858835</v>
      </c>
      <c r="BB92" s="418">
        <f>'Inhalation Exposure'!I90</f>
        <v>8.2850350350855031</v>
      </c>
      <c r="BC92" s="419">
        <f>'Inhalation Exposure'!J90</f>
        <v>1.2430289061495272</v>
      </c>
      <c r="BD92" s="419">
        <f>'Inhalation Exposure'!K90</f>
        <v>5.6360782551602071</v>
      </c>
      <c r="BE92" s="419">
        <f>'Inhalation Exposure'!L90</f>
        <v>0.84559789533981444</v>
      </c>
      <c r="BF92" s="419">
        <f>'Inhalation Exposure'!M90</f>
        <v>4.1331240537841518</v>
      </c>
      <c r="BG92" s="419">
        <f>'Inhalation Exposure'!N90</f>
        <v>0.62010512324919731</v>
      </c>
      <c r="BH92" s="419">
        <f>'Inhalation Exposure'!O90</f>
        <v>3.8603275720275398</v>
      </c>
      <c r="BI92" s="448">
        <f>'Inhalation Exposure'!P90</f>
        <v>0.57917664064370855</v>
      </c>
      <c r="BJ92" s="420"/>
      <c r="BK92" s="436">
        <v>6</v>
      </c>
      <c r="BL92" s="439" t="s">
        <v>284</v>
      </c>
      <c r="BM92" s="432" t="s">
        <v>73</v>
      </c>
      <c r="BN92" s="433" t="s">
        <v>73</v>
      </c>
      <c r="BO92" s="434">
        <f>'Dermal Exposure'!T61</f>
        <v>14.043749999999999</v>
      </c>
      <c r="BP92" s="435">
        <f>'Dermal Exposure'!U61</f>
        <v>4.6812500000000004</v>
      </c>
      <c r="BQ92" s="435">
        <f>'Dermal Exposure'!V61</f>
        <v>10.29875</v>
      </c>
      <c r="BR92" s="435">
        <f>'Dermal Exposure'!W61</f>
        <v>3.4329166666666668</v>
      </c>
      <c r="BS92" s="435">
        <f>'Dermal Exposure'!X61</f>
        <v>9.6190068493150687</v>
      </c>
      <c r="BT92" s="435">
        <f>'Dermal Exposure'!Y61</f>
        <v>3.2063356164383561</v>
      </c>
    </row>
    <row r="93" spans="1:72" ht="52" x14ac:dyDescent="0.3">
      <c r="A93" s="306">
        <v>6</v>
      </c>
      <c r="B93" s="643"/>
      <c r="C93" s="308" t="s">
        <v>54</v>
      </c>
      <c r="D93" s="206" t="s">
        <v>54</v>
      </c>
      <c r="E93" s="380" t="s">
        <v>107</v>
      </c>
      <c r="F93" s="424">
        <f>'Hazard Values'!$G$12/BD93</f>
        <v>25.129941117838861</v>
      </c>
      <c r="G93" s="425">
        <f>'Hazard Values'!$G$12/BE93</f>
        <v>223.28768412275755</v>
      </c>
      <c r="H93" s="425">
        <f t="shared" si="93"/>
        <v>251.2994111783886</v>
      </c>
      <c r="I93" s="425">
        <f t="shared" si="94"/>
        <v>2232.8768412275754</v>
      </c>
      <c r="J93" s="425">
        <f>'Hazard Values'!$G$13/BF93</f>
        <v>17.87065481362033</v>
      </c>
      <c r="K93" s="425">
        <f>'Hazard Values'!$G$13/BG93</f>
        <v>158.78656891312497</v>
      </c>
      <c r="L93" s="425">
        <f t="shared" si="95"/>
        <v>178.70654813620331</v>
      </c>
      <c r="M93" s="425">
        <f t="shared" si="96"/>
        <v>1587.8656891312496</v>
      </c>
      <c r="N93" s="425">
        <f>'Hazard Values'!$G$14/BH93</f>
        <v>19.133514420449501</v>
      </c>
      <c r="O93" s="425">
        <f>'Hazard Values'!$G$14/BI93</f>
        <v>170.00748644965242</v>
      </c>
      <c r="P93" s="425">
        <f t="shared" si="97"/>
        <v>191.33514420449501</v>
      </c>
      <c r="Q93" s="426">
        <f t="shared" si="98"/>
        <v>1700.0748644965242</v>
      </c>
      <c r="S93" s="427">
        <f>'Hazard Values'!$I$12/'Bridge Table'!BO93</f>
        <v>84.165554072096128</v>
      </c>
      <c r="T93" s="428">
        <f>'Hazard Values'!$I$12/BP93</f>
        <v>84.165554072096128</v>
      </c>
      <c r="U93" s="428">
        <f>'Hazard Values'!$I$12/(BO93/'Bridge Table'!$V$5)</f>
        <v>420.82777036048066</v>
      </c>
      <c r="V93" s="428">
        <f>'Hazard Values'!$I$12/(BP93/'Bridge Table'!$V$5)</f>
        <v>420.82777036048066</v>
      </c>
      <c r="W93" s="428">
        <f>'Hazard Values'!$I$13/BQ93</f>
        <v>94.962980944289356</v>
      </c>
      <c r="X93" s="428">
        <f>'Hazard Values'!$I$13/BR93</f>
        <v>94.962980944289356</v>
      </c>
      <c r="Y93" s="428">
        <f>'Hazard Values'!$I$13/(BQ93/$Z$5)</f>
        <v>474.81490472144679</v>
      </c>
      <c r="Z93" s="428">
        <f>'Hazard Values'!$I$13/(BR93/$Z$5)</f>
        <v>474.81490472144679</v>
      </c>
      <c r="AA93" s="428">
        <f>'Hazard Values'!$I$14/'Bridge Table'!BS93</f>
        <v>101.67369826435247</v>
      </c>
      <c r="AB93" s="428">
        <f>'Hazard Values'!$I$14/'Bridge Table'!BT93</f>
        <v>101.67369826435247</v>
      </c>
      <c r="AC93" s="428">
        <f>'Hazard Values'!$I$14/(BS93/$AD$5)</f>
        <v>508.36849132176235</v>
      </c>
      <c r="AD93" s="429">
        <f>'Hazard Values'!$I$14/(BT93/$AD$5)</f>
        <v>508.36849132176235</v>
      </c>
      <c r="AF93" s="427">
        <f>AG93</f>
        <v>61.125170650362797</v>
      </c>
      <c r="AG93" s="428">
        <f t="shared" ref="AG93" si="129">(1/((1/G93)+(1/$T$92)))</f>
        <v>61.125170650362797</v>
      </c>
      <c r="AH93" s="428">
        <f>AI93</f>
        <v>354.09238031999161</v>
      </c>
      <c r="AI93" s="428">
        <f>1/((1/(G93*$AI$5))+((1/($T$92*$AI$4))))</f>
        <v>354.09238031999161</v>
      </c>
      <c r="AJ93" s="428">
        <f>AK93</f>
        <v>59.424128737880338</v>
      </c>
      <c r="AK93" s="428">
        <f t="shared" ref="AK93" si="130">(1/((1/K93)+(1/$X$92)))</f>
        <v>59.424128737880338</v>
      </c>
      <c r="AL93" s="428">
        <f>AM93</f>
        <v>365.51577502704254</v>
      </c>
      <c r="AM93" s="428">
        <f>1/((1/(K93*$AM$5))+(1/($X$92*$AM$4)))</f>
        <v>365.51577502704254</v>
      </c>
      <c r="AN93" s="428">
        <f>AO93</f>
        <v>63.623433835357211</v>
      </c>
      <c r="AO93" s="428">
        <f t="shared" ref="AO93" si="131">(1/((1/O93)+(1/$AB$92)))</f>
        <v>63.623433835357211</v>
      </c>
      <c r="AP93" s="428">
        <f>AQ93</f>
        <v>391.34555646228688</v>
      </c>
      <c r="AQ93" s="429">
        <f>1/((1/(O93*$AM$5))+(1/($AB$92*$AM$4)))</f>
        <v>391.34555646228688</v>
      </c>
      <c r="BB93" s="418">
        <f>'Inhalation Exposure'!I91</f>
        <v>6.259067590426838</v>
      </c>
      <c r="BC93" s="419">
        <f>'Inhalation Exposure'!J91</f>
        <v>0.70442756669698892</v>
      </c>
      <c r="BD93" s="419">
        <f>'Inhalation Exposure'!K91</f>
        <v>4.2578691091339032</v>
      </c>
      <c r="BE93" s="419">
        <f>'Inhalation Exposure'!L91</f>
        <v>0.47920242632448229</v>
      </c>
      <c r="BF93" s="419">
        <f>'Inhalation Exposure'!M91</f>
        <v>3.1224373466981956</v>
      </c>
      <c r="BG93" s="419">
        <f>'Inhalation Exposure'!N91</f>
        <v>0.35141511263795366</v>
      </c>
      <c r="BH93" s="419">
        <f>'Inhalation Exposure'!O91</f>
        <v>2.9163487048862349</v>
      </c>
      <c r="BI93" s="448">
        <f>'Inhalation Exposure'!P91</f>
        <v>0.32822083994827561</v>
      </c>
      <c r="BJ93" s="420"/>
      <c r="BK93" s="436">
        <v>6</v>
      </c>
      <c r="BL93" s="439" t="s">
        <v>284</v>
      </c>
      <c r="BM93" s="432" t="s">
        <v>54</v>
      </c>
      <c r="BN93" s="433" t="s">
        <v>54</v>
      </c>
      <c r="BO93" s="434">
        <f>'Dermal Exposure'!T62</f>
        <v>4.6812500000000004</v>
      </c>
      <c r="BP93" s="435">
        <f>'Dermal Exposure'!U62</f>
        <v>4.6812500000000004</v>
      </c>
      <c r="BQ93" s="435">
        <f>'Dermal Exposure'!V62</f>
        <v>3.4329166666666668</v>
      </c>
      <c r="BR93" s="435">
        <f>'Dermal Exposure'!W62</f>
        <v>3.4329166666666668</v>
      </c>
      <c r="BS93" s="435">
        <f>'Dermal Exposure'!X62</f>
        <v>3.2063356164383561</v>
      </c>
      <c r="BT93" s="435">
        <f>'Dermal Exposure'!Y62</f>
        <v>3.2063356164383561</v>
      </c>
    </row>
    <row r="94" spans="1:72" ht="26" x14ac:dyDescent="0.3">
      <c r="A94" s="306">
        <v>6</v>
      </c>
      <c r="B94" s="641" t="s">
        <v>250</v>
      </c>
      <c r="C94" s="308" t="s">
        <v>73</v>
      </c>
      <c r="D94" s="206" t="s">
        <v>73</v>
      </c>
      <c r="E94" s="380" t="s">
        <v>107</v>
      </c>
      <c r="F94" s="424">
        <f>'Hazard Values'!$G$12/BD94</f>
        <v>1850.4705882352941</v>
      </c>
      <c r="G94" s="425">
        <f>'Hazard Values'!$G$12/BE94</f>
        <v>29127.777777777781</v>
      </c>
      <c r="H94" s="425">
        <f t="shared" si="93"/>
        <v>18504.705882352941</v>
      </c>
      <c r="I94" s="425">
        <f t="shared" si="94"/>
        <v>291277.77777777781</v>
      </c>
      <c r="J94" s="425">
        <f>'Hazard Values'!$G$13/BF94</f>
        <v>1315.9251336898394</v>
      </c>
      <c r="K94" s="425">
        <f>'Hazard Values'!$G$13/BG94</f>
        <v>20713.636363636368</v>
      </c>
      <c r="L94" s="425">
        <f t="shared" si="95"/>
        <v>13159.251336898395</v>
      </c>
      <c r="M94" s="425">
        <f t="shared" si="96"/>
        <v>207136.36363636368</v>
      </c>
      <c r="N94" s="425">
        <f>'Hazard Values'!$G$14/BH94</f>
        <v>1408.9171764705882</v>
      </c>
      <c r="O94" s="425">
        <f>'Hazard Values'!$G$14/BI94</f>
        <v>22177.400000000005</v>
      </c>
      <c r="P94" s="425">
        <f t="shared" si="97"/>
        <v>14089.171764705881</v>
      </c>
      <c r="Q94" s="426">
        <f t="shared" si="98"/>
        <v>221774.00000000006</v>
      </c>
      <c r="S94" s="427">
        <f>'Hazard Values'!$I$12/'Bridge Table'!BO94</f>
        <v>280.55184690698707</v>
      </c>
      <c r="T94" s="428">
        <f>'Hazard Values'!$I$12/BP94</f>
        <v>841.65554072096131</v>
      </c>
      <c r="U94" s="428">
        <f>'Hazard Values'!$I$12/(BO94/'Bridge Table'!$V$5)</f>
        <v>1402.7592345349353</v>
      </c>
      <c r="V94" s="428">
        <f>'Hazard Values'!$I$12/(BP94/'Bridge Table'!$V$5)</f>
        <v>4208.2777036048074</v>
      </c>
      <c r="W94" s="428">
        <f>'Hazard Values'!$I$13/BQ94</f>
        <v>316.54326981429784</v>
      </c>
      <c r="X94" s="428">
        <f>'Hazard Values'!$I$13/BR94</f>
        <v>949.6298094428937</v>
      </c>
      <c r="Y94" s="428">
        <f>'Hazard Values'!$I$13/(BQ94/$Z$5)</f>
        <v>1582.716349071489</v>
      </c>
      <c r="Z94" s="428">
        <f>'Hazard Values'!$I$13/(BR94/$Z$5)</f>
        <v>4748.1490472144687</v>
      </c>
      <c r="AA94" s="428">
        <f>'Hazard Values'!$I$14/'Bridge Table'!BS94</f>
        <v>338.91232754784153</v>
      </c>
      <c r="AB94" s="428">
        <f>'Hazard Values'!$I$14/'Bridge Table'!BT94</f>
        <v>1016.7369826435249</v>
      </c>
      <c r="AC94" s="428">
        <f>'Hazard Values'!$I$14/(BS94/$AD$5)</f>
        <v>1694.5616377392078</v>
      </c>
      <c r="AD94" s="429">
        <f>'Hazard Values'!$I$14/(BT94/$AD$5)</f>
        <v>5083.6849132176239</v>
      </c>
      <c r="AF94" s="427">
        <f>(1/((1/F94)+(1/$S$94)))</f>
        <v>243.61683510000609</v>
      </c>
      <c r="AG94" s="428">
        <f>(1/((1/G94)+(1/$T$94)))</f>
        <v>818.01865570889004</v>
      </c>
      <c r="AH94" s="428">
        <f>1/((1/(F94*$AI$5))+((1/($S$94*$AI$4))))</f>
        <v>1303.9152351347418</v>
      </c>
      <c r="AI94" s="428">
        <f>1/((1/(G94*$AI$5))+((1/($T$94*$AI$4))))</f>
        <v>4148.3439067228983</v>
      </c>
      <c r="AJ94" s="428">
        <f>(1/((1/J94)+(1/$W$94)))</f>
        <v>255.16404712940783</v>
      </c>
      <c r="AK94" s="428">
        <f>(1/((1/K94)+(1/$X$94)))</f>
        <v>908.00188649823633</v>
      </c>
      <c r="AL94" s="428">
        <f>1/((1/(J94*$AM$5))+(1/($W$94*$AM$4)))</f>
        <v>1412.7939143613512</v>
      </c>
      <c r="AM94" s="428">
        <f>1/((1/(K94*$AM$5))+(1/($X$94*$AM$4)))</f>
        <v>4641.7471252947125</v>
      </c>
      <c r="AN94" s="428">
        <f>(1/((1/N94)+(1/$AA$94)))</f>
        <v>273.19563979321924</v>
      </c>
      <c r="AO94" s="428">
        <f>(1/((1/O94)+(1/$AB$94)))</f>
        <v>972.16735314411187</v>
      </c>
      <c r="AP94" s="428">
        <f>1/((1/(N94*$AM$5))+(1/($AA$94*$AM$4)))</f>
        <v>1512.6313509762194</v>
      </c>
      <c r="AQ94" s="429">
        <f>1/((1/(O94*$AM$5))+(1/($AB$94*$AM$4)))</f>
        <v>4969.7639221488726</v>
      </c>
      <c r="BB94" s="418">
        <f>'Inhalation Exposure'!I92</f>
        <v>8.5000000000000006E-2</v>
      </c>
      <c r="BC94" s="419">
        <f>'Inhalation Exposure'!J92</f>
        <v>5.3999999999999994E-3</v>
      </c>
      <c r="BD94" s="419">
        <f>'Inhalation Exposure'!K92</f>
        <v>5.7823129251700682E-2</v>
      </c>
      <c r="BE94" s="419">
        <f>'Inhalation Exposure'!L92</f>
        <v>3.6734693877551014E-3</v>
      </c>
      <c r="BF94" s="419">
        <f>'Inhalation Exposure'!M92</f>
        <v>4.2403628117913837E-2</v>
      </c>
      <c r="BG94" s="419">
        <f>'Inhalation Exposure'!N92</f>
        <v>2.6938775510204076E-3</v>
      </c>
      <c r="BH94" s="419">
        <f>'Inhalation Exposure'!O92</f>
        <v>3.9604883049110057E-2</v>
      </c>
      <c r="BI94" s="448">
        <f>'Inhalation Exposure'!P92</f>
        <v>2.5160749231199321E-3</v>
      </c>
      <c r="BJ94" s="420"/>
      <c r="BK94" s="436">
        <v>6</v>
      </c>
      <c r="BL94" s="439" t="s">
        <v>250</v>
      </c>
      <c r="BM94" s="432" t="s">
        <v>73</v>
      </c>
      <c r="BN94" s="433" t="s">
        <v>73</v>
      </c>
      <c r="BO94" s="434">
        <f>'Dermal Exposure'!T63</f>
        <v>1.4043750000000002</v>
      </c>
      <c r="BP94" s="435">
        <f>'Dermal Exposure'!U63</f>
        <v>0.46812499999999996</v>
      </c>
      <c r="BQ94" s="435">
        <f>'Dermal Exposure'!V63</f>
        <v>1.0298750000000001</v>
      </c>
      <c r="BR94" s="435">
        <f>'Dermal Exposure'!W63</f>
        <v>0.34329166666666661</v>
      </c>
      <c r="BS94" s="435">
        <f>'Dermal Exposure'!X63</f>
        <v>0.96190068493150693</v>
      </c>
      <c r="BT94" s="435">
        <f>'Dermal Exposure'!Y63</f>
        <v>0.32063356164383555</v>
      </c>
    </row>
    <row r="95" spans="1:72" ht="26" x14ac:dyDescent="0.3">
      <c r="A95" s="306">
        <v>6</v>
      </c>
      <c r="B95" s="643"/>
      <c r="C95" s="308" t="s">
        <v>54</v>
      </c>
      <c r="D95" s="206" t="s">
        <v>54</v>
      </c>
      <c r="E95" s="380" t="s">
        <v>107</v>
      </c>
      <c r="F95" s="424">
        <f>'Hazard Values'!$G$12/BD95</f>
        <v>29127.777777777781</v>
      </c>
      <c r="G95" s="425">
        <f>'Hazard Values'!$G$12/BE95</f>
        <v>29127.777777777781</v>
      </c>
      <c r="H95" s="425">
        <f t="shared" si="93"/>
        <v>291277.77777777781</v>
      </c>
      <c r="I95" s="425">
        <f t="shared" si="94"/>
        <v>291277.77777777781</v>
      </c>
      <c r="J95" s="425">
        <f>'Hazard Values'!$G$13/BF95</f>
        <v>20713.636363636368</v>
      </c>
      <c r="K95" s="425">
        <f>'Hazard Values'!$G$13/BG95</f>
        <v>20713.636363636368</v>
      </c>
      <c r="L95" s="425">
        <f t="shared" si="95"/>
        <v>207136.36363636368</v>
      </c>
      <c r="M95" s="425">
        <f t="shared" si="96"/>
        <v>207136.36363636368</v>
      </c>
      <c r="N95" s="425">
        <f>'Hazard Values'!$G$14/BH95</f>
        <v>22177.400000000005</v>
      </c>
      <c r="O95" s="425">
        <f>'Hazard Values'!$G$14/BI95</f>
        <v>22177.400000000005</v>
      </c>
      <c r="P95" s="425">
        <f t="shared" si="97"/>
        <v>221774.00000000006</v>
      </c>
      <c r="Q95" s="426">
        <f t="shared" si="98"/>
        <v>221774.00000000006</v>
      </c>
      <c r="S95" s="427">
        <f>'Hazard Values'!$I$12/'Bridge Table'!BO95</f>
        <v>841.65554072096131</v>
      </c>
      <c r="T95" s="428">
        <f>'Hazard Values'!$I$12/BP95</f>
        <v>841.65554072096131</v>
      </c>
      <c r="U95" s="428">
        <f>'Hazard Values'!$I$12/(BO95/'Bridge Table'!$V$5)</f>
        <v>4208.2777036048074</v>
      </c>
      <c r="V95" s="428">
        <f>'Hazard Values'!$I$12/(BP95/'Bridge Table'!$V$5)</f>
        <v>4208.2777036048074</v>
      </c>
      <c r="W95" s="428">
        <f>'Hazard Values'!$I$13/BQ95</f>
        <v>949.6298094428937</v>
      </c>
      <c r="X95" s="428">
        <f>'Hazard Values'!$I$13/BR95</f>
        <v>949.6298094428937</v>
      </c>
      <c r="Y95" s="428">
        <f>'Hazard Values'!$I$13/(BQ95/$Z$5)</f>
        <v>4748.1490472144687</v>
      </c>
      <c r="Z95" s="428">
        <f>'Hazard Values'!$I$13/(BR95/$Z$5)</f>
        <v>4748.1490472144687</v>
      </c>
      <c r="AA95" s="428">
        <f>'Hazard Values'!$I$14/'Bridge Table'!BS95</f>
        <v>1016.7369826435249</v>
      </c>
      <c r="AB95" s="428">
        <f>'Hazard Values'!$I$14/'Bridge Table'!BT95</f>
        <v>1016.7369826435249</v>
      </c>
      <c r="AC95" s="428">
        <f>'Hazard Values'!$I$14/(BS95/$AD$5)</f>
        <v>5083.6849132176239</v>
      </c>
      <c r="AD95" s="429">
        <f>'Hazard Values'!$I$14/(BT95/$AD$5)</f>
        <v>5083.6849132176239</v>
      </c>
      <c r="AF95" s="427">
        <f>AG95</f>
        <v>818.01865570889004</v>
      </c>
      <c r="AG95" s="428">
        <f t="shared" ref="AG95" si="132">(1/((1/G95)+(1/$T$94)))</f>
        <v>818.01865570889004</v>
      </c>
      <c r="AH95" s="428">
        <f>AI95</f>
        <v>4148.3439067228983</v>
      </c>
      <c r="AI95" s="428">
        <f>1/((1/(G95*$AI$5))+((1/($T$94*$AI$4))))</f>
        <v>4148.3439067228983</v>
      </c>
      <c r="AJ95" s="428">
        <f>AK95</f>
        <v>908.00188649823633</v>
      </c>
      <c r="AK95" s="428">
        <f t="shared" ref="AK95" si="133">(1/((1/K95)+(1/$X$94)))</f>
        <v>908.00188649823633</v>
      </c>
      <c r="AL95" s="428">
        <f>AM95</f>
        <v>4641.7471252947125</v>
      </c>
      <c r="AM95" s="428">
        <f>1/((1/(K95*$AM$5))+(1/($X$94*$AM$4)))</f>
        <v>4641.7471252947125</v>
      </c>
      <c r="AN95" s="428">
        <f>AO95</f>
        <v>972.16735314411187</v>
      </c>
      <c r="AO95" s="428">
        <f t="shared" ref="AO95" si="134">(1/((1/O95)+(1/$AB$94)))</f>
        <v>972.16735314411187</v>
      </c>
      <c r="AP95" s="428">
        <f>AQ95</f>
        <v>4969.7639221488726</v>
      </c>
      <c r="AQ95" s="429">
        <f>1/((1/(O95*$AM$5))+(1/($AB$94*$AM$4)))</f>
        <v>4969.7639221488726</v>
      </c>
      <c r="BB95" s="418">
        <f>'Inhalation Exposure'!I93</f>
        <v>5.3999999999999994E-3</v>
      </c>
      <c r="BC95" s="419">
        <f>'Inhalation Exposure'!J93</f>
        <v>5.3999999999999994E-3</v>
      </c>
      <c r="BD95" s="419">
        <f>'Inhalation Exposure'!K93</f>
        <v>3.6734693877551014E-3</v>
      </c>
      <c r="BE95" s="419">
        <f>'Inhalation Exposure'!L93</f>
        <v>3.6734693877551014E-3</v>
      </c>
      <c r="BF95" s="419">
        <f>'Inhalation Exposure'!M93</f>
        <v>2.6938775510204076E-3</v>
      </c>
      <c r="BG95" s="419">
        <f>'Inhalation Exposure'!N93</f>
        <v>2.6938775510204076E-3</v>
      </c>
      <c r="BH95" s="419">
        <f>'Inhalation Exposure'!O93</f>
        <v>2.5160749231199321E-3</v>
      </c>
      <c r="BI95" s="448">
        <f>'Inhalation Exposure'!P93</f>
        <v>2.5160749231199321E-3</v>
      </c>
      <c r="BJ95" s="420"/>
      <c r="BK95" s="436">
        <v>6</v>
      </c>
      <c r="BL95" s="439" t="s">
        <v>250</v>
      </c>
      <c r="BM95" s="432" t="s">
        <v>54</v>
      </c>
      <c r="BN95" s="433" t="s">
        <v>54</v>
      </c>
      <c r="BO95" s="434">
        <f>'Dermal Exposure'!T64</f>
        <v>0.46812499999999996</v>
      </c>
      <c r="BP95" s="435">
        <f>'Dermal Exposure'!U64</f>
        <v>0.46812499999999996</v>
      </c>
      <c r="BQ95" s="435">
        <f>'Dermal Exposure'!V64</f>
        <v>0.34329166666666661</v>
      </c>
      <c r="BR95" s="435">
        <f>'Dermal Exposure'!W64</f>
        <v>0.34329166666666661</v>
      </c>
      <c r="BS95" s="435">
        <f>'Dermal Exposure'!X64</f>
        <v>0.32063356164383555</v>
      </c>
      <c r="BT95" s="435">
        <f>'Dermal Exposure'!Y64</f>
        <v>0.32063356164383555</v>
      </c>
    </row>
    <row r="96" spans="1:72" ht="39" x14ac:dyDescent="0.3">
      <c r="A96" s="306">
        <v>7</v>
      </c>
      <c r="B96" s="641" t="s">
        <v>286</v>
      </c>
      <c r="C96" s="308" t="s">
        <v>263</v>
      </c>
      <c r="D96" s="206" t="s">
        <v>54</v>
      </c>
      <c r="E96" s="380" t="s">
        <v>107</v>
      </c>
      <c r="F96" s="424">
        <f>'Hazard Values'!$G$12/BD96</f>
        <v>518.62587235764136</v>
      </c>
      <c r="G96" s="425">
        <f>'Hazard Values'!$G$12/BE96</f>
        <v>518.62587235764136</v>
      </c>
      <c r="H96" s="425">
        <f t="shared" si="93"/>
        <v>5186.2587235764131</v>
      </c>
      <c r="I96" s="425">
        <f t="shared" si="94"/>
        <v>5186.2587235764131</v>
      </c>
      <c r="J96" s="425">
        <f>'Hazard Values'!$G$13/BF96</f>
        <v>368.81041220335243</v>
      </c>
      <c r="K96" s="425">
        <f>'Hazard Values'!$G$13/BG96</f>
        <v>368.81041220335243</v>
      </c>
      <c r="L96" s="425">
        <f t="shared" si="95"/>
        <v>3688.1041220335242</v>
      </c>
      <c r="M96" s="425">
        <f t="shared" ref="M96:M111" si="135">K96*$M$5</f>
        <v>3688.1041220335242</v>
      </c>
      <c r="N96" s="425">
        <f>'Hazard Values'!$G$14/BH96</f>
        <v>394.87301466572268</v>
      </c>
      <c r="O96" s="425">
        <f>'Hazard Values'!$G$14/BI96</f>
        <v>401.29371409118158</v>
      </c>
      <c r="P96" s="425">
        <f t="shared" ref="P96:P111" si="136">N96*$Q$5</f>
        <v>3948.7301466572267</v>
      </c>
      <c r="Q96" s="426">
        <f t="shared" si="98"/>
        <v>4012.9371409118157</v>
      </c>
      <c r="S96" s="663">
        <f>'Hazard Values'!$I$12/'Bridge Table'!BO96</f>
        <v>14.027592345349355</v>
      </c>
      <c r="T96" s="657">
        <f>'Hazard Values'!$I$12/BP96</f>
        <v>42.082777036048064</v>
      </c>
      <c r="U96" s="657">
        <f>'Hazard Values'!$I$12/(BO96/'Bridge Table'!$V$5)</f>
        <v>70.137961726746781</v>
      </c>
      <c r="V96" s="657">
        <f>'Hazard Values'!$I$12/(BP96/'Bridge Table'!$V$5)</f>
        <v>210.41388518024033</v>
      </c>
      <c r="W96" s="657">
        <f>'Hazard Values'!$I$13/BQ96</f>
        <v>15.827163490714893</v>
      </c>
      <c r="X96" s="657">
        <f>'Hazard Values'!$I$13/BR96</f>
        <v>47.481490472144678</v>
      </c>
      <c r="Y96" s="657">
        <f>'Hazard Values'!$I$13/(BQ96/$Z$5)</f>
        <v>79.135817453574461</v>
      </c>
      <c r="Z96" s="657">
        <f>'Hazard Values'!$I$13/(BR96/$Z$5)</f>
        <v>237.4074523607234</v>
      </c>
      <c r="AA96" s="657">
        <f>'Hazard Values'!$I$14/'Bridge Table'!BS96</f>
        <v>16.945616377392078</v>
      </c>
      <c r="AB96" s="657">
        <f>'Hazard Values'!$I$14/'Bridge Table'!BT96</f>
        <v>51.663464565219748</v>
      </c>
      <c r="AC96" s="657">
        <f>'Hazard Values'!$I$14/(BS96/$AD$5)</f>
        <v>84.728081886960396</v>
      </c>
      <c r="AD96" s="662">
        <f>'Hazard Values'!$I$14/(BT96/$AD$5)</f>
        <v>258.31732282609875</v>
      </c>
      <c r="AF96" s="427">
        <v>39</v>
      </c>
      <c r="AG96" s="428">
        <f>(1/((1/G96)+(1/$T$96)))</f>
        <v>38.924345067893611</v>
      </c>
      <c r="AH96" s="428">
        <v>202</v>
      </c>
      <c r="AI96" s="428">
        <f>1/((1/(G96*$AI$5))+((1/($T$96*$AI$4))))</f>
        <v>202.20994058578702</v>
      </c>
      <c r="AJ96" s="428">
        <f>AK96</f>
        <v>42.065838803287313</v>
      </c>
      <c r="AK96" s="428">
        <f>(1/((1/K96)+(1/$X$96)))</f>
        <v>42.065838803287313</v>
      </c>
      <c r="AL96" s="428">
        <v>223</v>
      </c>
      <c r="AM96" s="428">
        <f t="shared" ref="AM96:AM103" si="137">1/((1/(K96*$AM$5))+(1/($X$96*$AM$4)))</f>
        <v>223.0495024812592</v>
      </c>
      <c r="AN96" s="428">
        <v>46</v>
      </c>
      <c r="AO96" s="428">
        <f>(1/((1/O96)+(1/$AB$96)))</f>
        <v>45.770824605744856</v>
      </c>
      <c r="AP96" s="428">
        <v>243</v>
      </c>
      <c r="AQ96" s="429">
        <f t="shared" ref="AQ96:AQ103" si="138">1/((1/(O96*$AM$5))+(1/($AB$96*$AM$4)))</f>
        <v>242.69478386510991</v>
      </c>
      <c r="BB96" s="418">
        <f>'Inhalation Exposure'!I94</f>
        <v>0.30328220858895705</v>
      </c>
      <c r="BC96" s="419">
        <f>'Inhalation Exposure'!J94</f>
        <v>0.30328220858895705</v>
      </c>
      <c r="BD96" s="419">
        <f>'Inhalation Exposure'!K94</f>
        <v>0.2063144276115354</v>
      </c>
      <c r="BE96" s="419">
        <f>'Inhalation Exposure'!L94</f>
        <v>0.2063144276115354</v>
      </c>
      <c r="BF96" s="419">
        <f>'Inhalation Exposure'!M94</f>
        <v>0.15129724691512597</v>
      </c>
      <c r="BG96" s="419">
        <f>'Inhalation Exposure'!N94</f>
        <v>0.15129724691512597</v>
      </c>
      <c r="BH96" s="419">
        <f>'Inhalation Exposure'!O94</f>
        <v>0.14131125178872286</v>
      </c>
      <c r="BI96" s="448">
        <f>'Inhalation Exposure'!P94</f>
        <v>0.13905027176010332</v>
      </c>
      <c r="BJ96" s="420"/>
      <c r="BK96" s="436">
        <v>7</v>
      </c>
      <c r="BL96" s="439" t="s">
        <v>286</v>
      </c>
      <c r="BM96" s="432" t="s">
        <v>264</v>
      </c>
      <c r="BN96" s="433" t="s">
        <v>73</v>
      </c>
      <c r="BO96" s="434">
        <f>'Dermal Exposure'!T65</f>
        <v>28.087499999999999</v>
      </c>
      <c r="BP96" s="435">
        <f>'Dermal Exposure'!U65</f>
        <v>9.3625000000000007</v>
      </c>
      <c r="BQ96" s="435">
        <f>'Dermal Exposure'!V65</f>
        <v>20.5975</v>
      </c>
      <c r="BR96" s="435">
        <f>'Dermal Exposure'!W65</f>
        <v>6.8658333333333337</v>
      </c>
      <c r="BS96" s="435">
        <f>'Dermal Exposure'!X65</f>
        <v>19.238013698630137</v>
      </c>
      <c r="BT96" s="435">
        <f>'Dermal Exposure'!Y65</f>
        <v>6.310068493150685</v>
      </c>
    </row>
    <row r="97" spans="1:72" ht="39" x14ac:dyDescent="0.3">
      <c r="A97" s="306">
        <v>7</v>
      </c>
      <c r="B97" s="644"/>
      <c r="C97" s="308" t="s">
        <v>264</v>
      </c>
      <c r="D97" s="206" t="s">
        <v>73</v>
      </c>
      <c r="E97" s="380" t="s">
        <v>107</v>
      </c>
      <c r="F97" s="424">
        <f>'Hazard Values'!$G$12/BD97</f>
        <v>16.207058511176296</v>
      </c>
      <c r="G97" s="425">
        <f>'Hazard Values'!$G$12/BE97</f>
        <v>54.023528370587634</v>
      </c>
      <c r="H97" s="425">
        <f t="shared" si="93"/>
        <v>162.07058511176297</v>
      </c>
      <c r="I97" s="425">
        <f t="shared" si="94"/>
        <v>540.23528370587633</v>
      </c>
      <c r="J97" s="425">
        <f>'Hazard Values'!$G$13/BF97</f>
        <v>11.525325381354765</v>
      </c>
      <c r="K97" s="425">
        <f>'Hazard Values'!$G$13/BG97</f>
        <v>38.417751271182539</v>
      </c>
      <c r="L97" s="425">
        <f t="shared" si="95"/>
        <v>115.25325381354764</v>
      </c>
      <c r="M97" s="425">
        <f t="shared" si="135"/>
        <v>384.17751271182539</v>
      </c>
      <c r="N97" s="425">
        <f>'Hazard Values'!$G$14/BH97</f>
        <v>12.339781708303837</v>
      </c>
      <c r="O97" s="425">
        <f>'Hazard Values'!$G$14/BI97</f>
        <v>41.80142855116474</v>
      </c>
      <c r="P97" s="425">
        <f t="shared" si="136"/>
        <v>123.39781708303838</v>
      </c>
      <c r="Q97" s="426">
        <f t="shared" si="98"/>
        <v>418.01428551164742</v>
      </c>
      <c r="S97" s="663"/>
      <c r="T97" s="657"/>
      <c r="U97" s="657"/>
      <c r="V97" s="657"/>
      <c r="W97" s="657"/>
      <c r="X97" s="657"/>
      <c r="Y97" s="657"/>
      <c r="Z97" s="657"/>
      <c r="AA97" s="657"/>
      <c r="AB97" s="657"/>
      <c r="AC97" s="657"/>
      <c r="AD97" s="662"/>
      <c r="AF97" s="427">
        <f t="shared" ref="AF97:AF103" si="139">(1/((1/F97)+(1/$S$96)))</f>
        <v>7.5193859850025966</v>
      </c>
      <c r="AG97" s="428">
        <f t="shared" ref="AG97:AG103" si="140">(1/((1/G97)+(1/$T$96)))</f>
        <v>23.655680961835042</v>
      </c>
      <c r="AH97" s="428">
        <f t="shared" ref="AH97:AH103" si="141">1/((1/(F97*$AI$5))+((1/($S$96*$AI$4))))</f>
        <v>48.952980630405975</v>
      </c>
      <c r="AI97" s="428">
        <f t="shared" ref="AI97:AI103" si="142">1/((1/(G97*$AI$5))+((1/($T$96*$AI$4))))</f>
        <v>151.43293254381595</v>
      </c>
      <c r="AJ97" s="428">
        <f t="shared" ref="AJ97:AJ103" si="143">(1/((1/J97)+(1/$W$96)))</f>
        <v>6.6689802872255157</v>
      </c>
      <c r="AK97" s="428">
        <f t="shared" ref="AK97:AK103" si="144">(1/((1/K97)+(1/$X$96)))</f>
        <v>21.235718196378365</v>
      </c>
      <c r="AL97" s="428">
        <f t="shared" ref="AL97:AL103" si="145">1/((1/(J97*$AM$5))+(1/($W$96*$AM$4)))</f>
        <v>46.919615363489875</v>
      </c>
      <c r="AM97" s="428">
        <f t="shared" si="137"/>
        <v>146.73232087675839</v>
      </c>
      <c r="AN97" s="428">
        <f t="shared" ref="AN97:AN103" si="146">(1/((1/N97)+(1/$AA$96)))</f>
        <v>7.1402548941894537</v>
      </c>
      <c r="AO97" s="428">
        <f t="shared" ref="AO97:AO103" si="147">(1/((1/O97)+(1/$AB$96)))</f>
        <v>23.106072780070225</v>
      </c>
      <c r="AP97" s="428">
        <f t="shared" ref="AP97:AP103" si="148">1/((1/(N97*$AM$5))+(1/($AA$96*$AM$4)))</f>
        <v>50.235268182509834</v>
      </c>
      <c r="AQ97" s="429">
        <f t="shared" si="138"/>
        <v>159.65589927376288</v>
      </c>
      <c r="BB97" s="418">
        <f>'Inhalation Exposure'!I95</f>
        <v>9.705030674846622</v>
      </c>
      <c r="BC97" s="419">
        <f>'Inhalation Exposure'!J95</f>
        <v>2.9115092024539879</v>
      </c>
      <c r="BD97" s="419">
        <f>'Inhalation Exposure'!K95</f>
        <v>6.602061683569131</v>
      </c>
      <c r="BE97" s="419">
        <f>'Inhalation Exposure'!L95</f>
        <v>1.9806185050707401</v>
      </c>
      <c r="BF97" s="419">
        <f>'Inhalation Exposure'!M95</f>
        <v>4.8415119012840302</v>
      </c>
      <c r="BG97" s="419">
        <f>'Inhalation Exposure'!N95</f>
        <v>1.4524535703852095</v>
      </c>
      <c r="BH97" s="419">
        <f>'Inhalation Exposure'!O95</f>
        <v>4.5219600572391307</v>
      </c>
      <c r="BI97" s="448">
        <f>'Inhalation Exposure'!P95</f>
        <v>1.3348826088969921</v>
      </c>
      <c r="BJ97" s="420"/>
      <c r="BK97" s="436">
        <v>7</v>
      </c>
      <c r="BL97" s="439" t="s">
        <v>286</v>
      </c>
      <c r="BM97" s="432" t="s">
        <v>265</v>
      </c>
      <c r="BN97" s="433" t="s">
        <v>73</v>
      </c>
      <c r="BO97" s="434">
        <f>'Dermal Exposure'!T66</f>
        <v>28.087499999999999</v>
      </c>
      <c r="BP97" s="435">
        <f>'Dermal Exposure'!U66</f>
        <v>9.3625000000000007</v>
      </c>
      <c r="BQ97" s="435">
        <f>'Dermal Exposure'!V66</f>
        <v>20.5975</v>
      </c>
      <c r="BR97" s="435">
        <f>'Dermal Exposure'!W66</f>
        <v>6.8658333333333337</v>
      </c>
      <c r="BS97" s="435">
        <f>'Dermal Exposure'!X66</f>
        <v>19.238013698630137</v>
      </c>
      <c r="BT97" s="435">
        <f>'Dermal Exposure'!Y66</f>
        <v>6.310068493150685</v>
      </c>
    </row>
    <row r="98" spans="1:72" ht="39" x14ac:dyDescent="0.3">
      <c r="A98" s="306">
        <v>7</v>
      </c>
      <c r="B98" s="644"/>
      <c r="C98" s="308" t="s">
        <v>265</v>
      </c>
      <c r="D98" s="206" t="s">
        <v>73</v>
      </c>
      <c r="E98" s="380" t="s">
        <v>107</v>
      </c>
      <c r="F98" s="424">
        <f>'Hazard Values'!$G$12/BD98</f>
        <v>3.3677004698548143</v>
      </c>
      <c r="G98" s="425">
        <f>'Hazard Values'!$G$12/BE98</f>
        <v>648.28234044705164</v>
      </c>
      <c r="H98" s="425">
        <f t="shared" si="93"/>
        <v>33.677004698548146</v>
      </c>
      <c r="I98" s="425">
        <f t="shared" si="94"/>
        <v>6482.8234044705168</v>
      </c>
      <c r="J98" s="425">
        <f>'Hazard Values'!$G$13/BF98</f>
        <v>2.3948728065152758</v>
      </c>
      <c r="K98" s="425">
        <f>'Hazard Values'!$G$13/BG98</f>
        <v>461.01301525419041</v>
      </c>
      <c r="L98" s="425">
        <f t="shared" si="95"/>
        <v>23.948728065152757</v>
      </c>
      <c r="M98" s="425">
        <f t="shared" si="135"/>
        <v>4610.130152541904</v>
      </c>
      <c r="N98" s="425">
        <f>'Hazard Values'!$G$14/BH98</f>
        <v>2.564110484842355</v>
      </c>
      <c r="O98" s="425">
        <f>'Hazard Values'!$G$14/BI98</f>
        <v>501.61714261397691</v>
      </c>
      <c r="P98" s="425">
        <f t="shared" si="136"/>
        <v>25.641104848423552</v>
      </c>
      <c r="Q98" s="426">
        <f t="shared" si="98"/>
        <v>5016.1714261397692</v>
      </c>
      <c r="S98" s="663"/>
      <c r="T98" s="657"/>
      <c r="U98" s="657"/>
      <c r="V98" s="657"/>
      <c r="W98" s="657"/>
      <c r="X98" s="657"/>
      <c r="Y98" s="657"/>
      <c r="Z98" s="657"/>
      <c r="AA98" s="657"/>
      <c r="AB98" s="657"/>
      <c r="AC98" s="657"/>
      <c r="AD98" s="662"/>
      <c r="AF98" s="427">
        <f t="shared" si="139"/>
        <v>2.7157191220762069</v>
      </c>
      <c r="AG98" s="428">
        <f t="shared" si="140"/>
        <v>39.517525579656095</v>
      </c>
      <c r="AH98" s="428">
        <f t="shared" si="141"/>
        <v>22.752369412149825</v>
      </c>
      <c r="AI98" s="428">
        <f t="shared" si="142"/>
        <v>203.79914837043071</v>
      </c>
      <c r="AJ98" s="428">
        <f t="shared" si="143"/>
        <v>2.0801211692211408</v>
      </c>
      <c r="AK98" s="428">
        <f t="shared" si="144"/>
        <v>43.047830104003545</v>
      </c>
      <c r="AL98" s="428">
        <f t="shared" si="145"/>
        <v>18.384930183981123</v>
      </c>
      <c r="AM98" s="428">
        <f t="shared" si="137"/>
        <v>225.78045675383913</v>
      </c>
      <c r="AN98" s="428">
        <f t="shared" si="146"/>
        <v>2.2271163985127678</v>
      </c>
      <c r="AO98" s="428">
        <f t="shared" si="147"/>
        <v>46.839305655169163</v>
      </c>
      <c r="AP98" s="428">
        <f t="shared" si="148"/>
        <v>19.684131916982455</v>
      </c>
      <c r="AQ98" s="429">
        <f t="shared" si="138"/>
        <v>245.66626934055935</v>
      </c>
      <c r="BB98" s="418">
        <f>'Inhalation Exposure'!I96</f>
        <v>46.705460122699385</v>
      </c>
      <c r="BC98" s="419">
        <f>'Inhalation Exposure'!J96</f>
        <v>0.24262576687116569</v>
      </c>
      <c r="BD98" s="419">
        <f>'Inhalation Exposure'!K96</f>
        <v>31.77242185217645</v>
      </c>
      <c r="BE98" s="419">
        <f>'Inhalation Exposure'!L96</f>
        <v>0.16505154208922834</v>
      </c>
      <c r="BF98" s="419">
        <f>'Inhalation Exposure'!M96</f>
        <v>23.299776024929397</v>
      </c>
      <c r="BG98" s="419">
        <f>'Inhalation Exposure'!N96</f>
        <v>0.1210377975321008</v>
      </c>
      <c r="BH98" s="419">
        <f>'Inhalation Exposure'!O96</f>
        <v>21.761932775463322</v>
      </c>
      <c r="BI98" s="448">
        <f>'Inhalation Exposure'!P96</f>
        <v>0.11124021740808267</v>
      </c>
      <c r="BJ98" s="420"/>
      <c r="BK98" s="436">
        <v>7</v>
      </c>
      <c r="BL98" s="439" t="s">
        <v>286</v>
      </c>
      <c r="BM98" s="432" t="s">
        <v>266</v>
      </c>
      <c r="BN98" s="433" t="s">
        <v>73</v>
      </c>
      <c r="BO98" s="434">
        <f>'Dermal Exposure'!T67</f>
        <v>28.087499999999999</v>
      </c>
      <c r="BP98" s="435">
        <f>'Dermal Exposure'!U67</f>
        <v>9.3625000000000007</v>
      </c>
      <c r="BQ98" s="435">
        <f>'Dermal Exposure'!V67</f>
        <v>20.5975</v>
      </c>
      <c r="BR98" s="435">
        <f>'Dermal Exposure'!W67</f>
        <v>6.8658333333333337</v>
      </c>
      <c r="BS98" s="435">
        <f>'Dermal Exposure'!X67</f>
        <v>19.238013698630137</v>
      </c>
      <c r="BT98" s="435">
        <f>'Dermal Exposure'!Y67</f>
        <v>6.310068493150685</v>
      </c>
    </row>
    <row r="99" spans="1:72" ht="39" x14ac:dyDescent="0.3">
      <c r="A99" s="306">
        <v>7</v>
      </c>
      <c r="B99" s="644"/>
      <c r="C99" s="308" t="s">
        <v>266</v>
      </c>
      <c r="D99" s="206" t="s">
        <v>73</v>
      </c>
      <c r="E99" s="380" t="s">
        <v>269</v>
      </c>
      <c r="F99" s="424">
        <f>'Hazard Values'!$G$12/BD99</f>
        <v>30.628416529482646</v>
      </c>
      <c r="G99" s="425">
        <f>'Hazard Values'!$G$12/BE99</f>
        <v>314.84344960245346</v>
      </c>
      <c r="H99" s="425">
        <f t="shared" si="93"/>
        <v>306.28416529482644</v>
      </c>
      <c r="I99" s="425">
        <f t="shared" si="94"/>
        <v>3148.4344960245344</v>
      </c>
      <c r="J99" s="425">
        <f>'Hazard Values'!$G$13/BF99</f>
        <v>21.780785586386553</v>
      </c>
      <c r="K99" s="425">
        <f>'Hazard Values'!$G$13/BG99</f>
        <v>223.89461964082713</v>
      </c>
      <c r="L99" s="425">
        <f t="shared" si="95"/>
        <v>217.80785586386554</v>
      </c>
      <c r="M99" s="425">
        <f t="shared" si="135"/>
        <v>2238.9461964082711</v>
      </c>
      <c r="N99" s="425">
        <f>'Hazard Values'!$G$14/BH99</f>
        <v>23.319961101157872</v>
      </c>
      <c r="O99" s="425">
        <f>'Hazard Values'!$G$14/BI99</f>
        <v>243.61433546285119</v>
      </c>
      <c r="P99" s="425">
        <f t="shared" si="136"/>
        <v>233.19961101157872</v>
      </c>
      <c r="Q99" s="426">
        <f t="shared" si="98"/>
        <v>2436.143354628512</v>
      </c>
      <c r="S99" s="663"/>
      <c r="T99" s="657"/>
      <c r="U99" s="657"/>
      <c r="V99" s="657"/>
      <c r="W99" s="657"/>
      <c r="X99" s="657"/>
      <c r="Y99" s="657"/>
      <c r="Z99" s="657"/>
      <c r="AA99" s="657"/>
      <c r="AB99" s="657"/>
      <c r="AC99" s="657"/>
      <c r="AD99" s="662"/>
      <c r="AF99" s="427">
        <f t="shared" si="139"/>
        <v>9.6211674998409453</v>
      </c>
      <c r="AG99" s="428">
        <f t="shared" si="140"/>
        <v>37.121079097108485</v>
      </c>
      <c r="AH99" s="428">
        <f t="shared" si="141"/>
        <v>57.069299387190242</v>
      </c>
      <c r="AI99" s="428">
        <f t="shared" si="142"/>
        <v>197.23258074137701</v>
      </c>
      <c r="AJ99" s="428">
        <f t="shared" si="143"/>
        <v>9.1663614446298762</v>
      </c>
      <c r="AK99" s="428">
        <f t="shared" si="144"/>
        <v>39.173861858418</v>
      </c>
      <c r="AL99" s="428">
        <f t="shared" si="145"/>
        <v>58.046034552725395</v>
      </c>
      <c r="AM99" s="428">
        <f t="shared" si="137"/>
        <v>214.64725473530461</v>
      </c>
      <c r="AN99" s="428">
        <f t="shared" si="146"/>
        <v>9.81411765338372</v>
      </c>
      <c r="AO99" s="428">
        <f t="shared" si="147"/>
        <v>42.624134244322015</v>
      </c>
      <c r="AP99" s="428">
        <f t="shared" si="148"/>
        <v>62.147954327784639</v>
      </c>
      <c r="AQ99" s="429">
        <f t="shared" si="138"/>
        <v>233.55250074857668</v>
      </c>
      <c r="BB99" s="418">
        <f>'Inhalation Exposure'!I97</f>
        <v>3.42361806066803</v>
      </c>
      <c r="BC99" s="419">
        <f>'Inhalation Exposure'!J97</f>
        <v>0.33305441206543968</v>
      </c>
      <c r="BD99" s="419">
        <f>'Inhalation Exposure'!K97</f>
        <v>3.4934878170081936</v>
      </c>
      <c r="BE99" s="419">
        <f>'Inhalation Exposure'!L97</f>
        <v>0.33985144088310165</v>
      </c>
      <c r="BF99" s="419">
        <f>'Inhalation Exposure'!M97</f>
        <v>2.5618910658060088</v>
      </c>
      <c r="BG99" s="419">
        <f>'Inhalation Exposure'!N97</f>
        <v>0.24922438998094121</v>
      </c>
      <c r="BH99" s="419">
        <f>'Inhalation Exposure'!O97</f>
        <v>2.392799874663146</v>
      </c>
      <c r="BI99" s="448">
        <f>'Inhalation Exposure'!P97</f>
        <v>0.22905056015683015</v>
      </c>
      <c r="BJ99" s="420"/>
      <c r="BK99" s="436">
        <v>7</v>
      </c>
      <c r="BL99" s="439" t="s">
        <v>286</v>
      </c>
      <c r="BM99" s="432" t="s">
        <v>267</v>
      </c>
      <c r="BN99" s="433" t="s">
        <v>73</v>
      </c>
      <c r="BO99" s="434">
        <f>'Dermal Exposure'!T68</f>
        <v>28.087499999999999</v>
      </c>
      <c r="BP99" s="435">
        <f>'Dermal Exposure'!U68</f>
        <v>9.3625000000000007</v>
      </c>
      <c r="BQ99" s="435">
        <f>'Dermal Exposure'!V68</f>
        <v>20.5975</v>
      </c>
      <c r="BR99" s="435">
        <f>'Dermal Exposure'!W68</f>
        <v>6.8658333333333337</v>
      </c>
      <c r="BS99" s="435">
        <f>'Dermal Exposure'!X68</f>
        <v>19.238013698630137</v>
      </c>
      <c r="BT99" s="435">
        <f>'Dermal Exposure'!Y68</f>
        <v>6.310068493150685</v>
      </c>
    </row>
    <row r="100" spans="1:72" ht="39" x14ac:dyDescent="0.3">
      <c r="A100" s="306">
        <v>7</v>
      </c>
      <c r="B100" s="644"/>
      <c r="C100" s="308" t="s">
        <v>267</v>
      </c>
      <c r="D100" s="206" t="s">
        <v>73</v>
      </c>
      <c r="E100" s="380" t="s">
        <v>107</v>
      </c>
      <c r="F100" s="424">
        <f>'Hazard Values'!$G$12/BD100</f>
        <v>997.35744684161796</v>
      </c>
      <c r="G100" s="425">
        <f>'Hazard Values'!$G$12/BE100</f>
        <v>997.35744684161796</v>
      </c>
      <c r="H100" s="425">
        <f t="shared" si="93"/>
        <v>9973.57446841618</v>
      </c>
      <c r="I100" s="425">
        <f t="shared" si="94"/>
        <v>9973.57446841618</v>
      </c>
      <c r="J100" s="425">
        <f>'Hazard Values'!$G$13/BF100</f>
        <v>709.25079269875471</v>
      </c>
      <c r="K100" s="425">
        <f>'Hazard Values'!$G$13/BG100</f>
        <v>709.25079269875471</v>
      </c>
      <c r="L100" s="425">
        <f t="shared" si="95"/>
        <v>7092.5079269875469</v>
      </c>
      <c r="M100" s="425">
        <f t="shared" si="135"/>
        <v>7092.5079269875469</v>
      </c>
      <c r="N100" s="425">
        <f>'Hazard Values'!$G$14/BH100</f>
        <v>759.3711820494666</v>
      </c>
      <c r="O100" s="425">
        <f>'Hazard Values'!$G$14/BI100</f>
        <v>771.71868094457989</v>
      </c>
      <c r="P100" s="425">
        <f t="shared" si="136"/>
        <v>7593.7118204946655</v>
      </c>
      <c r="Q100" s="426">
        <f t="shared" si="98"/>
        <v>7717.1868094457986</v>
      </c>
      <c r="S100" s="663"/>
      <c r="T100" s="657"/>
      <c r="U100" s="657"/>
      <c r="V100" s="657"/>
      <c r="W100" s="657"/>
      <c r="X100" s="657"/>
      <c r="Y100" s="657"/>
      <c r="Z100" s="657"/>
      <c r="AA100" s="657"/>
      <c r="AB100" s="657"/>
      <c r="AC100" s="657"/>
      <c r="AD100" s="662"/>
      <c r="AF100" s="427">
        <f t="shared" si="139"/>
        <v>13.833034052134453</v>
      </c>
      <c r="AG100" s="428">
        <f t="shared" si="140"/>
        <v>40.379013719616928</v>
      </c>
      <c r="AH100" s="428">
        <f t="shared" si="141"/>
        <v>69.648169360687092</v>
      </c>
      <c r="AI100" s="428">
        <f t="shared" si="142"/>
        <v>206.06647220809097</v>
      </c>
      <c r="AJ100" s="428">
        <f t="shared" si="143"/>
        <v>15.481684632857631</v>
      </c>
      <c r="AK100" s="428">
        <f t="shared" si="144"/>
        <v>44.502244062820793</v>
      </c>
      <c r="AL100" s="428">
        <f t="shared" si="145"/>
        <v>78.262589804906113</v>
      </c>
      <c r="AM100" s="428">
        <f t="shared" si="137"/>
        <v>229.71810050337351</v>
      </c>
      <c r="AN100" s="428">
        <f t="shared" si="146"/>
        <v>16.575723680246231</v>
      </c>
      <c r="AO100" s="428">
        <f t="shared" si="147"/>
        <v>48.42181840439715</v>
      </c>
      <c r="AP100" s="428">
        <f t="shared" si="148"/>
        <v>83.793146151119458</v>
      </c>
      <c r="AQ100" s="429">
        <f t="shared" si="138"/>
        <v>249.95072453144837</v>
      </c>
      <c r="BB100" s="418">
        <f>'Inhalation Exposure'!I98</f>
        <v>0.15770674846625768</v>
      </c>
      <c r="BC100" s="419">
        <f>'Inhalation Exposure'!J98</f>
        <v>0.15770674846625768</v>
      </c>
      <c r="BD100" s="419">
        <f>'Inhalation Exposure'!K98</f>
        <v>0.10728350235799841</v>
      </c>
      <c r="BE100" s="419">
        <f>'Inhalation Exposure'!L98</f>
        <v>0.10728350235799841</v>
      </c>
      <c r="BF100" s="419">
        <f>'Inhalation Exposure'!M98</f>
        <v>7.8674568395865493E-2</v>
      </c>
      <c r="BG100" s="419">
        <f>'Inhalation Exposure'!N98</f>
        <v>7.8674568395865493E-2</v>
      </c>
      <c r="BH100" s="419">
        <f>'Inhalation Exposure'!O98</f>
        <v>7.34818509301359E-2</v>
      </c>
      <c r="BI100" s="448">
        <f>'Inhalation Exposure'!P98</f>
        <v>7.230614131525373E-2</v>
      </c>
      <c r="BJ100" s="420"/>
      <c r="BK100" s="436">
        <v>7</v>
      </c>
      <c r="BL100" s="439" t="s">
        <v>286</v>
      </c>
      <c r="BM100" s="432" t="s">
        <v>268</v>
      </c>
      <c r="BN100" s="433" t="s">
        <v>73</v>
      </c>
      <c r="BO100" s="434">
        <f>'Dermal Exposure'!T69</f>
        <v>28.087499999999999</v>
      </c>
      <c r="BP100" s="435">
        <f>'Dermal Exposure'!U69</f>
        <v>9.3625000000000007</v>
      </c>
      <c r="BQ100" s="435">
        <f>'Dermal Exposure'!V69</f>
        <v>20.5975</v>
      </c>
      <c r="BR100" s="435">
        <f>'Dermal Exposure'!W69</f>
        <v>6.8658333333333337</v>
      </c>
      <c r="BS100" s="435">
        <f>'Dermal Exposure'!X69</f>
        <v>19.238013698630137</v>
      </c>
      <c r="BT100" s="435">
        <f>'Dermal Exposure'!Y69</f>
        <v>6.310068493150685</v>
      </c>
    </row>
    <row r="101" spans="1:72" x14ac:dyDescent="0.3">
      <c r="A101" s="306">
        <v>7</v>
      </c>
      <c r="B101" s="644"/>
      <c r="C101" s="308" t="s">
        <v>268</v>
      </c>
      <c r="D101" s="206" t="s">
        <v>73</v>
      </c>
      <c r="E101" s="380" t="s">
        <v>107</v>
      </c>
      <c r="F101" s="424">
        <f>'Hazard Values'!$G$12/BD101</f>
        <v>19.541168632110153</v>
      </c>
      <c r="G101" s="425">
        <f>'Hazard Values'!$G$12/BE101</f>
        <v>308.01833547595629</v>
      </c>
      <c r="H101" s="425">
        <f t="shared" si="93"/>
        <v>195.41168632110154</v>
      </c>
      <c r="I101" s="425">
        <f t="shared" si="94"/>
        <v>3080.1833547595629</v>
      </c>
      <c r="J101" s="425">
        <f>'Hazard Values'!$G$13/BF101</f>
        <v>13.896311083327271</v>
      </c>
      <c r="K101" s="425">
        <f>'Hazard Values'!$G$13/BG101</f>
        <v>219.04107629003857</v>
      </c>
      <c r="L101" s="425">
        <f t="shared" si="95"/>
        <v>138.96311083327271</v>
      </c>
      <c r="M101" s="425">
        <f t="shared" si="135"/>
        <v>2190.4107629003856</v>
      </c>
      <c r="N101" s="425">
        <f>'Hazard Values'!$G$14/BH101</f>
        <v>14.878317066549062</v>
      </c>
      <c r="O101" s="425">
        <f>'Hazard Values'!$G$14/BI101</f>
        <v>238.33331200664088</v>
      </c>
      <c r="P101" s="425">
        <f t="shared" si="136"/>
        <v>148.78317066549062</v>
      </c>
      <c r="Q101" s="426">
        <f t="shared" si="98"/>
        <v>2383.3331200664088</v>
      </c>
      <c r="S101" s="663"/>
      <c r="T101" s="657"/>
      <c r="U101" s="657"/>
      <c r="V101" s="657"/>
      <c r="W101" s="657"/>
      <c r="X101" s="657"/>
      <c r="Y101" s="657"/>
      <c r="Z101" s="657"/>
      <c r="AA101" s="657"/>
      <c r="AB101" s="657"/>
      <c r="AC101" s="657"/>
      <c r="AD101" s="662"/>
      <c r="AF101" s="427">
        <f t="shared" si="139"/>
        <v>8.1657928246750107</v>
      </c>
      <c r="AG101" s="428">
        <f t="shared" si="140"/>
        <v>37.024352313090318</v>
      </c>
      <c r="AH101" s="428">
        <f t="shared" si="141"/>
        <v>51.612862140487096</v>
      </c>
      <c r="AI101" s="428">
        <f t="shared" si="142"/>
        <v>196.95918384539897</v>
      </c>
      <c r="AJ101" s="428">
        <f t="shared" si="143"/>
        <v>7.399511348707847</v>
      </c>
      <c r="AK101" s="428">
        <f t="shared" si="144"/>
        <v>39.022574723115298</v>
      </c>
      <c r="AL101" s="428">
        <f t="shared" si="145"/>
        <v>50.421886334165428</v>
      </c>
      <c r="AM101" s="428">
        <f t="shared" si="137"/>
        <v>214.19224700386457</v>
      </c>
      <c r="AN101" s="428">
        <f t="shared" si="146"/>
        <v>7.9224101506831985</v>
      </c>
      <c r="AO101" s="428">
        <f t="shared" si="147"/>
        <v>42.459522361330052</v>
      </c>
      <c r="AP101" s="428">
        <f t="shared" si="148"/>
        <v>53.98503296844644</v>
      </c>
      <c r="AQ101" s="429">
        <f t="shared" si="138"/>
        <v>233.05741781043795</v>
      </c>
      <c r="BB101" s="418">
        <f>'Inhalation Exposure'!I99</f>
        <v>8.0491603629856723</v>
      </c>
      <c r="BC101" s="419">
        <f>'Inhalation Exposure'!J99</f>
        <v>0.51065141871165642</v>
      </c>
      <c r="BD101" s="419">
        <f>'Inhalation Exposure'!K99</f>
        <v>5.4756192945480766</v>
      </c>
      <c r="BE101" s="419">
        <f>'Inhalation Exposure'!L99</f>
        <v>0.34738191749092273</v>
      </c>
      <c r="BF101" s="419">
        <f>'Inhalation Exposure'!M99</f>
        <v>4.0154541493352562</v>
      </c>
      <c r="BG101" s="419">
        <f>'Inhalation Exposure'!N99</f>
        <v>0.25474673949334331</v>
      </c>
      <c r="BH101" s="419">
        <f>'Inhalation Exposure'!O99</f>
        <v>3.750424174347998</v>
      </c>
      <c r="BI101" s="448">
        <f>'Inhalation Exposure'!P99</f>
        <v>0.23412589507607395</v>
      </c>
      <c r="BJ101" s="420"/>
      <c r="BK101" s="436"/>
      <c r="BL101" s="439"/>
      <c r="BM101" s="432"/>
      <c r="BN101" s="433"/>
      <c r="BO101" s="434"/>
      <c r="BP101" s="435"/>
      <c r="BQ101" s="435"/>
      <c r="BR101" s="435"/>
      <c r="BS101" s="435"/>
      <c r="BT101" s="435"/>
    </row>
    <row r="102" spans="1:72" x14ac:dyDescent="0.3">
      <c r="A102" s="306">
        <v>7</v>
      </c>
      <c r="B102" s="644"/>
      <c r="C102" s="308" t="s">
        <v>268</v>
      </c>
      <c r="D102" s="206" t="s">
        <v>73</v>
      </c>
      <c r="E102" s="380" t="s">
        <v>270</v>
      </c>
      <c r="F102" s="424">
        <f>'Hazard Values'!$G$12/BD102</f>
        <v>58.934758222459244</v>
      </c>
      <c r="G102" s="425">
        <f>'Hazard Values'!$G$12/BE102</f>
        <v>137.93241286107485</v>
      </c>
      <c r="H102" s="425">
        <f t="shared" si="93"/>
        <v>589.34758222459243</v>
      </c>
      <c r="I102" s="425">
        <f t="shared" si="94"/>
        <v>1379.3241286107486</v>
      </c>
      <c r="J102" s="425">
        <f>'Hazard Values'!$G$13/BF102</f>
        <v>41.910274114017312</v>
      </c>
      <c r="K102" s="425">
        <f>'Hazard Values'!$G$13/BG102</f>
        <v>98.087875585998006</v>
      </c>
      <c r="L102" s="425">
        <f t="shared" si="95"/>
        <v>419.10274114017312</v>
      </c>
      <c r="M102" s="425">
        <f t="shared" si="135"/>
        <v>980.87875585998006</v>
      </c>
      <c r="N102" s="425">
        <f>'Hazard Values'!$G$14/BH102</f>
        <v>44.871933484741213</v>
      </c>
      <c r="O102" s="425">
        <f>'Hazard Values'!$G$14/BI102</f>
        <v>106.72705161999508</v>
      </c>
      <c r="P102" s="425">
        <f t="shared" si="136"/>
        <v>448.71933484741214</v>
      </c>
      <c r="Q102" s="426">
        <f t="shared" si="98"/>
        <v>1067.2705161999509</v>
      </c>
      <c r="S102" s="663"/>
      <c r="T102" s="657"/>
      <c r="U102" s="657"/>
      <c r="V102" s="657"/>
      <c r="W102" s="657"/>
      <c r="X102" s="657"/>
      <c r="Y102" s="657"/>
      <c r="Z102" s="657"/>
      <c r="AA102" s="657"/>
      <c r="AB102" s="657"/>
      <c r="AC102" s="657"/>
      <c r="AD102" s="662"/>
      <c r="AF102" s="427">
        <f t="shared" si="139"/>
        <v>11.330676121077911</v>
      </c>
      <c r="AG102" s="428">
        <f t="shared" si="140"/>
        <v>32.244939884206474</v>
      </c>
      <c r="AH102" s="428">
        <f t="shared" si="141"/>
        <v>62.678611449395461</v>
      </c>
      <c r="AI102" s="428">
        <f t="shared" si="142"/>
        <v>182.56401136923117</v>
      </c>
      <c r="AJ102" s="428">
        <f t="shared" si="143"/>
        <v>11.488572888951033</v>
      </c>
      <c r="AK102" s="428">
        <f t="shared" si="144"/>
        <v>31.994084031452434</v>
      </c>
      <c r="AL102" s="428">
        <f t="shared" si="145"/>
        <v>66.566582303005276</v>
      </c>
      <c r="AM102" s="428">
        <f t="shared" si="137"/>
        <v>191.14385842352712</v>
      </c>
      <c r="AN102" s="428">
        <f t="shared" si="146"/>
        <v>12.300432039770239</v>
      </c>
      <c r="AO102" s="428">
        <f t="shared" si="147"/>
        <v>34.811991161593902</v>
      </c>
      <c r="AP102" s="428">
        <f t="shared" si="148"/>
        <v>71.270620785750964</v>
      </c>
      <c r="AQ102" s="429">
        <f t="shared" si="138"/>
        <v>207.97902210581609</v>
      </c>
      <c r="BB102" s="418">
        <f>'Inhalation Exposure'!I100</f>
        <v>2.1351067484662578</v>
      </c>
      <c r="BC102" s="419">
        <f>'Inhalation Exposure'!J100</f>
        <v>0.91227288343558299</v>
      </c>
      <c r="BD102" s="419">
        <f>'Inhalation Exposure'!K100</f>
        <v>1.8155669629815117</v>
      </c>
      <c r="BE102" s="419">
        <f>'Inhalation Exposure'!L100</f>
        <v>0.77574224781937307</v>
      </c>
      <c r="BF102" s="419">
        <f>'Inhalation Exposure'!M100</f>
        <v>1.3314157728531086</v>
      </c>
      <c r="BG102" s="419">
        <f>'Inhalation Exposure'!N100</f>
        <v>0.56887764840087351</v>
      </c>
      <c r="BH102" s="419">
        <f>'Inhalation Exposure'!O100</f>
        <v>1.2435390157407613</v>
      </c>
      <c r="BI102" s="448">
        <f>'Inhalation Exposure'!P100</f>
        <v>0.52282902181798852</v>
      </c>
      <c r="BJ102" s="420"/>
      <c r="BK102" s="436"/>
      <c r="BL102" s="439"/>
      <c r="BM102" s="432"/>
      <c r="BN102" s="433"/>
      <c r="BO102" s="434"/>
      <c r="BP102" s="435"/>
      <c r="BQ102" s="435"/>
      <c r="BR102" s="435"/>
      <c r="BS102" s="435"/>
      <c r="BT102" s="435"/>
    </row>
    <row r="103" spans="1:72" x14ac:dyDescent="0.3">
      <c r="A103" s="306">
        <v>7</v>
      </c>
      <c r="B103" s="643"/>
      <c r="C103" s="308" t="s">
        <v>268</v>
      </c>
      <c r="D103" s="206" t="s">
        <v>73</v>
      </c>
      <c r="E103" s="380" t="s">
        <v>269</v>
      </c>
      <c r="F103" s="424">
        <f>'Hazard Values'!$G$12/BD103</f>
        <v>55.773619335643964</v>
      </c>
      <c r="G103" s="425">
        <f>'Hazard Values'!$G$12/BE103</f>
        <v>568.04586238514935</v>
      </c>
      <c r="H103" s="425">
        <f t="shared" si="93"/>
        <v>557.73619335643968</v>
      </c>
      <c r="I103" s="425">
        <f t="shared" si="94"/>
        <v>5680.458623851493</v>
      </c>
      <c r="J103" s="425">
        <f>'Hazard Values'!$G$13/BF103</f>
        <v>39.662293444293965</v>
      </c>
      <c r="K103" s="425">
        <f>'Hazard Values'!$G$13/BG103</f>
        <v>403.95444929173323</v>
      </c>
      <c r="L103" s="425">
        <f t="shared" si="95"/>
        <v>396.62293444293965</v>
      </c>
      <c r="M103" s="425">
        <f t="shared" si="135"/>
        <v>4039.5444929173323</v>
      </c>
      <c r="N103" s="425">
        <f>'Hazard Values'!$G$14/BH103</f>
        <v>42.465095514357401</v>
      </c>
      <c r="O103" s="425">
        <f>'Hazard Values'!$G$14/BI103</f>
        <v>439.53309319954178</v>
      </c>
      <c r="P103" s="425">
        <f t="shared" si="136"/>
        <v>424.65095514357404</v>
      </c>
      <c r="Q103" s="426">
        <f t="shared" si="98"/>
        <v>4395.3309319954178</v>
      </c>
      <c r="S103" s="663"/>
      <c r="T103" s="657"/>
      <c r="U103" s="657"/>
      <c r="V103" s="657"/>
      <c r="W103" s="657"/>
      <c r="X103" s="657"/>
      <c r="Y103" s="657"/>
      <c r="Z103" s="657"/>
      <c r="AA103" s="657"/>
      <c r="AB103" s="657"/>
      <c r="AC103" s="657"/>
      <c r="AD103" s="662"/>
      <c r="AF103" s="427">
        <f t="shared" si="139"/>
        <v>11.208538889564078</v>
      </c>
      <c r="AG103" s="428">
        <f t="shared" si="140"/>
        <v>39.180175832561261</v>
      </c>
      <c r="AH103" s="428">
        <f t="shared" si="141"/>
        <v>62.303057812711891</v>
      </c>
      <c r="AI103" s="428">
        <f t="shared" si="142"/>
        <v>202.89818983820678</v>
      </c>
      <c r="AJ103" s="428">
        <f t="shared" si="143"/>
        <v>11.312808548383931</v>
      </c>
      <c r="AK103" s="428">
        <f t="shared" si="144"/>
        <v>42.487444276718655</v>
      </c>
      <c r="AL103" s="428">
        <f t="shared" si="145"/>
        <v>65.972680508470702</v>
      </c>
      <c r="AM103" s="428">
        <f t="shared" si="137"/>
        <v>224.22930606458937</v>
      </c>
      <c r="AN103" s="428">
        <f t="shared" si="146"/>
        <v>12.112247019136392</v>
      </c>
      <c r="AO103" s="428">
        <f t="shared" si="147"/>
        <v>46.229563352581401</v>
      </c>
      <c r="AP103" s="428">
        <f t="shared" si="148"/>
        <v>70.634749931069294</v>
      </c>
      <c r="AQ103" s="429">
        <f t="shared" si="138"/>
        <v>243.97849968816433</v>
      </c>
      <c r="BB103" s="418">
        <f>'Inhalation Exposure'!I101</f>
        <v>1.8801003278800263</v>
      </c>
      <c r="BC103" s="419">
        <f>'Inhalation Exposure'!J101</f>
        <v>0.18459777096114521</v>
      </c>
      <c r="BD103" s="419">
        <f>'Inhalation Exposure'!K101</f>
        <v>1.9184697223265577</v>
      </c>
      <c r="BE103" s="419">
        <f>'Inhalation Exposure'!L101</f>
        <v>0.18836507240933181</v>
      </c>
      <c r="BF103" s="419">
        <f>'Inhalation Exposure'!M101</f>
        <v>1.406877796372809</v>
      </c>
      <c r="BG103" s="419">
        <f>'Inhalation Exposure'!N101</f>
        <v>0.13813438643351</v>
      </c>
      <c r="BH103" s="419">
        <f>'Inhalation Exposure'!O101</f>
        <v>1.3140203577579164</v>
      </c>
      <c r="BI103" s="448">
        <f>'Inhalation Exposure'!P101</f>
        <v>0.1269528981169743</v>
      </c>
      <c r="BJ103" s="420"/>
      <c r="BK103" s="436"/>
      <c r="BL103" s="439"/>
      <c r="BM103" s="432"/>
      <c r="BN103" s="433"/>
      <c r="BO103" s="434"/>
      <c r="BP103" s="435"/>
      <c r="BQ103" s="435"/>
      <c r="BR103" s="435"/>
      <c r="BS103" s="435"/>
      <c r="BT103" s="435"/>
    </row>
    <row r="104" spans="1:72" ht="26" x14ac:dyDescent="0.3">
      <c r="A104" s="306">
        <v>7</v>
      </c>
      <c r="B104" s="641" t="s">
        <v>252</v>
      </c>
      <c r="C104" s="308" t="s">
        <v>73</v>
      </c>
      <c r="D104" s="206" t="s">
        <v>73</v>
      </c>
      <c r="E104" s="380" t="s">
        <v>107</v>
      </c>
      <c r="F104" s="424">
        <f>'Hazard Values'!$G$12/BD104</f>
        <v>9252.3529411764703</v>
      </c>
      <c r="G104" s="425">
        <f>'Hazard Values'!$G$12/BE104</f>
        <v>165655.60821484993</v>
      </c>
      <c r="H104" s="425">
        <f t="shared" si="93"/>
        <v>92523.529411764699</v>
      </c>
      <c r="I104" s="425">
        <f t="shared" si="94"/>
        <v>1656556.0821484993</v>
      </c>
      <c r="J104" s="425">
        <f>'Hazard Values'!$G$13/BF104</f>
        <v>6579.6256684491982</v>
      </c>
      <c r="K104" s="425">
        <f>'Hazard Values'!$G$13/BG104</f>
        <v>117802.6712623869</v>
      </c>
      <c r="L104" s="425">
        <f t="shared" si="95"/>
        <v>65796.256684491978</v>
      </c>
      <c r="M104" s="425">
        <f t="shared" si="135"/>
        <v>1178026.7126238691</v>
      </c>
      <c r="N104" s="425">
        <f>'Hazard Values'!$G$14/BH104</f>
        <v>7044.5858823529416</v>
      </c>
      <c r="O104" s="425">
        <f>'Hazard Values'!$G$14/BI104</f>
        <v>144641.5061524414</v>
      </c>
      <c r="P104" s="425">
        <f t="shared" si="136"/>
        <v>70445.858823529416</v>
      </c>
      <c r="Q104" s="426">
        <f t="shared" si="98"/>
        <v>1446415.061524414</v>
      </c>
      <c r="S104" s="427">
        <f>'Hazard Values'!$I$12/'Bridge Table'!BO104</f>
        <v>1402.7592345349353</v>
      </c>
      <c r="T104" s="428">
        <f>'Hazard Values'!$I$12/BP104</f>
        <v>4208.2777036048074</v>
      </c>
      <c r="U104" s="428">
        <f>'Hazard Values'!$I$12/(BO104/'Bridge Table'!$V$5)</f>
        <v>7013.7961726746762</v>
      </c>
      <c r="V104" s="428">
        <f>'Hazard Values'!$I$12/(BP104/'Bridge Table'!$V$5)</f>
        <v>21041.388518024032</v>
      </c>
      <c r="W104" s="428">
        <f>'Hazard Values'!$I$13/BQ104</f>
        <v>1582.716349071489</v>
      </c>
      <c r="X104" s="428">
        <f>'Hazard Values'!$I$13/BR104</f>
        <v>4748.1490472144687</v>
      </c>
      <c r="Y104" s="428">
        <f>'Hazard Values'!$I$13/(BQ104/$Z$5)</f>
        <v>7913.5817453574455</v>
      </c>
      <c r="Z104" s="428">
        <f>'Hazard Values'!$I$13/(BR104/$Z$5)</f>
        <v>23740.745236072344</v>
      </c>
      <c r="AA104" s="428">
        <f>'Hazard Values'!$I$14/'Bridge Table'!BS104</f>
        <v>1694.5616377392075</v>
      </c>
      <c r="AB104" s="428">
        <f>'Hazard Values'!$I$14/'Bridge Table'!BT104</f>
        <v>5829.9138913046154</v>
      </c>
      <c r="AC104" s="428">
        <f>'Hazard Values'!$I$14/(BS104/$AD$5)</f>
        <v>8472.8081886960372</v>
      </c>
      <c r="AD104" s="429">
        <f>'Hazard Values'!$I$14/(BT104/$AD$5)</f>
        <v>29149.569456523073</v>
      </c>
      <c r="AF104" s="427">
        <f>(1/((1/F104)+(1/$S$104)))</f>
        <v>1218.0841755000304</v>
      </c>
      <c r="AG104" s="428">
        <f>(1/((1/G104)+(1/$T$104)))</f>
        <v>4104.0201026739123</v>
      </c>
      <c r="AH104" s="428">
        <f>1/((1/(F104*$AI$5))+((1/($S$104*$AI$4))))</f>
        <v>6519.5761756737093</v>
      </c>
      <c r="AI104" s="428">
        <f>1/((1/(G104*$AI$5))+((1/($T$104*$AI$4))))</f>
        <v>20777.475369305153</v>
      </c>
      <c r="AJ104" s="428">
        <f>(1/((1/J104)+(1/$W$104)))</f>
        <v>1275.8202356470388</v>
      </c>
      <c r="AK104" s="428">
        <f>(1/((1/K104)+(1/$X$104)))</f>
        <v>4564.1852082323376</v>
      </c>
      <c r="AL104" s="428">
        <f>1/((1/(J104*$AM$5))+(1/($W$104*$AM$4)))</f>
        <v>7063.9695718067542</v>
      </c>
      <c r="AM104" s="428">
        <f>1/((1/(K104*$AM$5))+(1/($X$104*$AM$4)))</f>
        <v>23271.750189919432</v>
      </c>
      <c r="AN104" s="428">
        <f>(1/((1/N104)+(1/$AA$104)))</f>
        <v>1365.9781989660962</v>
      </c>
      <c r="AO104" s="428">
        <f>(1/((1/O104)+(1/$AB$104)))</f>
        <v>5604.0378015452088</v>
      </c>
      <c r="AP104" s="428">
        <f>1/((1/(N104*$AM$5))+(1/($AA$104*$AM$4)))</f>
        <v>7563.1567548810981</v>
      </c>
      <c r="AQ104" s="429">
        <f>1/((1/(O104*$AM$5))+(1/($AB$104*$AM$4)))</f>
        <v>28573.72385704175</v>
      </c>
      <c r="BB104" s="418">
        <f>'Inhalation Exposure'!I102</f>
        <v>1.7000000000000001E-2</v>
      </c>
      <c r="BC104" s="419">
        <f>'Inhalation Exposure'!J102</f>
        <v>9.4950000000000004E-4</v>
      </c>
      <c r="BD104" s="419">
        <f>'Inhalation Exposure'!K102</f>
        <v>1.1564625850340135E-2</v>
      </c>
      <c r="BE104" s="419">
        <f>'Inhalation Exposure'!L102</f>
        <v>6.4591836734693877E-4</v>
      </c>
      <c r="BF104" s="419">
        <f>'Inhalation Exposure'!M102</f>
        <v>8.480725623582765E-3</v>
      </c>
      <c r="BG104" s="419">
        <f>'Inhalation Exposure'!N102</f>
        <v>4.7367346938775509E-4</v>
      </c>
      <c r="BH104" s="419">
        <f>'Inhalation Exposure'!O102</f>
        <v>7.9209766098220103E-3</v>
      </c>
      <c r="BI104" s="448">
        <f>'Inhalation Exposure'!P102</f>
        <v>3.8578138104556888E-4</v>
      </c>
      <c r="BJ104" s="420"/>
      <c r="BK104" s="436">
        <v>7</v>
      </c>
      <c r="BL104" s="439" t="s">
        <v>252</v>
      </c>
      <c r="BM104" s="432" t="s">
        <v>73</v>
      </c>
      <c r="BN104" s="433" t="s">
        <v>73</v>
      </c>
      <c r="BO104" s="434">
        <f>'Dermal Exposure'!T70</f>
        <v>0.28087500000000004</v>
      </c>
      <c r="BP104" s="435">
        <f>'Dermal Exposure'!U70</f>
        <v>9.3624999999999986E-2</v>
      </c>
      <c r="BQ104" s="435">
        <f>'Dermal Exposure'!V70</f>
        <v>0.20597500000000002</v>
      </c>
      <c r="BR104" s="435">
        <f>'Dermal Exposure'!W70</f>
        <v>6.8658333333333321E-2</v>
      </c>
      <c r="BS104" s="435">
        <f>'Dermal Exposure'!X70</f>
        <v>0.19238013698630141</v>
      </c>
      <c r="BT104" s="435">
        <f>'Dermal Exposure'!Y70</f>
        <v>5.5918493150684923E-2</v>
      </c>
    </row>
    <row r="105" spans="1:72" ht="26" x14ac:dyDescent="0.3">
      <c r="A105" s="306">
        <v>7</v>
      </c>
      <c r="B105" s="643"/>
      <c r="C105" s="308" t="s">
        <v>54</v>
      </c>
      <c r="D105" s="206" t="s">
        <v>54</v>
      </c>
      <c r="E105" s="380" t="s">
        <v>107</v>
      </c>
      <c r="F105" s="424">
        <f>'Hazard Values'!$G$12/BD105</f>
        <v>165655.60821484993</v>
      </c>
      <c r="G105" s="425">
        <f>'Hazard Values'!$G$12/BE105</f>
        <v>165655.60821484993</v>
      </c>
      <c r="H105" s="425">
        <f t="shared" si="93"/>
        <v>1656556.0821484993</v>
      </c>
      <c r="I105" s="425">
        <f t="shared" si="94"/>
        <v>1656556.0821484993</v>
      </c>
      <c r="J105" s="425">
        <f>'Hazard Values'!$G$13/BF105</f>
        <v>117802.6712623869</v>
      </c>
      <c r="K105" s="425">
        <f>'Hazard Values'!$G$13/BG105</f>
        <v>117802.6712623869</v>
      </c>
      <c r="L105" s="425">
        <f t="shared" si="95"/>
        <v>1178026.7126238691</v>
      </c>
      <c r="M105" s="425">
        <f t="shared" si="135"/>
        <v>1178026.7126238691</v>
      </c>
      <c r="N105" s="425">
        <f>'Hazard Values'!$G$14/BH105</f>
        <v>126127.39336492891</v>
      </c>
      <c r="O105" s="425">
        <f>'Hazard Values'!$G$14/BI105</f>
        <v>144641.5061524414</v>
      </c>
      <c r="P105" s="425">
        <f t="shared" si="136"/>
        <v>1261273.9336492892</v>
      </c>
      <c r="Q105" s="426">
        <f t="shared" si="98"/>
        <v>1446415.061524414</v>
      </c>
      <c r="S105" s="427">
        <f>'Hazard Values'!$I$12/'Bridge Table'!BO105</f>
        <v>4208.2777036048074</v>
      </c>
      <c r="T105" s="428">
        <f>'Hazard Values'!$I$12/BP105</f>
        <v>4208.2777036048074</v>
      </c>
      <c r="U105" s="428">
        <f>'Hazard Values'!$I$12/(BO105/'Bridge Table'!$V$5)</f>
        <v>21041.388518024032</v>
      </c>
      <c r="V105" s="428">
        <f>'Hazard Values'!$I$12/(BP105/'Bridge Table'!$V$5)</f>
        <v>21041.388518024032</v>
      </c>
      <c r="W105" s="428">
        <f>'Hazard Values'!$I$13/BQ105</f>
        <v>4748.1490472144687</v>
      </c>
      <c r="X105" s="428">
        <f>'Hazard Values'!$I$13/BR105</f>
        <v>4748.1490472144687</v>
      </c>
      <c r="Y105" s="428">
        <f>'Hazard Values'!$I$13/(BQ105/$Z$5)</f>
        <v>23740.745236072344</v>
      </c>
      <c r="Z105" s="428">
        <f>'Hazard Values'!$I$13/(BR105/$Z$5)</f>
        <v>23740.745236072344</v>
      </c>
      <c r="AA105" s="428">
        <f>'Hazard Values'!$I$14/'Bridge Table'!BS105</f>
        <v>5083.6849132176239</v>
      </c>
      <c r="AB105" s="428">
        <f>'Hazard Values'!$I$14/'Bridge Table'!BT105</f>
        <v>5829.9138913046154</v>
      </c>
      <c r="AC105" s="428">
        <f>'Hazard Values'!$I$14/(BS105/$AD$5)</f>
        <v>25418.424566088124</v>
      </c>
      <c r="AD105" s="429">
        <f>'Hazard Values'!$I$14/(BT105/$AD$5)</f>
        <v>29149.569456523073</v>
      </c>
      <c r="AF105" s="427">
        <f>AG105</f>
        <v>4104.0201026739123</v>
      </c>
      <c r="AG105" s="428">
        <f t="shared" ref="AG105" si="149">(1/((1/G105)+(1/$T$104)))</f>
        <v>4104.0201026739123</v>
      </c>
      <c r="AH105" s="428">
        <f>AI105</f>
        <v>20777.475369305153</v>
      </c>
      <c r="AI105" s="428">
        <f>1/((1/(G105*$AI$5))+((1/($T$104*$AI$4))))</f>
        <v>20777.475369305153</v>
      </c>
      <c r="AJ105" s="428">
        <f>AK105</f>
        <v>4564.1852082323376</v>
      </c>
      <c r="AK105" s="428">
        <f t="shared" ref="AK105" si="150">(1/((1/K105)+(1/$X$104)))</f>
        <v>4564.1852082323376</v>
      </c>
      <c r="AL105" s="428">
        <f>AM105</f>
        <v>23271.750189919432</v>
      </c>
      <c r="AM105" s="428">
        <f>1/((1/(K105*$AM$5))+(1/($X$104*$AM$4)))</f>
        <v>23271.750189919432</v>
      </c>
      <c r="AN105" s="428">
        <f>AO105</f>
        <v>5604.0378015452088</v>
      </c>
      <c r="AO105" s="428">
        <f>(1/((1/O105)+(1/$AB$104)))</f>
        <v>5604.0378015452088</v>
      </c>
      <c r="AP105" s="428">
        <f>AQ105</f>
        <v>28573.72385704175</v>
      </c>
      <c r="AQ105" s="429">
        <f>1/((1/(O105*$AM$5))+(1/($AB$104*$AM$4)))</f>
        <v>28573.72385704175</v>
      </c>
      <c r="BB105" s="418">
        <f>'Inhalation Exposure'!I103</f>
        <v>9.4950000000000004E-4</v>
      </c>
      <c r="BC105" s="419">
        <f>'Inhalation Exposure'!J103</f>
        <v>9.4950000000000004E-4</v>
      </c>
      <c r="BD105" s="419">
        <f>'Inhalation Exposure'!K103</f>
        <v>6.4591836734693877E-4</v>
      </c>
      <c r="BE105" s="419">
        <f>'Inhalation Exposure'!L103</f>
        <v>6.4591836734693877E-4</v>
      </c>
      <c r="BF105" s="419">
        <f>'Inhalation Exposure'!M103</f>
        <v>4.7367346938775509E-4</v>
      </c>
      <c r="BG105" s="419">
        <f>'Inhalation Exposure'!N103</f>
        <v>4.7367346938775509E-4</v>
      </c>
      <c r="BH105" s="419">
        <f>'Inhalation Exposure'!O103</f>
        <v>4.4240984064858817E-4</v>
      </c>
      <c r="BI105" s="448">
        <f>'Inhalation Exposure'!P103</f>
        <v>3.8578138104556888E-4</v>
      </c>
      <c r="BJ105" s="420"/>
      <c r="BK105" s="436">
        <v>7</v>
      </c>
      <c r="BL105" s="439" t="s">
        <v>252</v>
      </c>
      <c r="BM105" s="432" t="s">
        <v>54</v>
      </c>
      <c r="BN105" s="433" t="s">
        <v>54</v>
      </c>
      <c r="BO105" s="434">
        <f>'Dermal Exposure'!T71</f>
        <v>9.3624999999999986E-2</v>
      </c>
      <c r="BP105" s="435">
        <f>'Dermal Exposure'!U71</f>
        <v>9.3624999999999986E-2</v>
      </c>
      <c r="BQ105" s="435">
        <f>'Dermal Exposure'!V71</f>
        <v>6.8658333333333321E-2</v>
      </c>
      <c r="BR105" s="435">
        <f>'Dermal Exposure'!W71</f>
        <v>6.8658333333333321E-2</v>
      </c>
      <c r="BS105" s="435">
        <f>'Dermal Exposure'!X71</f>
        <v>6.4126712328767113E-2</v>
      </c>
      <c r="BT105" s="435">
        <f>'Dermal Exposure'!Y71</f>
        <v>5.5918493150684923E-2</v>
      </c>
    </row>
    <row r="106" spans="1:72" ht="39" x14ac:dyDescent="0.3">
      <c r="A106" s="306">
        <v>7</v>
      </c>
      <c r="B106" s="641" t="s">
        <v>287</v>
      </c>
      <c r="C106" s="308" t="s">
        <v>73</v>
      </c>
      <c r="D106" s="206" t="s">
        <v>73</v>
      </c>
      <c r="E106" s="380" t="s">
        <v>269</v>
      </c>
      <c r="F106" s="424">
        <f>'Hazard Values'!$G$12/BD106</f>
        <v>6445.7831325301204</v>
      </c>
      <c r="G106" s="425">
        <f>'Hazard Values'!$G$12/BE106</f>
        <v>23830.734966592427</v>
      </c>
      <c r="H106" s="425">
        <f t="shared" si="93"/>
        <v>64457.831325301202</v>
      </c>
      <c r="I106" s="425">
        <f t="shared" si="94"/>
        <v>238307.34966592427</v>
      </c>
      <c r="J106" s="425">
        <f>'Hazard Values'!$G$13/BF106</f>
        <v>4611.5702479338843</v>
      </c>
      <c r="K106" s="425">
        <f>'Hazard Values'!$G$13/BG106</f>
        <v>16909.090909090908</v>
      </c>
      <c r="L106" s="425">
        <f t="shared" si="95"/>
        <v>46115.702479338841</v>
      </c>
      <c r="M106" s="425">
        <f t="shared" si="135"/>
        <v>169090.90909090909</v>
      </c>
      <c r="N106" s="425">
        <f>'Hazard Values'!$G$14/BH106</f>
        <v>5886.0759493670876</v>
      </c>
      <c r="O106" s="425">
        <f>'Hazard Values'!$G$14/BI106</f>
        <v>23250</v>
      </c>
      <c r="P106" s="425">
        <f t="shared" si="136"/>
        <v>58860.759493670877</v>
      </c>
      <c r="Q106" s="426">
        <f t="shared" si="98"/>
        <v>232500</v>
      </c>
      <c r="S106" s="427">
        <f>'Hazard Values'!$I$12/'Bridge Table'!BO106</f>
        <v>1402.7592345349353</v>
      </c>
      <c r="T106" s="428">
        <f>'Hazard Values'!$I$12/BP106</f>
        <v>4208.2777036048074</v>
      </c>
      <c r="U106" s="428">
        <f>'Hazard Values'!$I$12/(BO106/'Bridge Table'!$V$5)</f>
        <v>7013.7961726746762</v>
      </c>
      <c r="V106" s="428">
        <f>'Hazard Values'!$I$12/(BP106/'Bridge Table'!$V$5)</f>
        <v>21041.388518024032</v>
      </c>
      <c r="W106" s="428">
        <f>'Hazard Values'!$I$13/BQ106</f>
        <v>1582.716349071489</v>
      </c>
      <c r="X106" s="428">
        <f>'Hazard Values'!$I$13/BR106</f>
        <v>4748.1490472144687</v>
      </c>
      <c r="Y106" s="428">
        <f>'Hazard Values'!$I$13/(BQ106/$Z$5)</f>
        <v>7913.5817453574455</v>
      </c>
      <c r="Z106" s="428">
        <f>'Hazard Values'!$I$13/(BR106/$Z$5)</f>
        <v>23740.745236072344</v>
      </c>
      <c r="AA106" s="428">
        <f>'Hazard Values'!$I$14/'Bridge Table'!BS106</f>
        <v>1694.5616377392075</v>
      </c>
      <c r="AB106" s="428">
        <f>'Hazard Values'!$I$14/'Bridge Table'!BT106</f>
        <v>5699.1983332036143</v>
      </c>
      <c r="AC106" s="428">
        <f>'Hazard Values'!$I$14/(BS106/$AD$5)</f>
        <v>8472.8081886960372</v>
      </c>
      <c r="AD106" s="429">
        <f>'Hazard Values'!$I$14/(BT106/$AD$5)</f>
        <v>28495.991666018075</v>
      </c>
      <c r="AF106" s="427">
        <f>(1/((1/F106)+(1/$S$106)))</f>
        <v>1152.0459965800426</v>
      </c>
      <c r="AG106" s="428">
        <f>(1/((1/G106)+(1/$T$106)))</f>
        <v>3576.6719677337669</v>
      </c>
      <c r="AH106" s="428">
        <f>1/((1/(F106*$AI$5))+((1/($S$106*$AI$4))))</f>
        <v>6325.5043501158698</v>
      </c>
      <c r="AI106" s="428">
        <f>1/((1/(G106*$AI$5))+((1/($T$106*$AI$4))))</f>
        <v>19334.266155036439</v>
      </c>
      <c r="AJ106" s="428">
        <f>(1/((1/J106)+(1/$W$106)))</f>
        <v>1178.312871384612</v>
      </c>
      <c r="AK106" s="428">
        <f>(1/((1/K106)+(1/$X$106)))</f>
        <v>3707.1613950459914</v>
      </c>
      <c r="AL106" s="428">
        <f>1/((1/(J106*$AM$5))+(1/($W$106*$AM$4)))</f>
        <v>6754.4922453001891</v>
      </c>
      <c r="AM106" s="428">
        <f>1/((1/(K106*$AM$5))+(1/($X$106*$AM$4)))</f>
        <v>20817.869392211327</v>
      </c>
      <c r="AN106" s="428">
        <f>(1/((1/N106)+(1/$AA$106)))</f>
        <v>1315.7624785521873</v>
      </c>
      <c r="AO106" s="428">
        <f>(1/((1/O106)+(1/$AB$106)))</f>
        <v>4577.2031308723444</v>
      </c>
      <c r="AP106" s="428">
        <f>1/((1/(N106*$AM$5))+(1/($AA$106*$AM$4)))</f>
        <v>7406.6463756003322</v>
      </c>
      <c r="AQ106" s="429">
        <f>1/((1/(O106*$AM$5))+(1/($AB$106*$AM$4)))</f>
        <v>25384.750241019985</v>
      </c>
      <c r="BB106" s="418">
        <f>'Inhalation Exposure'!I104</f>
        <v>1.6199999999999999E-2</v>
      </c>
      <c r="BC106" s="419">
        <f>'Inhalation Exposure'!J104</f>
        <v>4.4000000000000003E-3</v>
      </c>
      <c r="BD106" s="419">
        <f>'Inhalation Exposure'!K104</f>
        <v>1.66E-2</v>
      </c>
      <c r="BE106" s="419">
        <f>'Inhalation Exposure'!L104</f>
        <v>4.4900000000000001E-3</v>
      </c>
      <c r="BF106" s="419">
        <f>'Inhalation Exposure'!M104</f>
        <v>1.21E-2</v>
      </c>
      <c r="BG106" s="419">
        <f>'Inhalation Exposure'!N104</f>
        <v>3.3E-3</v>
      </c>
      <c r="BH106" s="419">
        <f>'Inhalation Exposure'!O104</f>
        <v>9.4800000000000006E-3</v>
      </c>
      <c r="BI106" s="448">
        <f>'Inhalation Exposure'!P104</f>
        <v>2.3999999999999998E-3</v>
      </c>
      <c r="BJ106" s="420"/>
      <c r="BK106" s="436">
        <v>7</v>
      </c>
      <c r="BL106" s="439" t="s">
        <v>287</v>
      </c>
      <c r="BM106" s="432" t="s">
        <v>73</v>
      </c>
      <c r="BN106" s="433" t="s">
        <v>73</v>
      </c>
      <c r="BO106" s="434">
        <f>'Dermal Exposure'!T72</f>
        <v>0.28087500000000004</v>
      </c>
      <c r="BP106" s="435">
        <f>'Dermal Exposure'!U72</f>
        <v>9.3624999999999986E-2</v>
      </c>
      <c r="BQ106" s="435">
        <f>'Dermal Exposure'!V72</f>
        <v>0.20597500000000002</v>
      </c>
      <c r="BR106" s="435">
        <f>'Dermal Exposure'!W72</f>
        <v>6.8658333333333321E-2</v>
      </c>
      <c r="BS106" s="435">
        <f>'Dermal Exposure'!X72</f>
        <v>0.19238013698630141</v>
      </c>
      <c r="BT106" s="435">
        <f>'Dermal Exposure'!Y72</f>
        <v>5.7201027397260268E-2</v>
      </c>
    </row>
    <row r="107" spans="1:72" x14ac:dyDescent="0.3">
      <c r="A107" s="306">
        <v>7</v>
      </c>
      <c r="B107" s="643"/>
      <c r="C107" s="308" t="s">
        <v>54</v>
      </c>
      <c r="D107" s="206" t="s">
        <v>54</v>
      </c>
      <c r="E107" s="380" t="s">
        <v>269</v>
      </c>
      <c r="F107" s="424">
        <f>'Hazard Values'!$G$12/BD107</f>
        <v>23830.734966592427</v>
      </c>
      <c r="G107" s="425">
        <f>'Hazard Values'!$G$12/BE107</f>
        <v>23830.734966592427</v>
      </c>
      <c r="H107" s="425">
        <f t="shared" si="93"/>
        <v>238307.34966592427</v>
      </c>
      <c r="I107" s="425">
        <f t="shared" si="94"/>
        <v>238307.34966592427</v>
      </c>
      <c r="J107" s="425">
        <f>'Hazard Values'!$G$13/BF107</f>
        <v>16909.090909090908</v>
      </c>
      <c r="K107" s="425">
        <f>'Hazard Values'!$G$13/BG107</f>
        <v>16909.090909090908</v>
      </c>
      <c r="L107" s="425">
        <f t="shared" si="95"/>
        <v>169090.90909090909</v>
      </c>
      <c r="M107" s="425">
        <f t="shared" si="135"/>
        <v>169090.90909090909</v>
      </c>
      <c r="N107" s="425">
        <f>'Hazard Values'!$G$14/BH107</f>
        <v>23250</v>
      </c>
      <c r="O107" s="425">
        <f>'Hazard Values'!$G$14/BI107</f>
        <v>23250</v>
      </c>
      <c r="P107" s="425">
        <f t="shared" si="136"/>
        <v>232500</v>
      </c>
      <c r="Q107" s="426">
        <f t="shared" si="98"/>
        <v>232500</v>
      </c>
      <c r="S107" s="427" t="s">
        <v>122</v>
      </c>
      <c r="T107" s="428" t="s">
        <v>122</v>
      </c>
      <c r="U107" s="428" t="s">
        <v>122</v>
      </c>
      <c r="V107" s="428" t="s">
        <v>122</v>
      </c>
      <c r="W107" s="428" t="s">
        <v>122</v>
      </c>
      <c r="X107" s="428" t="s">
        <v>122</v>
      </c>
      <c r="Y107" s="428" t="s">
        <v>122</v>
      </c>
      <c r="Z107" s="428" t="s">
        <v>122</v>
      </c>
      <c r="AA107" s="428" t="s">
        <v>122</v>
      </c>
      <c r="AB107" s="428" t="s">
        <v>122</v>
      </c>
      <c r="AC107" s="428" t="s">
        <v>122</v>
      </c>
      <c r="AD107" s="429" t="s">
        <v>122</v>
      </c>
      <c r="AF107" s="427" t="s">
        <v>122</v>
      </c>
      <c r="AG107" s="428" t="s">
        <v>122</v>
      </c>
      <c r="AH107" s="428" t="s">
        <v>122</v>
      </c>
      <c r="AI107" s="428" t="s">
        <v>122</v>
      </c>
      <c r="AJ107" s="428" t="s">
        <v>122</v>
      </c>
      <c r="AK107" s="428" t="s">
        <v>122</v>
      </c>
      <c r="AL107" s="428" t="s">
        <v>122</v>
      </c>
      <c r="AM107" s="428" t="s">
        <v>122</v>
      </c>
      <c r="AN107" s="428" t="s">
        <v>122</v>
      </c>
      <c r="AO107" s="428" t="s">
        <v>122</v>
      </c>
      <c r="AP107" s="428" t="s">
        <v>122</v>
      </c>
      <c r="AQ107" s="429" t="s">
        <v>122</v>
      </c>
      <c r="BB107" s="418">
        <f>'Inhalation Exposure'!I105</f>
        <v>4.4000000000000003E-3</v>
      </c>
      <c r="BC107" s="419">
        <f>'Inhalation Exposure'!J105</f>
        <v>4.4000000000000003E-3</v>
      </c>
      <c r="BD107" s="419">
        <f>'Inhalation Exposure'!K105</f>
        <v>4.4900000000000001E-3</v>
      </c>
      <c r="BE107" s="419">
        <f>'Inhalation Exposure'!L105</f>
        <v>4.4900000000000001E-3</v>
      </c>
      <c r="BF107" s="419">
        <f>'Inhalation Exposure'!M105</f>
        <v>3.3E-3</v>
      </c>
      <c r="BG107" s="419">
        <f>'Inhalation Exposure'!N105</f>
        <v>3.3E-3</v>
      </c>
      <c r="BH107" s="419">
        <f>'Inhalation Exposure'!O105</f>
        <v>2.3999999999999998E-3</v>
      </c>
      <c r="BI107" s="448">
        <f>'Inhalation Exposure'!P105</f>
        <v>2.3999999999999998E-3</v>
      </c>
      <c r="BJ107" s="420"/>
      <c r="BK107" s="436"/>
      <c r="BL107" s="439"/>
      <c r="BM107" s="432"/>
      <c r="BN107" s="433"/>
      <c r="BO107" s="434"/>
      <c r="BP107" s="435"/>
      <c r="BQ107" s="435"/>
      <c r="BR107" s="435"/>
      <c r="BS107" s="435"/>
      <c r="BT107" s="435"/>
    </row>
    <row r="108" spans="1:72" ht="26" x14ac:dyDescent="0.3">
      <c r="A108" s="306">
        <v>7</v>
      </c>
      <c r="B108" s="641" t="s">
        <v>288</v>
      </c>
      <c r="C108" s="308" t="s">
        <v>73</v>
      </c>
      <c r="D108" s="206" t="s">
        <v>73</v>
      </c>
      <c r="E108" s="380" t="s">
        <v>269</v>
      </c>
      <c r="F108" s="424">
        <f>'Hazard Values'!$G$12/BD108</f>
        <v>6484.848484848485</v>
      </c>
      <c r="G108" s="425">
        <f>'Hazard Values'!$G$12/BE108</f>
        <v>23830.734966592427</v>
      </c>
      <c r="H108" s="425">
        <f t="shared" si="93"/>
        <v>64848.484848484848</v>
      </c>
      <c r="I108" s="425">
        <f t="shared" si="94"/>
        <v>238307.34966592427</v>
      </c>
      <c r="J108" s="425">
        <f>'Hazard Values'!$G$13/BF108</f>
        <v>4611.5702479338843</v>
      </c>
      <c r="K108" s="425">
        <f>'Hazard Values'!$G$13/BG108</f>
        <v>16960.486322188448</v>
      </c>
      <c r="L108" s="425">
        <f t="shared" si="95"/>
        <v>46115.702479338841</v>
      </c>
      <c r="M108" s="425">
        <f t="shared" si="135"/>
        <v>169604.86322188447</v>
      </c>
      <c r="N108" s="425">
        <f>'Hazard Values'!$G$14/BH108</f>
        <v>5867.5078864353309</v>
      </c>
      <c r="O108" s="425">
        <f>'Hazard Values'!$G$14/BI108</f>
        <v>23250</v>
      </c>
      <c r="P108" s="425">
        <f t="shared" si="136"/>
        <v>58675.078864353309</v>
      </c>
      <c r="Q108" s="426">
        <f t="shared" si="98"/>
        <v>232500</v>
      </c>
      <c r="S108" s="427">
        <f>'Hazard Values'!$I$12/'Bridge Table'!BO108</f>
        <v>1402.7592345349353</v>
      </c>
      <c r="T108" s="428">
        <f>'Hazard Values'!$I$12/BP108</f>
        <v>4208.2777036048074</v>
      </c>
      <c r="U108" s="428">
        <f>'Hazard Values'!$I$12/(BO108/'Bridge Table'!$V$5)</f>
        <v>7013.7961726746762</v>
      </c>
      <c r="V108" s="428">
        <f>'Hazard Values'!$I$12/(BP108/'Bridge Table'!$V$5)</f>
        <v>21041.388518024032</v>
      </c>
      <c r="W108" s="428">
        <f>'Hazard Values'!$I$13/BQ108</f>
        <v>1582.716349071489</v>
      </c>
      <c r="X108" s="428">
        <f>'Hazard Values'!$I$13/BR108</f>
        <v>4748.1490472144687</v>
      </c>
      <c r="Y108" s="428">
        <f>'Hazard Values'!$I$13/(BQ108/$Z$5)</f>
        <v>7913.5817453574455</v>
      </c>
      <c r="Z108" s="428">
        <f>'Hazard Values'!$I$13/(BR108/$Z$5)</f>
        <v>23740.745236072344</v>
      </c>
      <c r="AA108" s="428">
        <f>'Hazard Values'!$I$14/'Bridge Table'!BS108</f>
        <v>1694.5616377392075</v>
      </c>
      <c r="AB108" s="428">
        <f>'Hazard Values'!$I$14/'Bridge Table'!BT108</f>
        <v>5699.1983332036143</v>
      </c>
      <c r="AC108" s="428">
        <f>'Hazard Values'!$I$14/(BS108/$AD$5)</f>
        <v>8472.8081886960372</v>
      </c>
      <c r="AD108" s="429">
        <f>'Hazard Values'!$I$14/(BT108/$AD$5)</f>
        <v>28495.991666018075</v>
      </c>
      <c r="AF108" s="427">
        <f>(1/((1/F108)+(1/$S$108)))</f>
        <v>1153.2877166705989</v>
      </c>
      <c r="AG108" s="428">
        <f>(1/((1/G108)+(1/$T$108)))</f>
        <v>3576.6719677337669</v>
      </c>
      <c r="AH108" s="428">
        <f>1/((1/(F108*$AI$5))+((1/($S$108*$AI$4))))</f>
        <v>6329.2460018090851</v>
      </c>
      <c r="AI108" s="428">
        <f>1/((1/(G108*$AI$5))+((1/($T$108*$AI$4))))</f>
        <v>19334.266155036439</v>
      </c>
      <c r="AJ108" s="428">
        <f>(1/((1/J108)+(1/$W$108)))</f>
        <v>1178.312871384612</v>
      </c>
      <c r="AK108" s="428">
        <f>(1/((1/K108)+(1/$X$108)))</f>
        <v>3709.6259438074508</v>
      </c>
      <c r="AL108" s="428">
        <f>1/((1/(J108*$AM$5))+(1/($W$108*$AM$4)))</f>
        <v>6754.4922453001891</v>
      </c>
      <c r="AM108" s="428">
        <f>1/((1/(K108*$AM$5))+(1/($X$108*$AM$4)))</f>
        <v>20825.639023630742</v>
      </c>
      <c r="AN108" s="428">
        <f>(1/((1/N108)+(1/$AA$108)))</f>
        <v>1314.8323672111326</v>
      </c>
      <c r="AO108" s="428">
        <f>(1/((1/O108)+(1/$AB$108)))</f>
        <v>4577.2031308723444</v>
      </c>
      <c r="AP108" s="428">
        <f>1/((1/(N108*$AM$5))+(1/($AA$108*$AM$4)))</f>
        <v>7403.6981726843787</v>
      </c>
      <c r="AQ108" s="429">
        <f>1/((1/(O108*$AM$5))+(1/($AB$108*$AM$4)))</f>
        <v>25384.750241019985</v>
      </c>
      <c r="BB108" s="418">
        <f>'Inhalation Exposure'!I106</f>
        <v>1.6199999999999999E-2</v>
      </c>
      <c r="BC108" s="419">
        <f>'Inhalation Exposure'!J106</f>
        <v>4.4000000000000003E-3</v>
      </c>
      <c r="BD108" s="419">
        <f>'Inhalation Exposure'!K106</f>
        <v>1.6500000000000001E-2</v>
      </c>
      <c r="BE108" s="419">
        <f>'Inhalation Exposure'!L106</f>
        <v>4.4900000000000001E-3</v>
      </c>
      <c r="BF108" s="419">
        <f>'Inhalation Exposure'!M106</f>
        <v>1.21E-2</v>
      </c>
      <c r="BG108" s="419">
        <f>'Inhalation Exposure'!N106</f>
        <v>3.29E-3</v>
      </c>
      <c r="BH108" s="419">
        <f>'Inhalation Exposure'!O106</f>
        <v>9.5099999999999994E-3</v>
      </c>
      <c r="BI108" s="448">
        <f>'Inhalation Exposure'!P106</f>
        <v>2.3999999999999998E-3</v>
      </c>
      <c r="BJ108" s="420"/>
      <c r="BK108" s="436">
        <v>7</v>
      </c>
      <c r="BL108" s="439" t="s">
        <v>288</v>
      </c>
      <c r="BM108" s="432" t="s">
        <v>73</v>
      </c>
      <c r="BN108" s="433" t="s">
        <v>73</v>
      </c>
      <c r="BO108" s="434">
        <f>'Dermal Exposure'!T73</f>
        <v>0.28087500000000004</v>
      </c>
      <c r="BP108" s="435">
        <f>'Dermal Exposure'!U73</f>
        <v>9.3624999999999986E-2</v>
      </c>
      <c r="BQ108" s="435">
        <f>'Dermal Exposure'!V73</f>
        <v>0.20597500000000002</v>
      </c>
      <c r="BR108" s="435">
        <f>'Dermal Exposure'!W73</f>
        <v>6.8658333333333321E-2</v>
      </c>
      <c r="BS108" s="435">
        <f>'Dermal Exposure'!X73</f>
        <v>0.19238013698630141</v>
      </c>
      <c r="BT108" s="435">
        <f>'Dermal Exposure'!Y73</f>
        <v>5.7201027397260268E-2</v>
      </c>
    </row>
    <row r="109" spans="1:72" x14ac:dyDescent="0.3">
      <c r="A109" s="306">
        <v>7</v>
      </c>
      <c r="B109" s="643"/>
      <c r="C109" s="308" t="s">
        <v>54</v>
      </c>
      <c r="D109" s="206" t="s">
        <v>54</v>
      </c>
      <c r="E109" s="380" t="s">
        <v>269</v>
      </c>
      <c r="F109" s="424">
        <f>'Hazard Values'!$G$12/BD109</f>
        <v>23830.734966592427</v>
      </c>
      <c r="G109" s="425">
        <f>'Hazard Values'!$G$12/BE109</f>
        <v>23830.734966592427</v>
      </c>
      <c r="H109" s="425">
        <f t="shared" si="93"/>
        <v>238307.34966592427</v>
      </c>
      <c r="I109" s="425">
        <f t="shared" si="94"/>
        <v>238307.34966592427</v>
      </c>
      <c r="J109" s="425">
        <f>'Hazard Values'!$G$13/BF109</f>
        <v>16960.486322188448</v>
      </c>
      <c r="K109" s="425">
        <f>'Hazard Values'!$G$13/BG109</f>
        <v>16960.486322188448</v>
      </c>
      <c r="L109" s="425">
        <f t="shared" si="95"/>
        <v>169604.86322188447</v>
      </c>
      <c r="M109" s="425">
        <f t="shared" si="135"/>
        <v>169604.86322188447</v>
      </c>
      <c r="N109" s="425">
        <f>'Hazard Values'!$G$14/BH109</f>
        <v>23250</v>
      </c>
      <c r="O109" s="425">
        <f>'Hazard Values'!$G$14/BI109</f>
        <v>23250</v>
      </c>
      <c r="P109" s="425">
        <f t="shared" si="136"/>
        <v>232500</v>
      </c>
      <c r="Q109" s="426">
        <f t="shared" si="98"/>
        <v>232500</v>
      </c>
      <c r="S109" s="427" t="s">
        <v>122</v>
      </c>
      <c r="T109" s="428" t="s">
        <v>122</v>
      </c>
      <c r="U109" s="428" t="s">
        <v>122</v>
      </c>
      <c r="V109" s="428" t="s">
        <v>122</v>
      </c>
      <c r="W109" s="428" t="s">
        <v>122</v>
      </c>
      <c r="X109" s="428" t="s">
        <v>122</v>
      </c>
      <c r="Y109" s="428" t="s">
        <v>122</v>
      </c>
      <c r="Z109" s="428" t="s">
        <v>122</v>
      </c>
      <c r="AA109" s="428" t="s">
        <v>122</v>
      </c>
      <c r="AB109" s="428" t="s">
        <v>122</v>
      </c>
      <c r="AC109" s="428" t="s">
        <v>122</v>
      </c>
      <c r="AD109" s="429" t="s">
        <v>122</v>
      </c>
      <c r="AF109" s="427" t="s">
        <v>122</v>
      </c>
      <c r="AG109" s="428" t="s">
        <v>122</v>
      </c>
      <c r="AH109" s="428" t="s">
        <v>122</v>
      </c>
      <c r="AI109" s="428" t="s">
        <v>122</v>
      </c>
      <c r="AJ109" s="428" t="s">
        <v>122</v>
      </c>
      <c r="AK109" s="428" t="s">
        <v>122</v>
      </c>
      <c r="AL109" s="428" t="s">
        <v>122</v>
      </c>
      <c r="AM109" s="428" t="s">
        <v>122</v>
      </c>
      <c r="AN109" s="428" t="s">
        <v>122</v>
      </c>
      <c r="AO109" s="428" t="s">
        <v>122</v>
      </c>
      <c r="AP109" s="428" t="s">
        <v>122</v>
      </c>
      <c r="AQ109" s="429" t="s">
        <v>122</v>
      </c>
      <c r="BB109" s="418">
        <f>'Inhalation Exposure'!I107</f>
        <v>4.4000000000000003E-3</v>
      </c>
      <c r="BC109" s="419">
        <f>'Inhalation Exposure'!J107</f>
        <v>4.4000000000000003E-3</v>
      </c>
      <c r="BD109" s="419">
        <f>'Inhalation Exposure'!K107</f>
        <v>4.4900000000000001E-3</v>
      </c>
      <c r="BE109" s="419">
        <f>'Inhalation Exposure'!L107</f>
        <v>4.4900000000000001E-3</v>
      </c>
      <c r="BF109" s="419">
        <f>'Inhalation Exposure'!M107</f>
        <v>3.29E-3</v>
      </c>
      <c r="BG109" s="419">
        <f>'Inhalation Exposure'!N107</f>
        <v>3.29E-3</v>
      </c>
      <c r="BH109" s="419">
        <f>'Inhalation Exposure'!O107</f>
        <v>2.3999999999999998E-3</v>
      </c>
      <c r="BI109" s="448">
        <f>'Inhalation Exposure'!P107</f>
        <v>2.3999999999999998E-3</v>
      </c>
      <c r="BJ109" s="420"/>
      <c r="BK109" s="436"/>
      <c r="BL109" s="439"/>
      <c r="BM109" s="432"/>
      <c r="BN109" s="433"/>
      <c r="BO109" s="434"/>
      <c r="BP109" s="435"/>
      <c r="BQ109" s="435"/>
      <c r="BR109" s="435"/>
      <c r="BS109" s="435"/>
      <c r="BT109" s="435"/>
    </row>
    <row r="110" spans="1:72" ht="26" x14ac:dyDescent="0.3">
      <c r="A110" s="306">
        <v>8</v>
      </c>
      <c r="B110" s="641" t="s">
        <v>257</v>
      </c>
      <c r="C110" s="308" t="s">
        <v>73</v>
      </c>
      <c r="D110" s="206" t="s">
        <v>73</v>
      </c>
      <c r="E110" s="380" t="s">
        <v>107</v>
      </c>
      <c r="F110" s="424">
        <f>'Hazard Values'!$G$12/BD110</f>
        <v>3.3677004698548143</v>
      </c>
      <c r="G110" s="425">
        <f>'Hazard Values'!$G$12/BE110</f>
        <v>648.28234044705164</v>
      </c>
      <c r="H110" s="425">
        <f t="shared" si="93"/>
        <v>33.677004698548146</v>
      </c>
      <c r="I110" s="425">
        <f t="shared" si="94"/>
        <v>6482.8234044705168</v>
      </c>
      <c r="J110" s="425">
        <f>'Hazard Values'!$G$13/BF110</f>
        <v>2.3948728065152758</v>
      </c>
      <c r="K110" s="425">
        <f>'Hazard Values'!$G$13/BG110</f>
        <v>461.01301525419041</v>
      </c>
      <c r="L110" s="425">
        <f t="shared" si="95"/>
        <v>23.948728065152757</v>
      </c>
      <c r="M110" s="425">
        <f t="shared" si="135"/>
        <v>4610.130152541904</v>
      </c>
      <c r="N110" s="425">
        <f>'Hazard Values'!$G$14/BH110</f>
        <v>2.564110484842355</v>
      </c>
      <c r="O110" s="425">
        <f>'Hazard Values'!$G$14/BI110</f>
        <v>525.09709397037579</v>
      </c>
      <c r="P110" s="425">
        <f t="shared" si="136"/>
        <v>25.641104848423552</v>
      </c>
      <c r="Q110" s="426">
        <f t="shared" si="98"/>
        <v>5250.9709397037577</v>
      </c>
      <c r="S110" s="427">
        <f>'Hazard Values'!$I$12/'Bridge Table'!BO110</f>
        <v>14.027592345349355</v>
      </c>
      <c r="T110" s="428">
        <f>'Hazard Values'!$I$12/BP110</f>
        <v>42.082777036048064</v>
      </c>
      <c r="U110" s="428">
        <f>'Hazard Values'!$I$12/(BO110/'Bridge Table'!$V$5)</f>
        <v>70.137961726746781</v>
      </c>
      <c r="V110" s="428">
        <f>'Hazard Values'!$I$12/(BP110/'Bridge Table'!$V$5)</f>
        <v>210.41388518024033</v>
      </c>
      <c r="W110" s="428">
        <f>'Hazard Values'!$I$13/BQ110</f>
        <v>15.827163490714893</v>
      </c>
      <c r="X110" s="428">
        <f>'Hazard Values'!$I$13/BR110</f>
        <v>47.481490472144678</v>
      </c>
      <c r="Y110" s="428">
        <f>'Hazard Values'!$I$13/(BQ110/$Z$5)</f>
        <v>79.135817453574461</v>
      </c>
      <c r="Z110" s="428">
        <f>'Hazard Values'!$I$13/(BR110/$Z$5)</f>
        <v>237.4074523607234</v>
      </c>
      <c r="AA110" s="428">
        <f>'Hazard Values'!$I$14/'Bridge Table'!BS110</f>
        <v>16.945616377392078</v>
      </c>
      <c r="AB110" s="428">
        <f>'Hazard Values'!$I$14/'Bridge Table'!BT110</f>
        <v>54.081754395932165</v>
      </c>
      <c r="AC110" s="428">
        <f>'Hazard Values'!$I$14/(BS110/$AD$5)</f>
        <v>84.728081886960396</v>
      </c>
      <c r="AD110" s="429">
        <f>'Hazard Values'!$I$14/(BT110/$AD$5)</f>
        <v>270.40877197966086</v>
      </c>
      <c r="AF110" s="427">
        <f>(1/((1/F110)+(1/$S$110)))</f>
        <v>2.7157191220762069</v>
      </c>
      <c r="AG110" s="428">
        <f>(1/((1/G110)+(1/$T$110)))</f>
        <v>39.517525579656095</v>
      </c>
      <c r="AH110" s="428">
        <f>1/((1/(F110*$AI$5))+((1/($S$110*$AI$4))))</f>
        <v>22.752369412149825</v>
      </c>
      <c r="AI110" s="428">
        <f>1/((1/(G110*$AI$5))+((1/($T$110*$AI$4))))</f>
        <v>203.79914837043071</v>
      </c>
      <c r="AJ110" s="428">
        <f>(1/((1/J110)+(1/$W$110)))</f>
        <v>2.0801211692211408</v>
      </c>
      <c r="AK110" s="428">
        <f>(1/((1/K110)+(1/$X$110)))</f>
        <v>43.047830104003545</v>
      </c>
      <c r="AL110" s="428">
        <f>1/((1/(J110*$AM$5))+(1/($W$110*$AM$4)))</f>
        <v>18.384930183981123</v>
      </c>
      <c r="AM110" s="428">
        <f>1/((1/(K110*$AM$5))+(1/($X$110*$AM$4)))</f>
        <v>225.78045675383913</v>
      </c>
      <c r="AN110" s="428">
        <f>(1/((1/N110)+(1/$AA$110)))</f>
        <v>2.2271163985127678</v>
      </c>
      <c r="AO110" s="428">
        <f>(1/((1/O110)+(1/$AB$110)))</f>
        <v>49.031783792219642</v>
      </c>
      <c r="AP110" s="428">
        <f>1/((1/(N110*$AM$5))+(1/($AA$110*$AM$4)))</f>
        <v>19.684131916982455</v>
      </c>
      <c r="AQ110" s="429">
        <f>1/((1/(O110*$AM$5))+(1/($AB$110*$AM$4)))</f>
        <v>257.16554152245794</v>
      </c>
      <c r="BB110" s="418">
        <f>'Inhalation Exposure'!I108</f>
        <v>46.705460122699385</v>
      </c>
      <c r="BC110" s="419">
        <f>'Inhalation Exposure'!J108</f>
        <v>0.24262576687116569</v>
      </c>
      <c r="BD110" s="419">
        <f>'Inhalation Exposure'!K108</f>
        <v>31.77242185217645</v>
      </c>
      <c r="BE110" s="419">
        <f>'Inhalation Exposure'!L108</f>
        <v>0.16505154208922834</v>
      </c>
      <c r="BF110" s="419">
        <f>'Inhalation Exposure'!M108</f>
        <v>23.299776024929397</v>
      </c>
      <c r="BG110" s="419">
        <f>'Inhalation Exposure'!N108</f>
        <v>0.1210377975321008</v>
      </c>
      <c r="BH110" s="419">
        <f>'Inhalation Exposure'!O108</f>
        <v>21.761932775463322</v>
      </c>
      <c r="BI110" s="448">
        <f>'Inhalation Exposure'!P108</f>
        <v>0.10626606134511962</v>
      </c>
      <c r="BJ110" s="420"/>
      <c r="BK110" s="436">
        <v>8</v>
      </c>
      <c r="BL110" s="439" t="s">
        <v>257</v>
      </c>
      <c r="BM110" s="432" t="s">
        <v>73</v>
      </c>
      <c r="BN110" s="433" t="s">
        <v>73</v>
      </c>
      <c r="BO110" s="434">
        <f>'Dermal Exposure'!T74</f>
        <v>28.087499999999999</v>
      </c>
      <c r="BP110" s="435">
        <f>'Dermal Exposure'!U74</f>
        <v>9.3625000000000007</v>
      </c>
      <c r="BQ110" s="435">
        <f>'Dermal Exposure'!V74</f>
        <v>20.5975</v>
      </c>
      <c r="BR110" s="435">
        <f>'Dermal Exposure'!W74</f>
        <v>6.8658333333333337</v>
      </c>
      <c r="BS110" s="435">
        <f>'Dermal Exposure'!X74</f>
        <v>19.238013698630137</v>
      </c>
      <c r="BT110" s="435">
        <f>'Dermal Exposure'!Y74</f>
        <v>6.0279109589041093</v>
      </c>
    </row>
    <row r="111" spans="1:72" ht="14.5" thickBot="1" x14ac:dyDescent="0.35">
      <c r="A111" s="474">
        <v>8</v>
      </c>
      <c r="B111" s="642"/>
      <c r="C111" s="475" t="s">
        <v>54</v>
      </c>
      <c r="D111" s="476" t="s">
        <v>54</v>
      </c>
      <c r="E111" s="477" t="s">
        <v>107</v>
      </c>
      <c r="F111" s="478">
        <f>'Hazard Values'!$G$12/BD111</f>
        <v>648.28234044705164</v>
      </c>
      <c r="G111" s="479">
        <f>'Hazard Values'!$G$12/BE111</f>
        <v>648.28234044705164</v>
      </c>
      <c r="H111" s="479">
        <f t="shared" si="93"/>
        <v>6482.8234044705168</v>
      </c>
      <c r="I111" s="479">
        <f t="shared" si="94"/>
        <v>6482.8234044705168</v>
      </c>
      <c r="J111" s="479">
        <f>'Hazard Values'!$G$13/BF111</f>
        <v>461.01301525419041</v>
      </c>
      <c r="K111" s="479">
        <f>'Hazard Values'!$G$13/BG111</f>
        <v>461.01301525419041</v>
      </c>
      <c r="L111" s="479">
        <f t="shared" si="95"/>
        <v>4610.130152541904</v>
      </c>
      <c r="M111" s="479">
        <f t="shared" si="135"/>
        <v>4610.130152541904</v>
      </c>
      <c r="N111" s="479">
        <f>'Hazard Values'!$G$14/BH111</f>
        <v>493.59126833215322</v>
      </c>
      <c r="O111" s="479">
        <f>'Hazard Values'!$G$14/BI111</f>
        <v>525.09709397037579</v>
      </c>
      <c r="P111" s="479">
        <f t="shared" si="136"/>
        <v>4935.9126833215323</v>
      </c>
      <c r="Q111" s="480">
        <f t="shared" si="98"/>
        <v>5250.9709397037577</v>
      </c>
      <c r="S111" s="471" t="s">
        <v>122</v>
      </c>
      <c r="T111" s="472" t="s">
        <v>122</v>
      </c>
      <c r="U111" s="472" t="s">
        <v>122</v>
      </c>
      <c r="V111" s="472" t="s">
        <v>122</v>
      </c>
      <c r="W111" s="472" t="s">
        <v>122</v>
      </c>
      <c r="X111" s="472" t="s">
        <v>122</v>
      </c>
      <c r="Y111" s="472" t="s">
        <v>122</v>
      </c>
      <c r="Z111" s="472" t="s">
        <v>122</v>
      </c>
      <c r="AA111" s="472" t="s">
        <v>122</v>
      </c>
      <c r="AB111" s="472" t="s">
        <v>122</v>
      </c>
      <c r="AC111" s="472" t="s">
        <v>122</v>
      </c>
      <c r="AD111" s="473" t="s">
        <v>122</v>
      </c>
      <c r="AF111" s="471" t="s">
        <v>122</v>
      </c>
      <c r="AG111" s="472" t="s">
        <v>122</v>
      </c>
      <c r="AH111" s="472" t="s">
        <v>122</v>
      </c>
      <c r="AI111" s="472" t="s">
        <v>122</v>
      </c>
      <c r="AJ111" s="472" t="s">
        <v>122</v>
      </c>
      <c r="AK111" s="472" t="s">
        <v>122</v>
      </c>
      <c r="AL111" s="472" t="s">
        <v>122</v>
      </c>
      <c r="AM111" s="472" t="s">
        <v>122</v>
      </c>
      <c r="AN111" s="472" t="s">
        <v>122</v>
      </c>
      <c r="AO111" s="472" t="s">
        <v>122</v>
      </c>
      <c r="AP111" s="472" t="s">
        <v>122</v>
      </c>
      <c r="AQ111" s="473" t="s">
        <v>122</v>
      </c>
      <c r="BB111" s="451">
        <f>'Inhalation Exposure'!I109</f>
        <v>0.24262576687116569</v>
      </c>
      <c r="BC111" s="452">
        <f>'Inhalation Exposure'!J109</f>
        <v>0.24262576687116569</v>
      </c>
      <c r="BD111" s="452">
        <f>'Inhalation Exposure'!K109</f>
        <v>0.16505154208922834</v>
      </c>
      <c r="BE111" s="452">
        <f>'Inhalation Exposure'!L109</f>
        <v>0.16505154208922834</v>
      </c>
      <c r="BF111" s="452">
        <f>'Inhalation Exposure'!M109</f>
        <v>0.1210377975321008</v>
      </c>
      <c r="BG111" s="452">
        <f>'Inhalation Exposure'!N109</f>
        <v>0.1210377975321008</v>
      </c>
      <c r="BH111" s="452">
        <f>'Inhalation Exposure'!O109</f>
        <v>0.11304900143097833</v>
      </c>
      <c r="BI111" s="453">
        <f>'Inhalation Exposure'!P109</f>
        <v>0.10626606134511962</v>
      </c>
      <c r="BJ111" s="420"/>
      <c r="BK111" s="436"/>
      <c r="BL111" s="439"/>
      <c r="BM111" s="432"/>
      <c r="BN111" s="433"/>
      <c r="BO111" s="434"/>
      <c r="BP111" s="435"/>
      <c r="BQ111" s="435"/>
      <c r="BR111" s="435"/>
      <c r="BS111" s="435"/>
      <c r="BT111" s="435"/>
    </row>
    <row r="112" spans="1:72" x14ac:dyDescent="0.3">
      <c r="M112" s="440"/>
      <c r="BC112" s="441"/>
      <c r="BK112" s="420"/>
      <c r="BL112" s="420"/>
      <c r="BM112" s="420"/>
      <c r="BN112" s="420"/>
    </row>
    <row r="113" spans="63:66" x14ac:dyDescent="0.3">
      <c r="BK113" s="420"/>
      <c r="BL113" s="420"/>
      <c r="BM113" s="420"/>
      <c r="BN113" s="420"/>
    </row>
    <row r="114" spans="63:66" x14ac:dyDescent="0.3">
      <c r="BK114" s="420"/>
      <c r="BL114" s="420"/>
      <c r="BM114" s="420"/>
      <c r="BN114" s="420"/>
    </row>
    <row r="115" spans="63:66" x14ac:dyDescent="0.3">
      <c r="BK115" s="420"/>
      <c r="BL115" s="420"/>
      <c r="BM115" s="420"/>
      <c r="BN115" s="420"/>
    </row>
    <row r="116" spans="63:66" x14ac:dyDescent="0.3">
      <c r="BK116" s="420"/>
      <c r="BL116" s="420"/>
      <c r="BM116" s="420"/>
      <c r="BN116" s="420"/>
    </row>
    <row r="117" spans="63:66" x14ac:dyDescent="0.3">
      <c r="BK117" s="420"/>
      <c r="BL117" s="420"/>
      <c r="BM117" s="420"/>
      <c r="BN117" s="420"/>
    </row>
    <row r="118" spans="63:66" x14ac:dyDescent="0.3">
      <c r="BK118" s="420"/>
      <c r="BL118" s="420"/>
      <c r="BM118" s="420"/>
      <c r="BN118" s="420"/>
    </row>
    <row r="119" spans="63:66" x14ac:dyDescent="0.3">
      <c r="BK119" s="420"/>
      <c r="BL119" s="420"/>
      <c r="BM119" s="420"/>
      <c r="BN119" s="420"/>
    </row>
    <row r="120" spans="63:66" x14ac:dyDescent="0.3">
      <c r="BK120" s="420"/>
      <c r="BL120" s="420"/>
      <c r="BM120" s="420"/>
      <c r="BN120" s="420"/>
    </row>
    <row r="121" spans="63:66" x14ac:dyDescent="0.3">
      <c r="BK121" s="420"/>
      <c r="BL121" s="420"/>
      <c r="BM121" s="420"/>
      <c r="BN121" s="420"/>
    </row>
    <row r="122" spans="63:66" x14ac:dyDescent="0.3">
      <c r="BK122" s="420"/>
      <c r="BL122" s="420"/>
      <c r="BM122" s="420"/>
      <c r="BN122" s="420"/>
    </row>
    <row r="123" spans="63:66" x14ac:dyDescent="0.3">
      <c r="BK123" s="420"/>
      <c r="BL123" s="420"/>
      <c r="BM123" s="420"/>
      <c r="BN123" s="420"/>
    </row>
    <row r="124" spans="63:66" x14ac:dyDescent="0.3">
      <c r="BK124" s="420"/>
      <c r="BL124" s="420"/>
      <c r="BM124" s="420"/>
      <c r="BN124" s="420"/>
    </row>
    <row r="125" spans="63:66" x14ac:dyDescent="0.3">
      <c r="BK125" s="420"/>
      <c r="BL125" s="420"/>
      <c r="BM125" s="420"/>
      <c r="BN125" s="420"/>
    </row>
    <row r="126" spans="63:66" x14ac:dyDescent="0.3">
      <c r="BK126" s="420"/>
      <c r="BL126" s="420"/>
      <c r="BM126" s="420"/>
      <c r="BN126" s="420"/>
    </row>
    <row r="127" spans="63:66" x14ac:dyDescent="0.3">
      <c r="BK127" s="420"/>
      <c r="BL127" s="420"/>
      <c r="BM127" s="420"/>
      <c r="BN127" s="420"/>
    </row>
    <row r="128" spans="63:66" x14ac:dyDescent="0.3">
      <c r="BK128" s="420"/>
      <c r="BL128" s="420"/>
      <c r="BM128" s="420"/>
      <c r="BN128" s="420"/>
    </row>
    <row r="129" spans="63:66" x14ac:dyDescent="0.3">
      <c r="BK129" s="420"/>
      <c r="BL129" s="420"/>
      <c r="BM129" s="420"/>
      <c r="BN129" s="420"/>
    </row>
    <row r="130" spans="63:66" x14ac:dyDescent="0.3">
      <c r="BK130" s="420"/>
      <c r="BL130" s="420"/>
      <c r="BM130" s="420"/>
      <c r="BN130" s="420"/>
    </row>
    <row r="131" spans="63:66" x14ac:dyDescent="0.3">
      <c r="BK131" s="420"/>
      <c r="BL131" s="420"/>
      <c r="BM131" s="420"/>
      <c r="BN131" s="420"/>
    </row>
    <row r="132" spans="63:66" x14ac:dyDescent="0.3">
      <c r="BK132" s="420"/>
      <c r="BL132" s="420"/>
      <c r="BM132" s="420"/>
      <c r="BN132" s="420"/>
    </row>
    <row r="133" spans="63:66" x14ac:dyDescent="0.3">
      <c r="BK133" s="420"/>
      <c r="BL133" s="420"/>
      <c r="BM133" s="420"/>
      <c r="BN133" s="420"/>
    </row>
    <row r="134" spans="63:66" x14ac:dyDescent="0.3">
      <c r="BK134" s="420"/>
      <c r="BL134" s="420"/>
      <c r="BM134" s="420"/>
      <c r="BN134" s="420"/>
    </row>
    <row r="135" spans="63:66" x14ac:dyDescent="0.3">
      <c r="BK135" s="420"/>
      <c r="BL135" s="420"/>
      <c r="BM135" s="420"/>
      <c r="BN135" s="420"/>
    </row>
    <row r="136" spans="63:66" x14ac:dyDescent="0.3">
      <c r="BK136" s="420"/>
      <c r="BL136" s="420"/>
      <c r="BM136" s="420"/>
      <c r="BN136" s="420"/>
    </row>
    <row r="137" spans="63:66" x14ac:dyDescent="0.3">
      <c r="BK137" s="420"/>
      <c r="BL137" s="420"/>
      <c r="BM137" s="420"/>
      <c r="BN137" s="420"/>
    </row>
    <row r="138" spans="63:66" x14ac:dyDescent="0.3">
      <c r="BK138" s="420"/>
      <c r="BL138" s="420"/>
      <c r="BM138" s="420"/>
      <c r="BN138" s="420"/>
    </row>
    <row r="139" spans="63:66" x14ac:dyDescent="0.3">
      <c r="BK139" s="420"/>
      <c r="BL139" s="420"/>
      <c r="BM139" s="420"/>
      <c r="BN139" s="420"/>
    </row>
    <row r="140" spans="63:66" x14ac:dyDescent="0.3">
      <c r="BK140" s="420"/>
      <c r="BL140" s="420"/>
      <c r="BM140" s="420"/>
      <c r="BN140" s="420"/>
    </row>
    <row r="141" spans="63:66" x14ac:dyDescent="0.3">
      <c r="BK141" s="420"/>
      <c r="BL141" s="420"/>
      <c r="BM141" s="420"/>
      <c r="BN141" s="420"/>
    </row>
    <row r="142" spans="63:66" x14ac:dyDescent="0.3">
      <c r="BK142" s="420"/>
      <c r="BL142" s="420"/>
      <c r="BM142" s="420"/>
      <c r="BN142" s="420"/>
    </row>
    <row r="143" spans="63:66" x14ac:dyDescent="0.3">
      <c r="BK143" s="420"/>
      <c r="BL143" s="420"/>
      <c r="BM143" s="420"/>
      <c r="BN143" s="420"/>
    </row>
    <row r="144" spans="63:66" x14ac:dyDescent="0.3">
      <c r="BK144" s="420"/>
      <c r="BL144" s="420"/>
      <c r="BM144" s="420"/>
      <c r="BN144" s="420"/>
    </row>
    <row r="145" spans="63:66" x14ac:dyDescent="0.3">
      <c r="BK145" s="420"/>
      <c r="BL145" s="420"/>
      <c r="BM145" s="420"/>
      <c r="BN145" s="420"/>
    </row>
    <row r="146" spans="63:66" x14ac:dyDescent="0.3">
      <c r="BK146" s="420"/>
      <c r="BL146" s="420"/>
      <c r="BM146" s="420"/>
      <c r="BN146" s="420"/>
    </row>
    <row r="147" spans="63:66" x14ac:dyDescent="0.3">
      <c r="BK147" s="420"/>
      <c r="BL147" s="420"/>
      <c r="BM147" s="420"/>
      <c r="BN147" s="420"/>
    </row>
    <row r="148" spans="63:66" x14ac:dyDescent="0.3">
      <c r="BK148" s="420"/>
      <c r="BL148" s="420"/>
      <c r="BM148" s="420"/>
      <c r="BN148" s="420"/>
    </row>
    <row r="149" spans="63:66" x14ac:dyDescent="0.3">
      <c r="BK149" s="420"/>
      <c r="BL149" s="420"/>
      <c r="BM149" s="420"/>
      <c r="BN149" s="420"/>
    </row>
    <row r="150" spans="63:66" x14ac:dyDescent="0.3">
      <c r="BK150" s="420"/>
      <c r="BL150" s="420"/>
      <c r="BM150" s="420"/>
      <c r="BN150" s="420"/>
    </row>
  </sheetData>
  <sheetProtection algorithmName="SHA-512" hashValue="JMEqeEYEZDAObEYFkp5T8HlYKnrS3XexlbHB1k2D/KHfjlgdnow9smp3L7xL0Q4iWuszb+NakTA+6g1SA9D1VA==" saltValue="/Io7KXrqvDgezf8LE98ZSQ==" spinCount="100000" sheet="1"/>
  <mergeCells count="176">
    <mergeCell ref="AF1:AQ1"/>
    <mergeCell ref="AH2:AI3"/>
    <mergeCell ref="AL2:AM3"/>
    <mergeCell ref="AP2:AQ3"/>
    <mergeCell ref="AF2:AG5"/>
    <mergeCell ref="AJ2:AK5"/>
    <mergeCell ref="AN2:AO5"/>
    <mergeCell ref="Y96:Y103"/>
    <mergeCell ref="Z96:Z103"/>
    <mergeCell ref="AA96:AA103"/>
    <mergeCell ref="AB96:AB103"/>
    <mergeCell ref="AC96:AC103"/>
    <mergeCell ref="AD96:AD103"/>
    <mergeCell ref="AB80:AB87"/>
    <mergeCell ref="AC80:AC87"/>
    <mergeCell ref="AD80:AD87"/>
    <mergeCell ref="AD72:AD79"/>
    <mergeCell ref="AD64:AD71"/>
    <mergeCell ref="AD46:AD53"/>
    <mergeCell ref="Y23:Y31"/>
    <mergeCell ref="Z23:Z31"/>
    <mergeCell ref="Y80:Y87"/>
    <mergeCell ref="Z80:Z87"/>
    <mergeCell ref="AA80:AA87"/>
    <mergeCell ref="S96:S103"/>
    <mergeCell ref="T96:T103"/>
    <mergeCell ref="U96:U103"/>
    <mergeCell ref="V96:V103"/>
    <mergeCell ref="W96:W103"/>
    <mergeCell ref="X96:X103"/>
    <mergeCell ref="S80:S87"/>
    <mergeCell ref="T80:T87"/>
    <mergeCell ref="U80:U87"/>
    <mergeCell ref="V80:V87"/>
    <mergeCell ref="W80:W87"/>
    <mergeCell ref="X80:X87"/>
    <mergeCell ref="X72:X79"/>
    <mergeCell ref="Y72:Y79"/>
    <mergeCell ref="Z72:Z79"/>
    <mergeCell ref="AA72:AA79"/>
    <mergeCell ref="AB72:AB79"/>
    <mergeCell ref="AC72:AC79"/>
    <mergeCell ref="Z64:Z71"/>
    <mergeCell ref="AA64:AA71"/>
    <mergeCell ref="AB64:AB71"/>
    <mergeCell ref="AC64:AC71"/>
    <mergeCell ref="S72:S79"/>
    <mergeCell ref="T72:T79"/>
    <mergeCell ref="U72:U79"/>
    <mergeCell ref="V72:V79"/>
    <mergeCell ref="W72:W79"/>
    <mergeCell ref="AB54:AB61"/>
    <mergeCell ref="AC54:AC61"/>
    <mergeCell ref="AD54:AD61"/>
    <mergeCell ref="S64:S71"/>
    <mergeCell ref="T64:T71"/>
    <mergeCell ref="U64:U71"/>
    <mergeCell ref="V64:V71"/>
    <mergeCell ref="W64:W71"/>
    <mergeCell ref="X64:X71"/>
    <mergeCell ref="Y64:Y71"/>
    <mergeCell ref="S54:S61"/>
    <mergeCell ref="T54:T61"/>
    <mergeCell ref="U54:U61"/>
    <mergeCell ref="V54:V61"/>
    <mergeCell ref="W54:W61"/>
    <mergeCell ref="X54:X61"/>
    <mergeCell ref="Y54:Y61"/>
    <mergeCell ref="Z54:Z61"/>
    <mergeCell ref="AA54:AA61"/>
    <mergeCell ref="X46:X53"/>
    <mergeCell ref="Y46:Y53"/>
    <mergeCell ref="Z46:Z53"/>
    <mergeCell ref="AA46:AA53"/>
    <mergeCell ref="AB46:AB53"/>
    <mergeCell ref="AC46:AC53"/>
    <mergeCell ref="AB32:AB39"/>
    <mergeCell ref="AC32:AC39"/>
    <mergeCell ref="AD32:AD39"/>
    <mergeCell ref="X32:X39"/>
    <mergeCell ref="Y32:Y39"/>
    <mergeCell ref="Z32:Z39"/>
    <mergeCell ref="AA32:AA39"/>
    <mergeCell ref="S46:S53"/>
    <mergeCell ref="T46:T53"/>
    <mergeCell ref="U46:U53"/>
    <mergeCell ref="V46:V53"/>
    <mergeCell ref="W46:W53"/>
    <mergeCell ref="S32:S39"/>
    <mergeCell ref="T32:T39"/>
    <mergeCell ref="U32:U39"/>
    <mergeCell ref="V32:V39"/>
    <mergeCell ref="W32:W39"/>
    <mergeCell ref="AC15:AC22"/>
    <mergeCell ref="AA23:AA31"/>
    <mergeCell ref="AB23:AB31"/>
    <mergeCell ref="AC23:AC31"/>
    <mergeCell ref="AD23:AD31"/>
    <mergeCell ref="AD15:AD22"/>
    <mergeCell ref="S23:S31"/>
    <mergeCell ref="T23:T31"/>
    <mergeCell ref="U23:U31"/>
    <mergeCell ref="V23:V31"/>
    <mergeCell ref="W23:W31"/>
    <mergeCell ref="X23:X31"/>
    <mergeCell ref="S15:S22"/>
    <mergeCell ref="T15:T22"/>
    <mergeCell ref="U15:U22"/>
    <mergeCell ref="V15:V22"/>
    <mergeCell ref="W15:W22"/>
    <mergeCell ref="X15:X22"/>
    <mergeCell ref="Y15:Y22"/>
    <mergeCell ref="Z15:Z22"/>
    <mergeCell ref="AA15:AA22"/>
    <mergeCell ref="AB15:AB22"/>
    <mergeCell ref="S7:S14"/>
    <mergeCell ref="T7:T14"/>
    <mergeCell ref="U7:U14"/>
    <mergeCell ref="V7:V14"/>
    <mergeCell ref="W7:W14"/>
    <mergeCell ref="X7:X14"/>
    <mergeCell ref="S2:AD2"/>
    <mergeCell ref="S3:T5"/>
    <mergeCell ref="U3:V4"/>
    <mergeCell ref="W3:X5"/>
    <mergeCell ref="Y3:Z4"/>
    <mergeCell ref="AA3:AB5"/>
    <mergeCell ref="AC3:AD4"/>
    <mergeCell ref="AD7:AD14"/>
    <mergeCell ref="Y7:Y14"/>
    <mergeCell ref="Z7:Z14"/>
    <mergeCell ref="AA7:AA14"/>
    <mergeCell ref="AB7:AB14"/>
    <mergeCell ref="AC7:AC14"/>
    <mergeCell ref="P3:Q4"/>
    <mergeCell ref="F3:G5"/>
    <mergeCell ref="N3:O5"/>
    <mergeCell ref="F2:Q2"/>
    <mergeCell ref="J3:K5"/>
    <mergeCell ref="H3:I4"/>
    <mergeCell ref="L3:M4"/>
    <mergeCell ref="B106:B107"/>
    <mergeCell ref="B108:B109"/>
    <mergeCell ref="B32:B39"/>
    <mergeCell ref="B40:B41"/>
    <mergeCell ref="B42:B43"/>
    <mergeCell ref="B44:B45"/>
    <mergeCell ref="B46:B53"/>
    <mergeCell ref="B54:B61"/>
    <mergeCell ref="B7:B14"/>
    <mergeCell ref="B15:B22"/>
    <mergeCell ref="B23:B31"/>
    <mergeCell ref="B110:B111"/>
    <mergeCell ref="B90:B91"/>
    <mergeCell ref="B92:B93"/>
    <mergeCell ref="B94:B95"/>
    <mergeCell ref="B96:B103"/>
    <mergeCell ref="B104:B105"/>
    <mergeCell ref="B62:B63"/>
    <mergeCell ref="B64:B71"/>
    <mergeCell ref="B72:B79"/>
    <mergeCell ref="B80:B87"/>
    <mergeCell ref="B88:B89"/>
    <mergeCell ref="BS3:BT5"/>
    <mergeCell ref="BK2:BT2"/>
    <mergeCell ref="BO3:BP5"/>
    <mergeCell ref="BQ3:BR5"/>
    <mergeCell ref="BB3:BC4"/>
    <mergeCell ref="BD3:BE4"/>
    <mergeCell ref="BF3:BG4"/>
    <mergeCell ref="BH3:BI4"/>
    <mergeCell ref="BB2:BI2"/>
    <mergeCell ref="BB5:BC5"/>
    <mergeCell ref="BD5:BE5"/>
    <mergeCell ref="BF5:BG5"/>
    <mergeCell ref="BH5:BI5"/>
  </mergeCells>
  <conditionalFormatting sqref="F7:Q111 S7:AD111 AF7:AQ111">
    <cfRule type="cellIs" dxfId="174" priority="3" operator="lessThan">
      <formula>30</formula>
    </cfRule>
  </conditionalFormatting>
  <dataValidations disablePrompts="1" count="3">
    <dataValidation type="list" allowBlank="1" showInputMessage="1" showErrorMessage="1" sqref="I5 M5 Q5" xr:uid="{F8394FAB-C98E-43A2-AD90-95E3F52B7294}">
      <formula1>"10, 25, 50, 1000, 10000"</formula1>
    </dataValidation>
    <dataValidation type="list" allowBlank="1" showInputMessage="1" showErrorMessage="1" sqref="V5 Z5 AD5 AI4 AM4 AQ4" xr:uid="{33C02AA2-28D6-426C-9BA8-9EFD12D5FCA7}">
      <formula1>"1, 5, 10, 20"</formula1>
    </dataValidation>
    <dataValidation type="list" allowBlank="1" showInputMessage="1" showErrorMessage="1" sqref="AI5 AM5 AQ5" xr:uid="{AF8B86E5-1CB6-4056-894C-83CBDCD2D7A9}">
      <formula1>"10, 25, 50, 1000, 10000, 1"</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FA29-5DDB-4018-BDB5-BC28E8281DEA}">
  <sheetPr codeName="Sheet7">
    <tabColor theme="1"/>
  </sheetPr>
  <dimension ref="A1:T109"/>
  <sheetViews>
    <sheetView topLeftCell="B1" zoomScale="70" zoomScaleNormal="70" workbookViewId="0">
      <pane ySplit="4" topLeftCell="A5" activePane="bottomLeft" state="frozen"/>
      <selection activeCell="B1" sqref="B1"/>
      <selection pane="bottomLeft" activeCell="D5" sqref="D5"/>
    </sheetView>
  </sheetViews>
  <sheetFormatPr defaultColWidth="9.08984375" defaultRowHeight="13" x14ac:dyDescent="0.3"/>
  <cols>
    <col min="1" max="1" width="10.08984375" style="1" hidden="1" customWidth="1"/>
    <col min="2" max="2" width="13" style="10" customWidth="1"/>
    <col min="3" max="4" width="42.90625" style="1" customWidth="1"/>
    <col min="5" max="5" width="24.54296875" style="1" customWidth="1"/>
    <col min="6" max="6" width="17.08984375" style="10" customWidth="1"/>
    <col min="7" max="7" width="9.90625" style="1" customWidth="1"/>
    <col min="8" max="9" width="16.90625" style="1" customWidth="1"/>
    <col min="10" max="10" width="19.54296875" style="1" customWidth="1"/>
    <col min="11" max="11" width="12.90625" style="1" customWidth="1"/>
    <col min="12" max="12" width="17.90625" style="10" customWidth="1"/>
    <col min="13" max="13" width="15" style="1" customWidth="1"/>
    <col min="14" max="14" width="14" style="1" customWidth="1"/>
    <col min="15" max="16" width="17.90625" style="10" customWidth="1"/>
    <col min="17" max="17" width="11" style="1" customWidth="1"/>
    <col min="18" max="18" width="17.08984375" style="10" customWidth="1"/>
    <col min="19" max="19" width="68" style="1" customWidth="1"/>
    <col min="20" max="20" width="16.08984375" style="1" customWidth="1"/>
    <col min="21" max="16384" width="9.08984375" style="1"/>
  </cols>
  <sheetData>
    <row r="1" spans="1:20" ht="13.5" thickBot="1" x14ac:dyDescent="0.35">
      <c r="B1" s="2"/>
      <c r="C1" s="3"/>
      <c r="D1" s="3"/>
      <c r="E1" s="3"/>
      <c r="F1" s="2"/>
      <c r="K1" s="3"/>
      <c r="L1" s="2"/>
      <c r="O1" s="2"/>
      <c r="P1" s="2"/>
      <c r="Q1" s="5"/>
      <c r="R1" s="2"/>
    </row>
    <row r="2" spans="1:20" ht="27" customHeight="1" x14ac:dyDescent="0.3">
      <c r="B2" s="674"/>
      <c r="C2" s="481"/>
      <c r="D2" s="396"/>
      <c r="E2" s="482"/>
      <c r="F2" s="482"/>
      <c r="G2" s="681" t="s">
        <v>91</v>
      </c>
      <c r="H2" s="682"/>
      <c r="I2" s="680" t="s">
        <v>273</v>
      </c>
      <c r="J2" s="680"/>
      <c r="K2" s="678" t="s">
        <v>308</v>
      </c>
      <c r="L2" s="679"/>
      <c r="M2" s="678" t="s">
        <v>313</v>
      </c>
      <c r="N2" s="679"/>
      <c r="O2" s="680" t="s">
        <v>312</v>
      </c>
      <c r="P2" s="680"/>
      <c r="Q2" s="285"/>
      <c r="R2" s="373"/>
      <c r="S2" s="285"/>
      <c r="T2" s="286"/>
    </row>
    <row r="3" spans="1:20" ht="18" customHeight="1" x14ac:dyDescent="0.3">
      <c r="B3" s="675"/>
      <c r="C3" s="483"/>
      <c r="D3" s="231"/>
      <c r="E3" s="484"/>
      <c r="F3" s="484"/>
      <c r="G3" s="683"/>
      <c r="H3" s="684"/>
      <c r="I3" s="685" t="s">
        <v>274</v>
      </c>
      <c r="J3" s="685"/>
      <c r="K3" s="686" t="s">
        <v>309</v>
      </c>
      <c r="L3" s="687"/>
      <c r="M3" s="676" t="s">
        <v>310</v>
      </c>
      <c r="N3" s="676"/>
      <c r="O3" s="676" t="s">
        <v>311</v>
      </c>
      <c r="P3" s="677"/>
      <c r="Q3" s="7"/>
      <c r="R3" s="374"/>
      <c r="S3" s="7"/>
      <c r="T3" s="287"/>
    </row>
    <row r="4" spans="1:20" s="8" customFormat="1" ht="52.5" thickBot="1" x14ac:dyDescent="0.35">
      <c r="A4" s="8" t="s">
        <v>93</v>
      </c>
      <c r="B4" s="485" t="s">
        <v>260</v>
      </c>
      <c r="C4" s="412" t="s">
        <v>95</v>
      </c>
      <c r="D4" s="413" t="s">
        <v>261</v>
      </c>
      <c r="E4" s="414" t="s">
        <v>87</v>
      </c>
      <c r="F4" s="414" t="s">
        <v>262</v>
      </c>
      <c r="G4" s="289" t="s">
        <v>96</v>
      </c>
      <c r="H4" s="289" t="s">
        <v>97</v>
      </c>
      <c r="I4" s="289" t="s">
        <v>98</v>
      </c>
      <c r="J4" s="289" t="s">
        <v>99</v>
      </c>
      <c r="K4" s="289" t="s">
        <v>100</v>
      </c>
      <c r="L4" s="289" t="s">
        <v>101</v>
      </c>
      <c r="M4" s="290" t="s">
        <v>102</v>
      </c>
      <c r="N4" s="290" t="s">
        <v>103</v>
      </c>
      <c r="O4" s="289" t="s">
        <v>314</v>
      </c>
      <c r="P4" s="289" t="s">
        <v>315</v>
      </c>
      <c r="Q4" s="288" t="s">
        <v>104</v>
      </c>
      <c r="R4" s="288" t="s">
        <v>414</v>
      </c>
      <c r="S4" s="288" t="s">
        <v>105</v>
      </c>
      <c r="T4" s="291" t="s">
        <v>106</v>
      </c>
    </row>
    <row r="5" spans="1:20" ht="52" x14ac:dyDescent="0.3">
      <c r="B5" s="304">
        <v>1</v>
      </c>
      <c r="C5" s="309" t="s">
        <v>33</v>
      </c>
      <c r="D5" s="307" t="s">
        <v>263</v>
      </c>
      <c r="E5" s="284" t="s">
        <v>54</v>
      </c>
      <c r="F5" s="294" t="s">
        <v>107</v>
      </c>
      <c r="G5" s="294">
        <v>250</v>
      </c>
      <c r="H5" s="294">
        <v>250</v>
      </c>
      <c r="I5" s="295">
        <v>0.30328220858895705</v>
      </c>
      <c r="J5" s="295">
        <v>0.30328220858895705</v>
      </c>
      <c r="K5" s="295">
        <f>Inhalation_Exp[[#This Row],[TWA_High-End]]*IF(Inhalation_Exp[[#This Row],[Exposure Scenario]]="8-hr",ED_8,IF(Inhalation_Exp[[#This Row],[Exposure Scenario]]="10-hr",ED_10,ED_12))*WorkBreathRate/(WorkRestRate*AT)</f>
        <v>0.2063144276115354</v>
      </c>
      <c r="L5" s="295">
        <f>Inhalation_Exp[[#This Row],[TWA_Central Tendency]]*IF(Inhalation_Exp[[#This Row],[Exposure Scenario]]="8-hr",ED_8,IF(Inhalation_Exp[[#This Row],[Exposure Scenario]]="10-hr",ED_10,ED_12))*WorkBreathRate/(WorkRestRate*AT)</f>
        <v>0.2063144276115354</v>
      </c>
      <c r="M5" s="296">
        <f>IF(EFID&gt;Inhalation_Exp[[#This Row],[ED_High-End]],Inhalation_Exp[[#This Row],[24hr_High-End]]*Inhalation_Exp[[#This Row],[ED_High-End]]/ID,Inhalation_Exp[[#This Row],[24hr_High-End]]*EFID/ID)</f>
        <v>0.15129724691512597</v>
      </c>
      <c r="N5" s="296">
        <f>IF(EFID&gt;Inhalation_Exp[[#This Row],[ED_Central Tendency]],Inhalation_Exp[[#This Row],[24hr_Central Tendency]]*Inhalation_Exp[[#This Row],[ED_Central Tendency]]/ID,Inhalation_Exp[[#This Row],[24hr_Central Tendency]]*EFID/ID)</f>
        <v>0.15129724691512597</v>
      </c>
      <c r="O5" s="296">
        <f>Inhalation_Exp[[#This Row],[24hr_High-End]]*Inhalation_Exp[[#This Row],[ED_High-End]]*WY_high/(AT_ADC_high)</f>
        <v>0.14131125178872286</v>
      </c>
      <c r="P5" s="296">
        <f>Inhalation_Exp[[#This Row],[24hr_Central Tendency]]*Inhalation_Exp[[#This Row],[ED_Central Tendency]]*WY_mid/(AT_ADC_mid)</f>
        <v>0.14131125178872286</v>
      </c>
      <c r="Q5" s="297">
        <v>1</v>
      </c>
      <c r="R5" s="294" t="s">
        <v>415</v>
      </c>
      <c r="S5" s="298" t="s">
        <v>422</v>
      </c>
      <c r="T5" s="299" t="s">
        <v>271</v>
      </c>
    </row>
    <row r="6" spans="1:20" ht="39" customHeight="1" x14ac:dyDescent="0.3">
      <c r="B6" s="305">
        <v>1</v>
      </c>
      <c r="C6" s="310" t="s">
        <v>33</v>
      </c>
      <c r="D6" s="308" t="s">
        <v>264</v>
      </c>
      <c r="E6" s="206" t="s">
        <v>73</v>
      </c>
      <c r="F6" s="300" t="s">
        <v>107</v>
      </c>
      <c r="G6" s="300">
        <v>250</v>
      </c>
      <c r="H6" s="300">
        <v>250</v>
      </c>
      <c r="I6" s="292">
        <v>9.705030674846622</v>
      </c>
      <c r="J6" s="292">
        <v>2.9115092024539879</v>
      </c>
      <c r="K6" s="295">
        <f>Inhalation_Exp[[#This Row],[TWA_High-End]]*IF(Inhalation_Exp[[#This Row],[Exposure Scenario]]="8-hr",ED_8,IF(Inhalation_Exp[[#This Row],[Exposure Scenario]]="10-hr",ED_10,ED_12))*WorkBreathRate/(WorkRestRate*AT)</f>
        <v>6.602061683569131</v>
      </c>
      <c r="L6" s="240">
        <f>Inhalation_Exp[[#This Row],[TWA_Central Tendency]]*IF(Inhalation_Exp[[#This Row],[Exposure Scenario]]="8-hr",ED_8,IF(Inhalation_Exp[[#This Row],[Exposure Scenario]]="10-hr",ED_10,ED_12))*WorkBreathRate/(WorkRestRate*AT)</f>
        <v>1.9806185050707401</v>
      </c>
      <c r="M6" s="207">
        <f>IF(EFID&gt;Inhalation_Exp[[#This Row],[ED_High-End]],Inhalation_Exp[[#This Row],[24hr_High-End]]*Inhalation_Exp[[#This Row],[ED_High-End]]/ID,Inhalation_Exp[[#This Row],[24hr_High-End]]*EFID/ID)</f>
        <v>4.8415119012840302</v>
      </c>
      <c r="N6" s="217">
        <f>IF(EFID&gt;Inhalation_Exp[[#This Row],[ED_Central Tendency]],Inhalation_Exp[[#This Row],[24hr_Central Tendency]]*Inhalation_Exp[[#This Row],[ED_Central Tendency]]/ID,Inhalation_Exp[[#This Row],[24hr_Central Tendency]]*EFID/ID)</f>
        <v>1.4524535703852095</v>
      </c>
      <c r="O6" s="207">
        <f>Inhalation_Exp[[#This Row],[24hr_High-End]]*Inhalation_Exp[[#This Row],[ED_High-End]]*WY_high/(AT_ADC_high)</f>
        <v>4.5219600572391307</v>
      </c>
      <c r="P6" s="217">
        <f>Inhalation_Exp[[#This Row],[24hr_Central Tendency]]*Inhalation_Exp[[#This Row],[ED_Central Tendency]]*WY_mid/(AT_ADC_mid)</f>
        <v>1.3565880171717397</v>
      </c>
      <c r="Q6" s="301">
        <v>17</v>
      </c>
      <c r="R6" s="300" t="s">
        <v>415</v>
      </c>
      <c r="S6" s="9" t="s">
        <v>423</v>
      </c>
      <c r="T6" s="302" t="s">
        <v>271</v>
      </c>
    </row>
    <row r="7" spans="1:20" ht="39" customHeight="1" x14ac:dyDescent="0.3">
      <c r="B7" s="305">
        <v>1</v>
      </c>
      <c r="C7" s="310" t="s">
        <v>33</v>
      </c>
      <c r="D7" s="308" t="s">
        <v>265</v>
      </c>
      <c r="E7" s="206" t="s">
        <v>73</v>
      </c>
      <c r="F7" s="300" t="s">
        <v>107</v>
      </c>
      <c r="G7" s="300">
        <v>250</v>
      </c>
      <c r="H7" s="300">
        <v>250</v>
      </c>
      <c r="I7" s="292">
        <v>46.705460122699385</v>
      </c>
      <c r="J7" s="292">
        <v>0.24262576687116569</v>
      </c>
      <c r="K7" s="296">
        <f>Inhalation_Exp[[#This Row],[TWA_High-End]]*IF(Inhalation_Exp[[#This Row],[Exposure Scenario]]="8-hr",ED_8,IF(Inhalation_Exp[[#This Row],[Exposure Scenario]]="10-hr",ED_10,ED_12))*WorkBreathRate/(WorkRestRate*AT)</f>
        <v>31.77242185217645</v>
      </c>
      <c r="L7" s="240">
        <f>Inhalation_Exp[[#This Row],[TWA_Central Tendency]]*IF(Inhalation_Exp[[#This Row],[Exposure Scenario]]="8-hr",ED_8,IF(Inhalation_Exp[[#This Row],[Exposure Scenario]]="10-hr",ED_10,ED_12))*WorkBreathRate/(WorkRestRate*AT)</f>
        <v>0.16505154208922834</v>
      </c>
      <c r="M7" s="207">
        <f>IF(EFID&gt;Inhalation_Exp[[#This Row],[ED_High-End]],Inhalation_Exp[[#This Row],[24hr_High-End]]*Inhalation_Exp[[#This Row],[ED_High-End]]/ID,Inhalation_Exp[[#This Row],[24hr_High-End]]*EFID/ID)</f>
        <v>23.299776024929397</v>
      </c>
      <c r="N7" s="217">
        <f>IF(EFID&gt;Inhalation_Exp[[#This Row],[ED_Central Tendency]],Inhalation_Exp[[#This Row],[24hr_Central Tendency]]*Inhalation_Exp[[#This Row],[ED_Central Tendency]]/ID,Inhalation_Exp[[#This Row],[24hr_Central Tendency]]*EFID/ID)</f>
        <v>0.1210377975321008</v>
      </c>
      <c r="O7" s="207">
        <f>Inhalation_Exp[[#This Row],[24hr_High-End]]*Inhalation_Exp[[#This Row],[ED_High-End]]*WY_high/(AT_ADC_high)</f>
        <v>21.761932775463322</v>
      </c>
      <c r="P7" s="217">
        <f>Inhalation_Exp[[#This Row],[24hr_Central Tendency]]*Inhalation_Exp[[#This Row],[ED_Central Tendency]]*WY_mid/(AT_ADC_mid)</f>
        <v>0.11304900143097833</v>
      </c>
      <c r="Q7" s="301">
        <v>3</v>
      </c>
      <c r="R7" s="300" t="s">
        <v>415</v>
      </c>
      <c r="S7" s="9" t="s">
        <v>423</v>
      </c>
      <c r="T7" s="302" t="s">
        <v>272</v>
      </c>
    </row>
    <row r="8" spans="1:20" ht="39" customHeight="1" x14ac:dyDescent="0.3">
      <c r="B8" s="306">
        <v>1</v>
      </c>
      <c r="C8" s="310" t="s">
        <v>33</v>
      </c>
      <c r="D8" s="308" t="s">
        <v>266</v>
      </c>
      <c r="E8" s="206" t="s">
        <v>73</v>
      </c>
      <c r="F8" s="300" t="s">
        <v>269</v>
      </c>
      <c r="G8" s="300">
        <v>250</v>
      </c>
      <c r="H8" s="300">
        <v>250</v>
      </c>
      <c r="I8" s="292">
        <v>3.42361806066803</v>
      </c>
      <c r="J8" s="292">
        <v>0.33305441206543968</v>
      </c>
      <c r="K8" s="296">
        <f>Inhalation_Exp[[#This Row],[TWA_High-End]]*IF(Inhalation_Exp[[#This Row],[Exposure Scenario]]="8-hr",ED_8,IF(Inhalation_Exp[[#This Row],[Exposure Scenario]]="10-hr",ED_10,ED_12))*WorkBreathRate/(WorkRestRate*AT)</f>
        <v>3.4934878170081936</v>
      </c>
      <c r="L8" s="240">
        <f>Inhalation_Exp[[#This Row],[TWA_Central Tendency]]*IF(Inhalation_Exp[[#This Row],[Exposure Scenario]]="8-hr",ED_8,IF(Inhalation_Exp[[#This Row],[Exposure Scenario]]="10-hr",ED_10,ED_12))*WorkBreathRate/(WorkRestRate*AT)</f>
        <v>0.33985144088310165</v>
      </c>
      <c r="M8" s="292">
        <f>IF(EFID&gt;Inhalation_Exp[[#This Row],[ED_High-End]],Inhalation_Exp[[#This Row],[24hr_High-End]]*Inhalation_Exp[[#This Row],[ED_High-End]]/ID,Inhalation_Exp[[#This Row],[24hr_High-End]]*EFID/ID)</f>
        <v>2.5618910658060088</v>
      </c>
      <c r="N8" s="292">
        <f>IF(EFID&gt;Inhalation_Exp[[#This Row],[ED_Central Tendency]],Inhalation_Exp[[#This Row],[24hr_Central Tendency]]*Inhalation_Exp[[#This Row],[ED_Central Tendency]]/ID,Inhalation_Exp[[#This Row],[24hr_Central Tendency]]*EFID/ID)</f>
        <v>0.24922438998094121</v>
      </c>
      <c r="O8" s="207">
        <f>Inhalation_Exp[[#This Row],[24hr_High-End]]*Inhalation_Exp[[#This Row],[ED_High-End]]*WY_high/(AT_ADC_high)</f>
        <v>2.392799874663146</v>
      </c>
      <c r="P8" s="207">
        <f>Inhalation_Exp[[#This Row],[24hr_Central Tendency]]*Inhalation_Exp[[#This Row],[ED_Central Tendency]]*WY_mid/(AT_ADC_mid)</f>
        <v>0.23277495950897373</v>
      </c>
      <c r="Q8" s="301">
        <v>11</v>
      </c>
      <c r="R8" s="300" t="s">
        <v>415</v>
      </c>
      <c r="S8" s="9" t="s">
        <v>423</v>
      </c>
      <c r="T8" s="302" t="s">
        <v>271</v>
      </c>
    </row>
    <row r="9" spans="1:20" ht="39" customHeight="1" x14ac:dyDescent="0.3">
      <c r="B9" s="306">
        <v>1</v>
      </c>
      <c r="C9" s="310" t="s">
        <v>33</v>
      </c>
      <c r="D9" s="308" t="s">
        <v>267</v>
      </c>
      <c r="E9" s="206" t="s">
        <v>73</v>
      </c>
      <c r="F9" s="300" t="s">
        <v>107</v>
      </c>
      <c r="G9" s="300">
        <v>250</v>
      </c>
      <c r="H9" s="300">
        <v>250</v>
      </c>
      <c r="I9" s="292">
        <v>0.15770674846625768</v>
      </c>
      <c r="J9" s="292">
        <v>0.15770674846625768</v>
      </c>
      <c r="K9" s="296">
        <f>Inhalation_Exp[[#This Row],[TWA_High-End]]*IF(Inhalation_Exp[[#This Row],[Exposure Scenario]]="8-hr",ED_8,IF(Inhalation_Exp[[#This Row],[Exposure Scenario]]="10-hr",ED_10,ED_12))*WorkBreathRate/(WorkRestRate*AT)</f>
        <v>0.10728350235799841</v>
      </c>
      <c r="L9" s="240">
        <f>Inhalation_Exp[[#This Row],[TWA_Central Tendency]]*IF(Inhalation_Exp[[#This Row],[Exposure Scenario]]="8-hr",ED_8,IF(Inhalation_Exp[[#This Row],[Exposure Scenario]]="10-hr",ED_10,ED_12))*WorkBreathRate/(WorkRestRate*AT)</f>
        <v>0.10728350235799841</v>
      </c>
      <c r="M9" s="292">
        <f>IF(EFID&gt;Inhalation_Exp[[#This Row],[ED_High-End]],Inhalation_Exp[[#This Row],[24hr_High-End]]*Inhalation_Exp[[#This Row],[ED_High-End]]/ID,Inhalation_Exp[[#This Row],[24hr_High-End]]*EFID/ID)</f>
        <v>7.8674568395865493E-2</v>
      </c>
      <c r="N9" s="292">
        <f>IF(EFID&gt;Inhalation_Exp[[#This Row],[ED_Central Tendency]],Inhalation_Exp[[#This Row],[24hr_Central Tendency]]*Inhalation_Exp[[#This Row],[ED_Central Tendency]]/ID,Inhalation_Exp[[#This Row],[24hr_Central Tendency]]*EFID/ID)</f>
        <v>7.8674568395865493E-2</v>
      </c>
      <c r="O9" s="207">
        <f>Inhalation_Exp[[#This Row],[24hr_High-End]]*Inhalation_Exp[[#This Row],[ED_High-End]]*WY_high/(AT_ADC_high)</f>
        <v>7.34818509301359E-2</v>
      </c>
      <c r="P9" s="207">
        <f>Inhalation_Exp[[#This Row],[24hr_Central Tendency]]*Inhalation_Exp[[#This Row],[ED_Central Tendency]]*WY_mid/(AT_ADC_mid)</f>
        <v>7.34818509301359E-2</v>
      </c>
      <c r="Q9" s="301">
        <v>1</v>
      </c>
      <c r="R9" s="300" t="s">
        <v>415</v>
      </c>
      <c r="S9" s="9" t="s">
        <v>423</v>
      </c>
      <c r="T9" s="302" t="s">
        <v>271</v>
      </c>
    </row>
    <row r="10" spans="1:20" ht="39" customHeight="1" x14ac:dyDescent="0.3">
      <c r="B10" s="306">
        <v>1</v>
      </c>
      <c r="C10" s="310" t="s">
        <v>33</v>
      </c>
      <c r="D10" s="308" t="s">
        <v>268</v>
      </c>
      <c r="E10" s="206" t="s">
        <v>73</v>
      </c>
      <c r="F10" s="300" t="s">
        <v>107</v>
      </c>
      <c r="G10" s="300">
        <v>250</v>
      </c>
      <c r="H10" s="300">
        <v>250</v>
      </c>
      <c r="I10" s="292">
        <v>8.0491603629856723</v>
      </c>
      <c r="J10" s="292">
        <v>0.51065141871165642</v>
      </c>
      <c r="K10" s="296">
        <f>Inhalation_Exp[[#This Row],[TWA_High-End]]*IF(Inhalation_Exp[[#This Row],[Exposure Scenario]]="8-hr",ED_8,IF(Inhalation_Exp[[#This Row],[Exposure Scenario]]="10-hr",ED_10,ED_12))*WorkBreathRate/(WorkRestRate*AT)</f>
        <v>5.4756192945480766</v>
      </c>
      <c r="L10" s="240">
        <f>Inhalation_Exp[[#This Row],[TWA_Central Tendency]]*IF(Inhalation_Exp[[#This Row],[Exposure Scenario]]="8-hr",ED_8,IF(Inhalation_Exp[[#This Row],[Exposure Scenario]]="10-hr",ED_10,ED_12))*WorkBreathRate/(WorkRestRate*AT)</f>
        <v>0.34738191749092273</v>
      </c>
      <c r="M10" s="292">
        <f>IF(EFID&gt;Inhalation_Exp[[#This Row],[ED_High-End]],Inhalation_Exp[[#This Row],[24hr_High-End]]*Inhalation_Exp[[#This Row],[ED_High-End]]/ID,Inhalation_Exp[[#This Row],[24hr_High-End]]*EFID/ID)</f>
        <v>4.0154541493352562</v>
      </c>
      <c r="N10" s="292">
        <f>IF(EFID&gt;Inhalation_Exp[[#This Row],[ED_Central Tendency]],Inhalation_Exp[[#This Row],[24hr_Central Tendency]]*Inhalation_Exp[[#This Row],[ED_Central Tendency]]/ID,Inhalation_Exp[[#This Row],[24hr_Central Tendency]]*EFID/ID)</f>
        <v>0.25474673949334331</v>
      </c>
      <c r="O10" s="207">
        <f>Inhalation_Exp[[#This Row],[24hr_High-End]]*Inhalation_Exp[[#This Row],[ED_High-End]]*WY_high/(AT_ADC_high)</f>
        <v>3.750424174347998</v>
      </c>
      <c r="P10" s="207">
        <f>Inhalation_Exp[[#This Row],[24hr_Central Tendency]]*Inhalation_Exp[[#This Row],[ED_Central Tendency]]*WY_mid/(AT_ADC_mid)</f>
        <v>0.23793282019926215</v>
      </c>
      <c r="Q10" s="301">
        <v>24</v>
      </c>
      <c r="R10" s="300" t="s">
        <v>415</v>
      </c>
      <c r="S10" s="9" t="s">
        <v>423</v>
      </c>
      <c r="T10" s="302" t="s">
        <v>271</v>
      </c>
    </row>
    <row r="11" spans="1:20" ht="39" customHeight="1" x14ac:dyDescent="0.3">
      <c r="B11" s="306">
        <v>1</v>
      </c>
      <c r="C11" s="310" t="s">
        <v>33</v>
      </c>
      <c r="D11" s="308" t="s">
        <v>268</v>
      </c>
      <c r="E11" s="206" t="s">
        <v>73</v>
      </c>
      <c r="F11" s="300" t="s">
        <v>270</v>
      </c>
      <c r="G11" s="300">
        <v>250</v>
      </c>
      <c r="H11" s="300">
        <v>250</v>
      </c>
      <c r="I11" s="292">
        <v>2.1351067484662578</v>
      </c>
      <c r="J11" s="292">
        <v>0.91227288343558299</v>
      </c>
      <c r="K11" s="296">
        <f>Inhalation_Exp[[#This Row],[TWA_High-End]]*IF(Inhalation_Exp[[#This Row],[Exposure Scenario]]="8-hr",ED_8,IF(Inhalation_Exp[[#This Row],[Exposure Scenario]]="10-hr",ED_10,ED_12))*WorkBreathRate/(WorkRestRate*AT)</f>
        <v>1.8155669629815117</v>
      </c>
      <c r="L11" s="240">
        <f>Inhalation_Exp[[#This Row],[TWA_Central Tendency]]*IF(Inhalation_Exp[[#This Row],[Exposure Scenario]]="8-hr",ED_8,IF(Inhalation_Exp[[#This Row],[Exposure Scenario]]="10-hr",ED_10,ED_12))*WorkBreathRate/(WorkRestRate*AT)</f>
        <v>0.77574224781937307</v>
      </c>
      <c r="M11" s="292">
        <f>IF(EFID&gt;Inhalation_Exp[[#This Row],[ED_High-End]],Inhalation_Exp[[#This Row],[24hr_High-End]]*Inhalation_Exp[[#This Row],[ED_High-End]]/ID,Inhalation_Exp[[#This Row],[24hr_High-End]]*EFID/ID)</f>
        <v>1.3314157728531086</v>
      </c>
      <c r="N11" s="292">
        <f>IF(EFID&gt;Inhalation_Exp[[#This Row],[ED_Central Tendency]],Inhalation_Exp[[#This Row],[24hr_Central Tendency]]*Inhalation_Exp[[#This Row],[ED_Central Tendency]]/ID,Inhalation_Exp[[#This Row],[24hr_Central Tendency]]*EFID/ID)</f>
        <v>0.56887764840087351</v>
      </c>
      <c r="O11" s="207">
        <f>Inhalation_Exp[[#This Row],[24hr_High-End]]*Inhalation_Exp[[#This Row],[ED_High-End]]*WY_high/(AT_ADC_high)</f>
        <v>1.2435390157407613</v>
      </c>
      <c r="P11" s="207">
        <f>Inhalation_Exp[[#This Row],[24hr_Central Tendency]]*Inhalation_Exp[[#This Row],[ED_Central Tendency]]*WY_mid/(AT_ADC_mid)</f>
        <v>0.531330306725598</v>
      </c>
      <c r="Q11" s="301">
        <v>5</v>
      </c>
      <c r="R11" s="300" t="s">
        <v>415</v>
      </c>
      <c r="S11" s="9" t="s">
        <v>423</v>
      </c>
      <c r="T11" s="302" t="s">
        <v>271</v>
      </c>
    </row>
    <row r="12" spans="1:20" ht="39" customHeight="1" x14ac:dyDescent="0.3">
      <c r="B12" s="306">
        <v>1</v>
      </c>
      <c r="C12" s="310" t="s">
        <v>33</v>
      </c>
      <c r="D12" s="308" t="s">
        <v>268</v>
      </c>
      <c r="E12" s="206" t="s">
        <v>73</v>
      </c>
      <c r="F12" s="300" t="s">
        <v>269</v>
      </c>
      <c r="G12" s="300">
        <v>250</v>
      </c>
      <c r="H12" s="300">
        <v>250</v>
      </c>
      <c r="I12" s="292">
        <v>1.8801003278800263</v>
      </c>
      <c r="J12" s="292">
        <v>0.18459777096114521</v>
      </c>
      <c r="K12" s="296">
        <f>Inhalation_Exp[[#This Row],[TWA_High-End]]*IF(Inhalation_Exp[[#This Row],[Exposure Scenario]]="8-hr",ED_8,IF(Inhalation_Exp[[#This Row],[Exposure Scenario]]="10-hr",ED_10,ED_12))*WorkBreathRate/(WorkRestRate*AT)</f>
        <v>1.9184697223265577</v>
      </c>
      <c r="L12" s="240">
        <f>Inhalation_Exp[[#This Row],[TWA_Central Tendency]]*IF(Inhalation_Exp[[#This Row],[Exposure Scenario]]="8-hr",ED_8,IF(Inhalation_Exp[[#This Row],[Exposure Scenario]]="10-hr",ED_10,ED_12))*WorkBreathRate/(WorkRestRate*AT)</f>
        <v>0.18836507240933181</v>
      </c>
      <c r="M12" s="292">
        <f>IF(EFID&gt;Inhalation_Exp[[#This Row],[ED_High-End]],Inhalation_Exp[[#This Row],[24hr_High-End]]*Inhalation_Exp[[#This Row],[ED_High-End]]/ID,Inhalation_Exp[[#This Row],[24hr_High-End]]*EFID/ID)</f>
        <v>1.406877796372809</v>
      </c>
      <c r="N12" s="292">
        <f>IF(EFID&gt;Inhalation_Exp[[#This Row],[ED_Central Tendency]],Inhalation_Exp[[#This Row],[24hr_Central Tendency]]*Inhalation_Exp[[#This Row],[ED_Central Tendency]]/ID,Inhalation_Exp[[#This Row],[24hr_Central Tendency]]*EFID/ID)</f>
        <v>0.13813438643351</v>
      </c>
      <c r="O12" s="207">
        <f>Inhalation_Exp[[#This Row],[24hr_High-End]]*Inhalation_Exp[[#This Row],[ED_High-End]]*WY_high/(AT_ADC_high)</f>
        <v>1.3140203577579164</v>
      </c>
      <c r="P12" s="207">
        <f>Inhalation_Exp[[#This Row],[24hr_Central Tendency]]*Inhalation_Exp[[#This Row],[ED_Central Tendency]]*WY_mid/(AT_ADC_mid)</f>
        <v>0.12901717288310396</v>
      </c>
      <c r="Q12" s="301">
        <v>8</v>
      </c>
      <c r="R12" s="300" t="s">
        <v>415</v>
      </c>
      <c r="S12" s="9" t="s">
        <v>423</v>
      </c>
      <c r="T12" s="302" t="s">
        <v>271</v>
      </c>
    </row>
    <row r="13" spans="1:20" ht="39" customHeight="1" x14ac:dyDescent="0.3">
      <c r="B13" s="305">
        <v>1</v>
      </c>
      <c r="C13" s="310" t="s">
        <v>243</v>
      </c>
      <c r="D13" s="308" t="s">
        <v>263</v>
      </c>
      <c r="E13" s="206" t="s">
        <v>54</v>
      </c>
      <c r="F13" s="300" t="s">
        <v>107</v>
      </c>
      <c r="G13" s="300">
        <v>250</v>
      </c>
      <c r="H13" s="300">
        <v>235</v>
      </c>
      <c r="I13" s="292">
        <v>0.30328220858895705</v>
      </c>
      <c r="J13" s="292">
        <v>0.30328220858895705</v>
      </c>
      <c r="K13" s="296">
        <f>Inhalation_Exp[[#This Row],[TWA_High-End]]*IF(Inhalation_Exp[[#This Row],[Exposure Scenario]]="8-hr",ED_8,IF(Inhalation_Exp[[#This Row],[Exposure Scenario]]="10-hr",ED_10,ED_12))*WorkBreathRate/(WorkRestRate*AT)</f>
        <v>0.2063144276115354</v>
      </c>
      <c r="L13" s="240">
        <f>Inhalation_Exp[[#This Row],[TWA_Central Tendency]]*IF(Inhalation_Exp[[#This Row],[Exposure Scenario]]="8-hr",ED_8,IF(Inhalation_Exp[[#This Row],[Exposure Scenario]]="10-hr",ED_10,ED_12))*WorkBreathRate/(WorkRestRate*AT)</f>
        <v>0.2063144276115354</v>
      </c>
      <c r="M13" s="207">
        <f>IF(EFID&gt;Inhalation_Exp[[#This Row],[ED_High-End]],Inhalation_Exp[[#This Row],[24hr_High-End]]*Inhalation_Exp[[#This Row],[ED_High-End]]/ID,Inhalation_Exp[[#This Row],[24hr_High-End]]*EFID/ID)</f>
        <v>0.15129724691512597</v>
      </c>
      <c r="N13" s="217">
        <f>IF(EFID&gt;Inhalation_Exp[[#This Row],[ED_Central Tendency]],Inhalation_Exp[[#This Row],[24hr_Central Tendency]]*Inhalation_Exp[[#This Row],[ED_Central Tendency]]/ID,Inhalation_Exp[[#This Row],[24hr_Central Tendency]]*EFID/ID)</f>
        <v>0.15129724691512597</v>
      </c>
      <c r="O13" s="207">
        <f>Inhalation_Exp[[#This Row],[24hr_High-End]]*Inhalation_Exp[[#This Row],[ED_High-End]]*WY_high/(AT_ADC_high)</f>
        <v>0.14131125178872286</v>
      </c>
      <c r="P13" s="217">
        <f>Inhalation_Exp[[#This Row],[24hr_Central Tendency]]*Inhalation_Exp[[#This Row],[ED_Central Tendency]]*WY_mid/(AT_ADC_mid)</f>
        <v>0.1328325766813995</v>
      </c>
      <c r="Q13" s="301">
        <v>1</v>
      </c>
      <c r="R13" s="300" t="s">
        <v>415</v>
      </c>
      <c r="S13" s="9" t="s">
        <v>423</v>
      </c>
      <c r="T13" s="302" t="s">
        <v>271</v>
      </c>
    </row>
    <row r="14" spans="1:20" ht="39" customHeight="1" x14ac:dyDescent="0.3">
      <c r="B14" s="305">
        <v>1</v>
      </c>
      <c r="C14" s="310" t="s">
        <v>243</v>
      </c>
      <c r="D14" s="308" t="s">
        <v>264</v>
      </c>
      <c r="E14" s="206" t="s">
        <v>73</v>
      </c>
      <c r="F14" s="300" t="s">
        <v>107</v>
      </c>
      <c r="G14" s="300">
        <v>250</v>
      </c>
      <c r="H14" s="300">
        <v>235</v>
      </c>
      <c r="I14" s="292">
        <v>9.705030674846622</v>
      </c>
      <c r="J14" s="292">
        <v>2.9115092024539879</v>
      </c>
      <c r="K14" s="296">
        <f>Inhalation_Exp[[#This Row],[TWA_High-End]]*IF(Inhalation_Exp[[#This Row],[Exposure Scenario]]="8-hr",ED_8,IF(Inhalation_Exp[[#This Row],[Exposure Scenario]]="10-hr",ED_10,ED_12))*WorkBreathRate/(WorkRestRate*AT)</f>
        <v>6.602061683569131</v>
      </c>
      <c r="L14" s="240">
        <f>Inhalation_Exp[[#This Row],[TWA_Central Tendency]]*IF(Inhalation_Exp[[#This Row],[Exposure Scenario]]="8-hr",ED_8,IF(Inhalation_Exp[[#This Row],[Exposure Scenario]]="10-hr",ED_10,ED_12))*WorkBreathRate/(WorkRestRate*AT)</f>
        <v>1.9806185050707401</v>
      </c>
      <c r="M14" s="207">
        <f>IF(EFID&gt;Inhalation_Exp[[#This Row],[ED_High-End]],Inhalation_Exp[[#This Row],[24hr_High-End]]*Inhalation_Exp[[#This Row],[ED_High-End]]/ID,Inhalation_Exp[[#This Row],[24hr_High-End]]*EFID/ID)</f>
        <v>4.8415119012840302</v>
      </c>
      <c r="N14" s="217">
        <f>IF(EFID&gt;Inhalation_Exp[[#This Row],[ED_Central Tendency]],Inhalation_Exp[[#This Row],[24hr_Central Tendency]]*Inhalation_Exp[[#This Row],[ED_Central Tendency]]/ID,Inhalation_Exp[[#This Row],[24hr_Central Tendency]]*EFID/ID)</f>
        <v>1.4524535703852095</v>
      </c>
      <c r="O14" s="207">
        <f>Inhalation_Exp[[#This Row],[24hr_High-End]]*Inhalation_Exp[[#This Row],[ED_High-End]]*WY_high/(AT_ADC_high)</f>
        <v>4.5219600572391307</v>
      </c>
      <c r="P14" s="217">
        <f>Inhalation_Exp[[#This Row],[24hr_Central Tendency]]*Inhalation_Exp[[#This Row],[ED_Central Tendency]]*WY_mid/(AT_ADC_mid)</f>
        <v>1.2751927361414352</v>
      </c>
      <c r="Q14" s="301">
        <v>17</v>
      </c>
      <c r="R14" s="300" t="s">
        <v>415</v>
      </c>
      <c r="S14" s="9" t="s">
        <v>423</v>
      </c>
      <c r="T14" s="302" t="s">
        <v>271</v>
      </c>
    </row>
    <row r="15" spans="1:20" ht="39" customHeight="1" x14ac:dyDescent="0.3">
      <c r="B15" s="305">
        <v>1</v>
      </c>
      <c r="C15" s="310" t="s">
        <v>243</v>
      </c>
      <c r="D15" s="308" t="s">
        <v>265</v>
      </c>
      <c r="E15" s="206" t="s">
        <v>73</v>
      </c>
      <c r="F15" s="300" t="s">
        <v>107</v>
      </c>
      <c r="G15" s="300">
        <v>250</v>
      </c>
      <c r="H15" s="300">
        <v>235</v>
      </c>
      <c r="I15" s="292">
        <v>46.705460122699385</v>
      </c>
      <c r="J15" s="292">
        <v>0.24262576687116569</v>
      </c>
      <c r="K15" s="296">
        <f>Inhalation_Exp[[#This Row],[TWA_High-End]]*IF(Inhalation_Exp[[#This Row],[Exposure Scenario]]="8-hr",ED_8,IF(Inhalation_Exp[[#This Row],[Exposure Scenario]]="10-hr",ED_10,ED_12))*WorkBreathRate/(WorkRestRate*AT)</f>
        <v>31.77242185217645</v>
      </c>
      <c r="L15" s="240">
        <f>Inhalation_Exp[[#This Row],[TWA_Central Tendency]]*IF(Inhalation_Exp[[#This Row],[Exposure Scenario]]="8-hr",ED_8,IF(Inhalation_Exp[[#This Row],[Exposure Scenario]]="10-hr",ED_10,ED_12))*WorkBreathRate/(WorkRestRate*AT)</f>
        <v>0.16505154208922834</v>
      </c>
      <c r="M15" s="207">
        <f>IF(EFID&gt;Inhalation_Exp[[#This Row],[ED_High-End]],Inhalation_Exp[[#This Row],[24hr_High-End]]*Inhalation_Exp[[#This Row],[ED_High-End]]/ID,Inhalation_Exp[[#This Row],[24hr_High-End]]*EFID/ID)</f>
        <v>23.299776024929397</v>
      </c>
      <c r="N15" s="217">
        <f>IF(EFID&gt;Inhalation_Exp[[#This Row],[ED_Central Tendency]],Inhalation_Exp[[#This Row],[24hr_Central Tendency]]*Inhalation_Exp[[#This Row],[ED_Central Tendency]]/ID,Inhalation_Exp[[#This Row],[24hr_Central Tendency]]*EFID/ID)</f>
        <v>0.1210377975321008</v>
      </c>
      <c r="O15" s="207">
        <f>Inhalation_Exp[[#This Row],[24hr_High-End]]*Inhalation_Exp[[#This Row],[ED_High-End]]*WY_high/(AT_ADC_high)</f>
        <v>21.761932775463322</v>
      </c>
      <c r="P15" s="217">
        <f>Inhalation_Exp[[#This Row],[24hr_Central Tendency]]*Inhalation_Exp[[#This Row],[ED_Central Tendency]]*WY_mid/(AT_ADC_mid)</f>
        <v>0.10626606134511962</v>
      </c>
      <c r="Q15" s="301">
        <v>3</v>
      </c>
      <c r="R15" s="300" t="s">
        <v>415</v>
      </c>
      <c r="S15" s="9" t="s">
        <v>423</v>
      </c>
      <c r="T15" s="302" t="s">
        <v>272</v>
      </c>
    </row>
    <row r="16" spans="1:20" ht="39" customHeight="1" x14ac:dyDescent="0.3">
      <c r="B16" s="306">
        <v>1</v>
      </c>
      <c r="C16" s="310" t="s">
        <v>243</v>
      </c>
      <c r="D16" s="308" t="s">
        <v>266</v>
      </c>
      <c r="E16" s="206" t="s">
        <v>73</v>
      </c>
      <c r="F16" s="300" t="s">
        <v>269</v>
      </c>
      <c r="G16" s="300">
        <v>250</v>
      </c>
      <c r="H16" s="300">
        <v>235</v>
      </c>
      <c r="I16" s="292">
        <v>3.42361806066803</v>
      </c>
      <c r="J16" s="292">
        <v>0.33305441206543968</v>
      </c>
      <c r="K16" s="296">
        <f>Inhalation_Exp[[#This Row],[TWA_High-End]]*IF(Inhalation_Exp[[#This Row],[Exposure Scenario]]="8-hr",ED_8,IF(Inhalation_Exp[[#This Row],[Exposure Scenario]]="10-hr",ED_10,ED_12))*WorkBreathRate/(WorkRestRate*AT)</f>
        <v>3.4934878170081936</v>
      </c>
      <c r="L16" s="240">
        <f>Inhalation_Exp[[#This Row],[TWA_Central Tendency]]*IF(Inhalation_Exp[[#This Row],[Exposure Scenario]]="8-hr",ED_8,IF(Inhalation_Exp[[#This Row],[Exposure Scenario]]="10-hr",ED_10,ED_12))*WorkBreathRate/(WorkRestRate*AT)</f>
        <v>0.33985144088310165</v>
      </c>
      <c r="M16" s="292">
        <f>IF(EFID&gt;Inhalation_Exp[[#This Row],[ED_High-End]],Inhalation_Exp[[#This Row],[24hr_High-End]]*Inhalation_Exp[[#This Row],[ED_High-End]]/ID,Inhalation_Exp[[#This Row],[24hr_High-End]]*EFID/ID)</f>
        <v>2.5618910658060088</v>
      </c>
      <c r="N16" s="292">
        <f>IF(EFID&gt;Inhalation_Exp[[#This Row],[ED_Central Tendency]],Inhalation_Exp[[#This Row],[24hr_Central Tendency]]*Inhalation_Exp[[#This Row],[ED_Central Tendency]]/ID,Inhalation_Exp[[#This Row],[24hr_Central Tendency]]*EFID/ID)</f>
        <v>0.24922438998094121</v>
      </c>
      <c r="O16" s="207">
        <f>Inhalation_Exp[[#This Row],[24hr_High-End]]*Inhalation_Exp[[#This Row],[ED_High-End]]*WY_high/(AT_ADC_high)</f>
        <v>2.392799874663146</v>
      </c>
      <c r="P16" s="207">
        <f>Inhalation_Exp[[#This Row],[24hr_Central Tendency]]*Inhalation_Exp[[#This Row],[ED_Central Tendency]]*WY_mid/(AT_ADC_mid)</f>
        <v>0.21880846193843531</v>
      </c>
      <c r="Q16" s="301">
        <v>11</v>
      </c>
      <c r="R16" s="300" t="s">
        <v>415</v>
      </c>
      <c r="S16" s="9" t="s">
        <v>423</v>
      </c>
      <c r="T16" s="302" t="s">
        <v>271</v>
      </c>
    </row>
    <row r="17" spans="2:20" ht="39" customHeight="1" x14ac:dyDescent="0.3">
      <c r="B17" s="306">
        <v>1</v>
      </c>
      <c r="C17" s="310" t="s">
        <v>243</v>
      </c>
      <c r="D17" s="308" t="s">
        <v>267</v>
      </c>
      <c r="E17" s="206" t="s">
        <v>73</v>
      </c>
      <c r="F17" s="300" t="s">
        <v>107</v>
      </c>
      <c r="G17" s="300">
        <v>250</v>
      </c>
      <c r="H17" s="300">
        <v>235</v>
      </c>
      <c r="I17" s="292">
        <v>0.15770674846625768</v>
      </c>
      <c r="J17" s="292">
        <v>0.15770674846625768</v>
      </c>
      <c r="K17" s="296">
        <f>Inhalation_Exp[[#This Row],[TWA_High-End]]*IF(Inhalation_Exp[[#This Row],[Exposure Scenario]]="8-hr",ED_8,IF(Inhalation_Exp[[#This Row],[Exposure Scenario]]="10-hr",ED_10,ED_12))*WorkBreathRate/(WorkRestRate*AT)</f>
        <v>0.10728350235799841</v>
      </c>
      <c r="L17" s="240">
        <f>Inhalation_Exp[[#This Row],[TWA_Central Tendency]]*IF(Inhalation_Exp[[#This Row],[Exposure Scenario]]="8-hr",ED_8,IF(Inhalation_Exp[[#This Row],[Exposure Scenario]]="10-hr",ED_10,ED_12))*WorkBreathRate/(WorkRestRate*AT)</f>
        <v>0.10728350235799841</v>
      </c>
      <c r="M17" s="292">
        <f>IF(EFID&gt;Inhalation_Exp[[#This Row],[ED_High-End]],Inhalation_Exp[[#This Row],[24hr_High-End]]*Inhalation_Exp[[#This Row],[ED_High-End]]/ID,Inhalation_Exp[[#This Row],[24hr_High-End]]*EFID/ID)</f>
        <v>7.8674568395865493E-2</v>
      </c>
      <c r="N17" s="292">
        <f>IF(EFID&gt;Inhalation_Exp[[#This Row],[ED_Central Tendency]],Inhalation_Exp[[#This Row],[24hr_Central Tendency]]*Inhalation_Exp[[#This Row],[ED_Central Tendency]]/ID,Inhalation_Exp[[#This Row],[24hr_Central Tendency]]*EFID/ID)</f>
        <v>7.8674568395865493E-2</v>
      </c>
      <c r="O17" s="207">
        <f>Inhalation_Exp[[#This Row],[24hr_High-End]]*Inhalation_Exp[[#This Row],[ED_High-End]]*WY_high/(AT_ADC_high)</f>
        <v>7.34818509301359E-2</v>
      </c>
      <c r="P17" s="207">
        <f>Inhalation_Exp[[#This Row],[24hr_Central Tendency]]*Inhalation_Exp[[#This Row],[ED_Central Tendency]]*WY_mid/(AT_ADC_mid)</f>
        <v>6.9072939874327749E-2</v>
      </c>
      <c r="Q17" s="301">
        <v>1</v>
      </c>
      <c r="R17" s="300" t="s">
        <v>415</v>
      </c>
      <c r="S17" s="9" t="s">
        <v>423</v>
      </c>
      <c r="T17" s="302" t="s">
        <v>271</v>
      </c>
    </row>
    <row r="18" spans="2:20" ht="39" customHeight="1" x14ac:dyDescent="0.3">
      <c r="B18" s="306">
        <v>1</v>
      </c>
      <c r="C18" s="310" t="s">
        <v>243</v>
      </c>
      <c r="D18" s="308" t="s">
        <v>268</v>
      </c>
      <c r="E18" s="206" t="s">
        <v>73</v>
      </c>
      <c r="F18" s="300" t="s">
        <v>107</v>
      </c>
      <c r="G18" s="300">
        <v>250</v>
      </c>
      <c r="H18" s="300">
        <v>235</v>
      </c>
      <c r="I18" s="292">
        <v>8.0491603629856723</v>
      </c>
      <c r="J18" s="292">
        <v>0.51065141871165642</v>
      </c>
      <c r="K18" s="296">
        <f>Inhalation_Exp[[#This Row],[TWA_High-End]]*IF(Inhalation_Exp[[#This Row],[Exposure Scenario]]="8-hr",ED_8,IF(Inhalation_Exp[[#This Row],[Exposure Scenario]]="10-hr",ED_10,ED_12))*WorkBreathRate/(WorkRestRate*AT)</f>
        <v>5.4756192945480766</v>
      </c>
      <c r="L18" s="240">
        <f>Inhalation_Exp[[#This Row],[TWA_Central Tendency]]*IF(Inhalation_Exp[[#This Row],[Exposure Scenario]]="8-hr",ED_8,IF(Inhalation_Exp[[#This Row],[Exposure Scenario]]="10-hr",ED_10,ED_12))*WorkBreathRate/(WorkRestRate*AT)</f>
        <v>0.34738191749092273</v>
      </c>
      <c r="M18" s="292">
        <f>IF(EFID&gt;Inhalation_Exp[[#This Row],[ED_High-End]],Inhalation_Exp[[#This Row],[24hr_High-End]]*Inhalation_Exp[[#This Row],[ED_High-End]]/ID,Inhalation_Exp[[#This Row],[24hr_High-End]]*EFID/ID)</f>
        <v>4.0154541493352562</v>
      </c>
      <c r="N18" s="292">
        <f>IF(EFID&gt;Inhalation_Exp[[#This Row],[ED_Central Tendency]],Inhalation_Exp[[#This Row],[24hr_Central Tendency]]*Inhalation_Exp[[#This Row],[ED_Central Tendency]]/ID,Inhalation_Exp[[#This Row],[24hr_Central Tendency]]*EFID/ID)</f>
        <v>0.25474673949334331</v>
      </c>
      <c r="O18" s="207">
        <f>Inhalation_Exp[[#This Row],[24hr_High-End]]*Inhalation_Exp[[#This Row],[ED_High-End]]*WY_high/(AT_ADC_high)</f>
        <v>3.750424174347998</v>
      </c>
      <c r="P18" s="207">
        <f>Inhalation_Exp[[#This Row],[24hr_Central Tendency]]*Inhalation_Exp[[#This Row],[ED_Central Tendency]]*WY_mid/(AT_ADC_mid)</f>
        <v>0.22365685098730642</v>
      </c>
      <c r="Q18" s="301">
        <v>24</v>
      </c>
      <c r="R18" s="300" t="s">
        <v>415</v>
      </c>
      <c r="S18" s="9" t="s">
        <v>423</v>
      </c>
      <c r="T18" s="302" t="s">
        <v>271</v>
      </c>
    </row>
    <row r="19" spans="2:20" ht="39" customHeight="1" x14ac:dyDescent="0.3">
      <c r="B19" s="306">
        <v>1</v>
      </c>
      <c r="C19" s="310" t="s">
        <v>243</v>
      </c>
      <c r="D19" s="308" t="s">
        <v>268</v>
      </c>
      <c r="E19" s="206" t="s">
        <v>73</v>
      </c>
      <c r="F19" s="300" t="s">
        <v>270</v>
      </c>
      <c r="G19" s="300">
        <v>250</v>
      </c>
      <c r="H19" s="300">
        <v>235</v>
      </c>
      <c r="I19" s="292">
        <v>2.1351067484662578</v>
      </c>
      <c r="J19" s="292">
        <v>0.91227288343558299</v>
      </c>
      <c r="K19" s="296">
        <f>Inhalation_Exp[[#This Row],[TWA_High-End]]*IF(Inhalation_Exp[[#This Row],[Exposure Scenario]]="8-hr",ED_8,IF(Inhalation_Exp[[#This Row],[Exposure Scenario]]="10-hr",ED_10,ED_12))*WorkBreathRate/(WorkRestRate*AT)</f>
        <v>1.8155669629815117</v>
      </c>
      <c r="L19" s="240">
        <f>Inhalation_Exp[[#This Row],[TWA_Central Tendency]]*IF(Inhalation_Exp[[#This Row],[Exposure Scenario]]="8-hr",ED_8,IF(Inhalation_Exp[[#This Row],[Exposure Scenario]]="10-hr",ED_10,ED_12))*WorkBreathRate/(WorkRestRate*AT)</f>
        <v>0.77574224781937307</v>
      </c>
      <c r="M19" s="292">
        <f>IF(EFID&gt;Inhalation_Exp[[#This Row],[ED_High-End]],Inhalation_Exp[[#This Row],[24hr_High-End]]*Inhalation_Exp[[#This Row],[ED_High-End]]/ID,Inhalation_Exp[[#This Row],[24hr_High-End]]*EFID/ID)</f>
        <v>1.3314157728531086</v>
      </c>
      <c r="N19" s="292">
        <f>IF(EFID&gt;Inhalation_Exp[[#This Row],[ED_Central Tendency]],Inhalation_Exp[[#This Row],[24hr_Central Tendency]]*Inhalation_Exp[[#This Row],[ED_Central Tendency]]/ID,Inhalation_Exp[[#This Row],[24hr_Central Tendency]]*EFID/ID)</f>
        <v>0.56887764840087351</v>
      </c>
      <c r="O19" s="207">
        <f>Inhalation_Exp[[#This Row],[24hr_High-End]]*Inhalation_Exp[[#This Row],[ED_High-End]]*WY_high/(AT_ADC_high)</f>
        <v>1.2435390157407613</v>
      </c>
      <c r="P19" s="207">
        <f>Inhalation_Exp[[#This Row],[24hr_Central Tendency]]*Inhalation_Exp[[#This Row],[ED_Central Tendency]]*WY_mid/(AT_ADC_mid)</f>
        <v>0.49945048832206207</v>
      </c>
      <c r="Q19" s="301">
        <v>5</v>
      </c>
      <c r="R19" s="300" t="s">
        <v>415</v>
      </c>
      <c r="S19" s="9" t="s">
        <v>423</v>
      </c>
      <c r="T19" s="302" t="s">
        <v>271</v>
      </c>
    </row>
    <row r="20" spans="2:20" ht="39" customHeight="1" x14ac:dyDescent="0.3">
      <c r="B20" s="306">
        <v>1</v>
      </c>
      <c r="C20" s="310" t="s">
        <v>243</v>
      </c>
      <c r="D20" s="308" t="s">
        <v>268</v>
      </c>
      <c r="E20" s="206" t="s">
        <v>73</v>
      </c>
      <c r="F20" s="300" t="s">
        <v>269</v>
      </c>
      <c r="G20" s="300">
        <v>250</v>
      </c>
      <c r="H20" s="300">
        <v>235</v>
      </c>
      <c r="I20" s="292">
        <v>1.8801003278800263</v>
      </c>
      <c r="J20" s="292">
        <v>0.18459777096114521</v>
      </c>
      <c r="K20" s="296">
        <f>Inhalation_Exp[[#This Row],[TWA_High-End]]*IF(Inhalation_Exp[[#This Row],[Exposure Scenario]]="8-hr",ED_8,IF(Inhalation_Exp[[#This Row],[Exposure Scenario]]="10-hr",ED_10,ED_12))*WorkBreathRate/(WorkRestRate*AT)</f>
        <v>1.9184697223265577</v>
      </c>
      <c r="L20" s="240">
        <f>Inhalation_Exp[[#This Row],[TWA_Central Tendency]]*IF(Inhalation_Exp[[#This Row],[Exposure Scenario]]="8-hr",ED_8,IF(Inhalation_Exp[[#This Row],[Exposure Scenario]]="10-hr",ED_10,ED_12))*WorkBreathRate/(WorkRestRate*AT)</f>
        <v>0.18836507240933181</v>
      </c>
      <c r="M20" s="292">
        <f>IF(EFID&gt;Inhalation_Exp[[#This Row],[ED_High-End]],Inhalation_Exp[[#This Row],[24hr_High-End]]*Inhalation_Exp[[#This Row],[ED_High-End]]/ID,Inhalation_Exp[[#This Row],[24hr_High-End]]*EFID/ID)</f>
        <v>1.406877796372809</v>
      </c>
      <c r="N20" s="292">
        <f>IF(EFID&gt;Inhalation_Exp[[#This Row],[ED_Central Tendency]],Inhalation_Exp[[#This Row],[24hr_Central Tendency]]*Inhalation_Exp[[#This Row],[ED_Central Tendency]]/ID,Inhalation_Exp[[#This Row],[24hr_Central Tendency]]*EFID/ID)</f>
        <v>0.13813438643351</v>
      </c>
      <c r="O20" s="207">
        <f>Inhalation_Exp[[#This Row],[24hr_High-End]]*Inhalation_Exp[[#This Row],[ED_High-End]]*WY_high/(AT_ADC_high)</f>
        <v>1.3140203577579164</v>
      </c>
      <c r="P20" s="207">
        <f>Inhalation_Exp[[#This Row],[24hr_Central Tendency]]*Inhalation_Exp[[#This Row],[ED_Central Tendency]]*WY_mid/(AT_ADC_mid)</f>
        <v>0.12127614251011774</v>
      </c>
      <c r="Q20" s="301">
        <v>8</v>
      </c>
      <c r="R20" s="300" t="s">
        <v>415</v>
      </c>
      <c r="S20" s="9" t="s">
        <v>423</v>
      </c>
      <c r="T20" s="302" t="s">
        <v>271</v>
      </c>
    </row>
    <row r="21" spans="2:20" ht="26" x14ac:dyDescent="0.3">
      <c r="B21" s="305">
        <v>2</v>
      </c>
      <c r="C21" s="310" t="s">
        <v>244</v>
      </c>
      <c r="D21" s="308" t="s">
        <v>275</v>
      </c>
      <c r="E21" s="206" t="s">
        <v>73</v>
      </c>
      <c r="F21" s="300" t="s">
        <v>107</v>
      </c>
      <c r="G21" s="300">
        <v>250</v>
      </c>
      <c r="H21" s="300">
        <v>250</v>
      </c>
      <c r="I21" s="292">
        <v>16.384821319018407</v>
      </c>
      <c r="J21" s="292">
        <v>3.2436032208588959</v>
      </c>
      <c r="K21" s="296">
        <f>Inhalation_Exp[[#This Row],[TWA_High-End]]*IF(Inhalation_Exp[[#This Row],[Exposure Scenario]]="8-hr",ED_8,IF(Inhalation_Exp[[#This Row],[Exposure Scenario]]="10-hr",ED_10,ED_12))*WorkBreathRate/(WorkRestRate*AT)</f>
        <v>11.146136951713203</v>
      </c>
      <c r="L21" s="240">
        <f>Inhalation_Exp[[#This Row],[TWA_Central Tendency]]*IF(Inhalation_Exp[[#This Row],[Exposure Scenario]]="8-hr",ED_8,IF(Inhalation_Exp[[#This Row],[Exposure Scenario]]="10-hr",ED_10,ED_12))*WorkBreathRate/(WorkRestRate*AT)</f>
        <v>2.2065328033053708</v>
      </c>
      <c r="M21" s="207">
        <f>IF(EFID&gt;Inhalation_Exp[[#This Row],[ED_High-End]],Inhalation_Exp[[#This Row],[24hr_High-End]]*Inhalation_Exp[[#This Row],[ED_High-End]]/ID,Inhalation_Exp[[#This Row],[24hr_High-End]]*EFID/ID)</f>
        <v>8.1738337645896824</v>
      </c>
      <c r="N21" s="217">
        <f>IF(EFID&gt;Inhalation_Exp[[#This Row],[ED_Central Tendency]],Inhalation_Exp[[#This Row],[24hr_Central Tendency]]*Inhalation_Exp[[#This Row],[ED_Central Tendency]]/ID,Inhalation_Exp[[#This Row],[24hr_Central Tendency]]*EFID/ID)</f>
        <v>1.6181240557572718</v>
      </c>
      <c r="O21" s="207">
        <f>Inhalation_Exp[[#This Row],[24hr_High-End]]*Inhalation_Exp[[#This Row],[ED_High-End]]*WY_high/(AT_ADC_high)</f>
        <v>7.6343403778857555</v>
      </c>
      <c r="P21" s="217">
        <f>Inhalation_Exp[[#This Row],[24hr_Central Tendency]]*Inhalation_Exp[[#This Row],[ED_Central Tendency]]*WY_mid/(AT_ADC_mid)</f>
        <v>1.511323837880391</v>
      </c>
      <c r="Q21" s="301">
        <v>27</v>
      </c>
      <c r="R21" s="300" t="s">
        <v>415</v>
      </c>
      <c r="S21" s="9" t="s">
        <v>276</v>
      </c>
      <c r="T21" s="302" t="s">
        <v>271</v>
      </c>
    </row>
    <row r="22" spans="2:20" ht="39" customHeight="1" x14ac:dyDescent="0.3">
      <c r="B22" s="305">
        <v>2</v>
      </c>
      <c r="C22" s="310" t="s">
        <v>244</v>
      </c>
      <c r="D22" s="308" t="s">
        <v>263</v>
      </c>
      <c r="E22" s="206" t="s">
        <v>54</v>
      </c>
      <c r="F22" s="300" t="s">
        <v>107</v>
      </c>
      <c r="G22" s="300">
        <v>250</v>
      </c>
      <c r="H22" s="300">
        <v>250</v>
      </c>
      <c r="I22" s="292">
        <v>0.30328220858895705</v>
      </c>
      <c r="J22" s="292">
        <v>0.30328220858895705</v>
      </c>
      <c r="K22" s="296">
        <f>Inhalation_Exp[[#This Row],[TWA_High-End]]*IF(Inhalation_Exp[[#This Row],[Exposure Scenario]]="8-hr",ED_8,IF(Inhalation_Exp[[#This Row],[Exposure Scenario]]="10-hr",ED_10,ED_12))*WorkBreathRate/(WorkRestRate*AT)</f>
        <v>0.2063144276115354</v>
      </c>
      <c r="L22" s="240">
        <f>Inhalation_Exp[[#This Row],[TWA_Central Tendency]]*IF(Inhalation_Exp[[#This Row],[Exposure Scenario]]="8-hr",ED_8,IF(Inhalation_Exp[[#This Row],[Exposure Scenario]]="10-hr",ED_10,ED_12))*WorkBreathRate/(WorkRestRate*AT)</f>
        <v>0.2063144276115354</v>
      </c>
      <c r="M22" s="207">
        <f>IF(EFID&gt;Inhalation_Exp[[#This Row],[ED_High-End]],Inhalation_Exp[[#This Row],[24hr_High-End]]*Inhalation_Exp[[#This Row],[ED_High-End]]/ID,Inhalation_Exp[[#This Row],[24hr_High-End]]*EFID/ID)</f>
        <v>0.15129724691512597</v>
      </c>
      <c r="N22" s="217">
        <f>IF(EFID&gt;Inhalation_Exp[[#This Row],[ED_Central Tendency]],Inhalation_Exp[[#This Row],[24hr_Central Tendency]]*Inhalation_Exp[[#This Row],[ED_Central Tendency]]/ID,Inhalation_Exp[[#This Row],[24hr_Central Tendency]]*EFID/ID)</f>
        <v>0.15129724691512597</v>
      </c>
      <c r="O22" s="207">
        <f>Inhalation_Exp[[#This Row],[24hr_High-End]]*Inhalation_Exp[[#This Row],[ED_High-End]]*WY_high/(AT_ADC_high)</f>
        <v>0.14131125178872286</v>
      </c>
      <c r="P22" s="217">
        <f>Inhalation_Exp[[#This Row],[24hr_Central Tendency]]*Inhalation_Exp[[#This Row],[ED_Central Tendency]]*WY_mid/(AT_ADC_mid)</f>
        <v>0.14131125178872286</v>
      </c>
      <c r="Q22" s="301">
        <v>1</v>
      </c>
      <c r="R22" s="300" t="s">
        <v>415</v>
      </c>
      <c r="S22" s="9" t="s">
        <v>423</v>
      </c>
      <c r="T22" s="302" t="s">
        <v>271</v>
      </c>
    </row>
    <row r="23" spans="2:20" ht="39" customHeight="1" x14ac:dyDescent="0.3">
      <c r="B23" s="305">
        <v>2</v>
      </c>
      <c r="C23" s="310" t="s">
        <v>244</v>
      </c>
      <c r="D23" s="308" t="s">
        <v>264</v>
      </c>
      <c r="E23" s="206" t="s">
        <v>73</v>
      </c>
      <c r="F23" s="300" t="s">
        <v>107</v>
      </c>
      <c r="G23" s="300">
        <v>250</v>
      </c>
      <c r="H23" s="300">
        <v>250</v>
      </c>
      <c r="I23" s="292">
        <v>9.705030674846622</v>
      </c>
      <c r="J23" s="292">
        <v>2.9115092024539879</v>
      </c>
      <c r="K23" s="296">
        <f>Inhalation_Exp[[#This Row],[TWA_High-End]]*IF(Inhalation_Exp[[#This Row],[Exposure Scenario]]="8-hr",ED_8,IF(Inhalation_Exp[[#This Row],[Exposure Scenario]]="10-hr",ED_10,ED_12))*WorkBreathRate/(WorkRestRate*AT)</f>
        <v>6.602061683569131</v>
      </c>
      <c r="L23" s="240">
        <f>Inhalation_Exp[[#This Row],[TWA_Central Tendency]]*IF(Inhalation_Exp[[#This Row],[Exposure Scenario]]="8-hr",ED_8,IF(Inhalation_Exp[[#This Row],[Exposure Scenario]]="10-hr",ED_10,ED_12))*WorkBreathRate/(WorkRestRate*AT)</f>
        <v>1.9806185050707401</v>
      </c>
      <c r="M23" s="207">
        <f>IF(EFID&gt;Inhalation_Exp[[#This Row],[ED_High-End]],Inhalation_Exp[[#This Row],[24hr_High-End]]*Inhalation_Exp[[#This Row],[ED_High-End]]/ID,Inhalation_Exp[[#This Row],[24hr_High-End]]*EFID/ID)</f>
        <v>4.8415119012840302</v>
      </c>
      <c r="N23" s="217">
        <f>IF(EFID&gt;Inhalation_Exp[[#This Row],[ED_Central Tendency]],Inhalation_Exp[[#This Row],[24hr_Central Tendency]]*Inhalation_Exp[[#This Row],[ED_Central Tendency]]/ID,Inhalation_Exp[[#This Row],[24hr_Central Tendency]]*EFID/ID)</f>
        <v>1.4524535703852095</v>
      </c>
      <c r="O23" s="207">
        <f>Inhalation_Exp[[#This Row],[24hr_High-End]]*Inhalation_Exp[[#This Row],[ED_High-End]]*WY_high/(AT_ADC_high)</f>
        <v>4.5219600572391307</v>
      </c>
      <c r="P23" s="217">
        <f>Inhalation_Exp[[#This Row],[24hr_Central Tendency]]*Inhalation_Exp[[#This Row],[ED_Central Tendency]]*WY_mid/(AT_ADC_mid)</f>
        <v>1.3565880171717397</v>
      </c>
      <c r="Q23" s="301">
        <v>17</v>
      </c>
      <c r="R23" s="300" t="s">
        <v>415</v>
      </c>
      <c r="S23" s="9" t="s">
        <v>423</v>
      </c>
      <c r="T23" s="302" t="s">
        <v>271</v>
      </c>
    </row>
    <row r="24" spans="2:20" ht="39" customHeight="1" x14ac:dyDescent="0.3">
      <c r="B24" s="305">
        <v>2</v>
      </c>
      <c r="C24" s="310" t="s">
        <v>244</v>
      </c>
      <c r="D24" s="308" t="s">
        <v>265</v>
      </c>
      <c r="E24" s="206" t="s">
        <v>73</v>
      </c>
      <c r="F24" s="300" t="s">
        <v>107</v>
      </c>
      <c r="G24" s="300">
        <v>250</v>
      </c>
      <c r="H24" s="300">
        <v>250</v>
      </c>
      <c r="I24" s="292">
        <v>46.705460122699385</v>
      </c>
      <c r="J24" s="292">
        <v>0.24262576687116569</v>
      </c>
      <c r="K24" s="296">
        <f>Inhalation_Exp[[#This Row],[TWA_High-End]]*IF(Inhalation_Exp[[#This Row],[Exposure Scenario]]="8-hr",ED_8,IF(Inhalation_Exp[[#This Row],[Exposure Scenario]]="10-hr",ED_10,ED_12))*WorkBreathRate/(WorkRestRate*AT)</f>
        <v>31.77242185217645</v>
      </c>
      <c r="L24" s="240">
        <f>Inhalation_Exp[[#This Row],[TWA_Central Tendency]]*IF(Inhalation_Exp[[#This Row],[Exposure Scenario]]="8-hr",ED_8,IF(Inhalation_Exp[[#This Row],[Exposure Scenario]]="10-hr",ED_10,ED_12))*WorkBreathRate/(WorkRestRate*AT)</f>
        <v>0.16505154208922834</v>
      </c>
      <c r="M24" s="292">
        <f>IF(EFID&gt;Inhalation_Exp[[#This Row],[ED_High-End]],Inhalation_Exp[[#This Row],[24hr_High-End]]*Inhalation_Exp[[#This Row],[ED_High-End]]/ID,Inhalation_Exp[[#This Row],[24hr_High-End]]*EFID/ID)</f>
        <v>23.299776024929397</v>
      </c>
      <c r="N24" s="292">
        <f>IF(EFID&gt;Inhalation_Exp[[#This Row],[ED_Central Tendency]],Inhalation_Exp[[#This Row],[24hr_Central Tendency]]*Inhalation_Exp[[#This Row],[ED_Central Tendency]]/ID,Inhalation_Exp[[#This Row],[24hr_Central Tendency]]*EFID/ID)</f>
        <v>0.1210377975321008</v>
      </c>
      <c r="O24" s="207">
        <f>Inhalation_Exp[[#This Row],[24hr_High-End]]*Inhalation_Exp[[#This Row],[ED_High-End]]*WY_high/(AT_ADC_high)</f>
        <v>21.761932775463322</v>
      </c>
      <c r="P24" s="207">
        <f>Inhalation_Exp[[#This Row],[24hr_Central Tendency]]*Inhalation_Exp[[#This Row],[ED_Central Tendency]]*WY_mid/(AT_ADC_mid)</f>
        <v>0.11304900143097833</v>
      </c>
      <c r="Q24" s="301">
        <v>3</v>
      </c>
      <c r="R24" s="300" t="s">
        <v>415</v>
      </c>
      <c r="S24" s="9" t="s">
        <v>423</v>
      </c>
      <c r="T24" s="302" t="s">
        <v>272</v>
      </c>
    </row>
    <row r="25" spans="2:20" ht="39" customHeight="1" x14ac:dyDescent="0.3">
      <c r="B25" s="305">
        <v>2</v>
      </c>
      <c r="C25" s="310" t="s">
        <v>244</v>
      </c>
      <c r="D25" s="308" t="s">
        <v>266</v>
      </c>
      <c r="E25" s="206" t="s">
        <v>73</v>
      </c>
      <c r="F25" s="300" t="s">
        <v>269</v>
      </c>
      <c r="G25" s="300">
        <v>250</v>
      </c>
      <c r="H25" s="300">
        <v>250</v>
      </c>
      <c r="I25" s="292">
        <v>3.42361806066803</v>
      </c>
      <c r="J25" s="292">
        <v>0.33305441206543968</v>
      </c>
      <c r="K25" s="296">
        <f>Inhalation_Exp[[#This Row],[TWA_High-End]]*IF(Inhalation_Exp[[#This Row],[Exposure Scenario]]="8-hr",ED_8,IF(Inhalation_Exp[[#This Row],[Exposure Scenario]]="10-hr",ED_10,ED_12))*WorkBreathRate/(WorkRestRate*AT)</f>
        <v>3.4934878170081936</v>
      </c>
      <c r="L25" s="240">
        <f>Inhalation_Exp[[#This Row],[TWA_Central Tendency]]*IF(Inhalation_Exp[[#This Row],[Exposure Scenario]]="8-hr",ED_8,IF(Inhalation_Exp[[#This Row],[Exposure Scenario]]="10-hr",ED_10,ED_12))*WorkBreathRate/(WorkRestRate*AT)</f>
        <v>0.33985144088310165</v>
      </c>
      <c r="M25" s="292">
        <f>IF(EFID&gt;Inhalation_Exp[[#This Row],[ED_High-End]],Inhalation_Exp[[#This Row],[24hr_High-End]]*Inhalation_Exp[[#This Row],[ED_High-End]]/ID,Inhalation_Exp[[#This Row],[24hr_High-End]]*EFID/ID)</f>
        <v>2.5618910658060088</v>
      </c>
      <c r="N25" s="292">
        <f>IF(EFID&gt;Inhalation_Exp[[#This Row],[ED_Central Tendency]],Inhalation_Exp[[#This Row],[24hr_Central Tendency]]*Inhalation_Exp[[#This Row],[ED_Central Tendency]]/ID,Inhalation_Exp[[#This Row],[24hr_Central Tendency]]*EFID/ID)</f>
        <v>0.24922438998094121</v>
      </c>
      <c r="O25" s="207">
        <f>Inhalation_Exp[[#This Row],[24hr_High-End]]*Inhalation_Exp[[#This Row],[ED_High-End]]*WY_high/(AT_ADC_high)</f>
        <v>2.392799874663146</v>
      </c>
      <c r="P25" s="207">
        <f>Inhalation_Exp[[#This Row],[24hr_Central Tendency]]*Inhalation_Exp[[#This Row],[ED_Central Tendency]]*WY_mid/(AT_ADC_mid)</f>
        <v>0.23277495950897373</v>
      </c>
      <c r="Q25" s="301">
        <v>11</v>
      </c>
      <c r="R25" s="300" t="s">
        <v>415</v>
      </c>
      <c r="S25" s="9" t="s">
        <v>423</v>
      </c>
      <c r="T25" s="302" t="s">
        <v>271</v>
      </c>
    </row>
    <row r="26" spans="2:20" ht="39" customHeight="1" x14ac:dyDescent="0.3">
      <c r="B26" s="305">
        <v>2</v>
      </c>
      <c r="C26" s="310" t="s">
        <v>244</v>
      </c>
      <c r="D26" s="308" t="s">
        <v>267</v>
      </c>
      <c r="E26" s="206" t="s">
        <v>73</v>
      </c>
      <c r="F26" s="300" t="s">
        <v>107</v>
      </c>
      <c r="G26" s="300">
        <v>250</v>
      </c>
      <c r="H26" s="300">
        <v>250</v>
      </c>
      <c r="I26" s="292">
        <v>0.15770674846625768</v>
      </c>
      <c r="J26" s="292">
        <v>0.15770674846625768</v>
      </c>
      <c r="K26" s="296">
        <f>Inhalation_Exp[[#This Row],[TWA_High-End]]*IF(Inhalation_Exp[[#This Row],[Exposure Scenario]]="8-hr",ED_8,IF(Inhalation_Exp[[#This Row],[Exposure Scenario]]="10-hr",ED_10,ED_12))*WorkBreathRate/(WorkRestRate*AT)</f>
        <v>0.10728350235799841</v>
      </c>
      <c r="L26" s="240">
        <f>Inhalation_Exp[[#This Row],[TWA_Central Tendency]]*IF(Inhalation_Exp[[#This Row],[Exposure Scenario]]="8-hr",ED_8,IF(Inhalation_Exp[[#This Row],[Exposure Scenario]]="10-hr",ED_10,ED_12))*WorkBreathRate/(WorkRestRate*AT)</f>
        <v>0.10728350235799841</v>
      </c>
      <c r="M26" s="292">
        <f>IF(EFID&gt;Inhalation_Exp[[#This Row],[ED_High-End]],Inhalation_Exp[[#This Row],[24hr_High-End]]*Inhalation_Exp[[#This Row],[ED_High-End]]/ID,Inhalation_Exp[[#This Row],[24hr_High-End]]*EFID/ID)</f>
        <v>7.8674568395865493E-2</v>
      </c>
      <c r="N26" s="292">
        <f>IF(EFID&gt;Inhalation_Exp[[#This Row],[ED_Central Tendency]],Inhalation_Exp[[#This Row],[24hr_Central Tendency]]*Inhalation_Exp[[#This Row],[ED_Central Tendency]]/ID,Inhalation_Exp[[#This Row],[24hr_Central Tendency]]*EFID/ID)</f>
        <v>7.8674568395865493E-2</v>
      </c>
      <c r="O26" s="207">
        <f>Inhalation_Exp[[#This Row],[24hr_High-End]]*Inhalation_Exp[[#This Row],[ED_High-End]]*WY_high/(AT_ADC_high)</f>
        <v>7.34818509301359E-2</v>
      </c>
      <c r="P26" s="207">
        <f>Inhalation_Exp[[#This Row],[24hr_Central Tendency]]*Inhalation_Exp[[#This Row],[ED_Central Tendency]]*WY_mid/(AT_ADC_mid)</f>
        <v>7.34818509301359E-2</v>
      </c>
      <c r="Q26" s="301">
        <v>1</v>
      </c>
      <c r="R26" s="300" t="s">
        <v>415</v>
      </c>
      <c r="S26" s="9" t="s">
        <v>423</v>
      </c>
      <c r="T26" s="302" t="s">
        <v>271</v>
      </c>
    </row>
    <row r="27" spans="2:20" ht="39" customHeight="1" x14ac:dyDescent="0.3">
      <c r="B27" s="305">
        <v>2</v>
      </c>
      <c r="C27" s="310" t="s">
        <v>244</v>
      </c>
      <c r="D27" s="308" t="s">
        <v>268</v>
      </c>
      <c r="E27" s="206" t="s">
        <v>73</v>
      </c>
      <c r="F27" s="300" t="s">
        <v>107</v>
      </c>
      <c r="G27" s="300">
        <v>250</v>
      </c>
      <c r="H27" s="300">
        <v>250</v>
      </c>
      <c r="I27" s="292">
        <v>8.0491603629856723</v>
      </c>
      <c r="J27" s="292">
        <v>0.51065141871165642</v>
      </c>
      <c r="K27" s="296">
        <f>Inhalation_Exp[[#This Row],[TWA_High-End]]*IF(Inhalation_Exp[[#This Row],[Exposure Scenario]]="8-hr",ED_8,IF(Inhalation_Exp[[#This Row],[Exposure Scenario]]="10-hr",ED_10,ED_12))*WorkBreathRate/(WorkRestRate*AT)</f>
        <v>5.4756192945480766</v>
      </c>
      <c r="L27" s="240">
        <f>Inhalation_Exp[[#This Row],[TWA_Central Tendency]]*IF(Inhalation_Exp[[#This Row],[Exposure Scenario]]="8-hr",ED_8,IF(Inhalation_Exp[[#This Row],[Exposure Scenario]]="10-hr",ED_10,ED_12))*WorkBreathRate/(WorkRestRate*AT)</f>
        <v>0.34738191749092273</v>
      </c>
      <c r="M27" s="292">
        <f>IF(EFID&gt;Inhalation_Exp[[#This Row],[ED_High-End]],Inhalation_Exp[[#This Row],[24hr_High-End]]*Inhalation_Exp[[#This Row],[ED_High-End]]/ID,Inhalation_Exp[[#This Row],[24hr_High-End]]*EFID/ID)</f>
        <v>4.0154541493352562</v>
      </c>
      <c r="N27" s="292">
        <f>IF(EFID&gt;Inhalation_Exp[[#This Row],[ED_Central Tendency]],Inhalation_Exp[[#This Row],[24hr_Central Tendency]]*Inhalation_Exp[[#This Row],[ED_Central Tendency]]/ID,Inhalation_Exp[[#This Row],[24hr_Central Tendency]]*EFID/ID)</f>
        <v>0.25474673949334331</v>
      </c>
      <c r="O27" s="207">
        <f>Inhalation_Exp[[#This Row],[24hr_High-End]]*Inhalation_Exp[[#This Row],[ED_High-End]]*WY_high/(AT_ADC_high)</f>
        <v>3.750424174347998</v>
      </c>
      <c r="P27" s="207">
        <f>Inhalation_Exp[[#This Row],[24hr_Central Tendency]]*Inhalation_Exp[[#This Row],[ED_Central Tendency]]*WY_mid/(AT_ADC_mid)</f>
        <v>0.23793282019926215</v>
      </c>
      <c r="Q27" s="301">
        <v>24</v>
      </c>
      <c r="R27" s="300" t="s">
        <v>415</v>
      </c>
      <c r="S27" s="9" t="s">
        <v>423</v>
      </c>
      <c r="T27" s="302" t="s">
        <v>271</v>
      </c>
    </row>
    <row r="28" spans="2:20" ht="39" customHeight="1" x14ac:dyDescent="0.3">
      <c r="B28" s="305">
        <v>2</v>
      </c>
      <c r="C28" s="310" t="s">
        <v>244</v>
      </c>
      <c r="D28" s="308" t="s">
        <v>268</v>
      </c>
      <c r="E28" s="206" t="s">
        <v>73</v>
      </c>
      <c r="F28" s="300" t="s">
        <v>270</v>
      </c>
      <c r="G28" s="300">
        <v>250</v>
      </c>
      <c r="H28" s="300">
        <v>250</v>
      </c>
      <c r="I28" s="292">
        <v>2.1351067484662578</v>
      </c>
      <c r="J28" s="292">
        <v>0.91227288343558299</v>
      </c>
      <c r="K28" s="296">
        <f>Inhalation_Exp[[#This Row],[TWA_High-End]]*IF(Inhalation_Exp[[#This Row],[Exposure Scenario]]="8-hr",ED_8,IF(Inhalation_Exp[[#This Row],[Exposure Scenario]]="10-hr",ED_10,ED_12))*WorkBreathRate/(WorkRestRate*AT)</f>
        <v>1.8155669629815117</v>
      </c>
      <c r="L28" s="240">
        <f>Inhalation_Exp[[#This Row],[TWA_Central Tendency]]*IF(Inhalation_Exp[[#This Row],[Exposure Scenario]]="8-hr",ED_8,IF(Inhalation_Exp[[#This Row],[Exposure Scenario]]="10-hr",ED_10,ED_12))*WorkBreathRate/(WorkRestRate*AT)</f>
        <v>0.77574224781937307</v>
      </c>
      <c r="M28" s="292">
        <f>IF(EFID&gt;Inhalation_Exp[[#This Row],[ED_High-End]],Inhalation_Exp[[#This Row],[24hr_High-End]]*Inhalation_Exp[[#This Row],[ED_High-End]]/ID,Inhalation_Exp[[#This Row],[24hr_High-End]]*EFID/ID)</f>
        <v>1.3314157728531086</v>
      </c>
      <c r="N28" s="292">
        <f>IF(EFID&gt;Inhalation_Exp[[#This Row],[ED_Central Tendency]],Inhalation_Exp[[#This Row],[24hr_Central Tendency]]*Inhalation_Exp[[#This Row],[ED_Central Tendency]]/ID,Inhalation_Exp[[#This Row],[24hr_Central Tendency]]*EFID/ID)</f>
        <v>0.56887764840087351</v>
      </c>
      <c r="O28" s="207">
        <f>Inhalation_Exp[[#This Row],[24hr_High-End]]*Inhalation_Exp[[#This Row],[ED_High-End]]*WY_high/(AT_ADC_high)</f>
        <v>1.2435390157407613</v>
      </c>
      <c r="P28" s="207">
        <f>Inhalation_Exp[[#This Row],[24hr_Central Tendency]]*Inhalation_Exp[[#This Row],[ED_Central Tendency]]*WY_mid/(AT_ADC_mid)</f>
        <v>0.531330306725598</v>
      </c>
      <c r="Q28" s="301">
        <v>5</v>
      </c>
      <c r="R28" s="300" t="s">
        <v>415</v>
      </c>
      <c r="S28" s="9" t="s">
        <v>423</v>
      </c>
      <c r="T28" s="302" t="s">
        <v>271</v>
      </c>
    </row>
    <row r="29" spans="2:20" ht="39" customHeight="1" x14ac:dyDescent="0.3">
      <c r="B29" s="305">
        <v>2</v>
      </c>
      <c r="C29" s="310" t="s">
        <v>244</v>
      </c>
      <c r="D29" s="308" t="s">
        <v>268</v>
      </c>
      <c r="E29" s="206" t="s">
        <v>73</v>
      </c>
      <c r="F29" s="300" t="s">
        <v>269</v>
      </c>
      <c r="G29" s="300">
        <v>250</v>
      </c>
      <c r="H29" s="300">
        <v>250</v>
      </c>
      <c r="I29" s="292">
        <v>1.8801003278800263</v>
      </c>
      <c r="J29" s="292">
        <v>0.18459777096114521</v>
      </c>
      <c r="K29" s="296">
        <f>Inhalation_Exp[[#This Row],[TWA_High-End]]*IF(Inhalation_Exp[[#This Row],[Exposure Scenario]]="8-hr",ED_8,IF(Inhalation_Exp[[#This Row],[Exposure Scenario]]="10-hr",ED_10,ED_12))*WorkBreathRate/(WorkRestRate*AT)</f>
        <v>1.9184697223265577</v>
      </c>
      <c r="L29" s="240">
        <f>Inhalation_Exp[[#This Row],[TWA_Central Tendency]]*IF(Inhalation_Exp[[#This Row],[Exposure Scenario]]="8-hr",ED_8,IF(Inhalation_Exp[[#This Row],[Exposure Scenario]]="10-hr",ED_10,ED_12))*WorkBreathRate/(WorkRestRate*AT)</f>
        <v>0.18836507240933181</v>
      </c>
      <c r="M29" s="292">
        <f>IF(EFID&gt;Inhalation_Exp[[#This Row],[ED_High-End]],Inhalation_Exp[[#This Row],[24hr_High-End]]*Inhalation_Exp[[#This Row],[ED_High-End]]/ID,Inhalation_Exp[[#This Row],[24hr_High-End]]*EFID/ID)</f>
        <v>1.406877796372809</v>
      </c>
      <c r="N29" s="292">
        <f>IF(EFID&gt;Inhalation_Exp[[#This Row],[ED_Central Tendency]],Inhalation_Exp[[#This Row],[24hr_Central Tendency]]*Inhalation_Exp[[#This Row],[ED_Central Tendency]]/ID,Inhalation_Exp[[#This Row],[24hr_Central Tendency]]*EFID/ID)</f>
        <v>0.13813438643351</v>
      </c>
      <c r="O29" s="207">
        <f>Inhalation_Exp[[#This Row],[24hr_High-End]]*Inhalation_Exp[[#This Row],[ED_High-End]]*WY_high/(AT_ADC_high)</f>
        <v>1.3140203577579164</v>
      </c>
      <c r="P29" s="207">
        <f>Inhalation_Exp[[#This Row],[24hr_Central Tendency]]*Inhalation_Exp[[#This Row],[ED_Central Tendency]]*WY_mid/(AT_ADC_mid)</f>
        <v>0.12901717288310396</v>
      </c>
      <c r="Q29" s="301">
        <v>8</v>
      </c>
      <c r="R29" s="300" t="s">
        <v>415</v>
      </c>
      <c r="S29" s="9" t="s">
        <v>423</v>
      </c>
      <c r="T29" s="302" t="s">
        <v>271</v>
      </c>
    </row>
    <row r="30" spans="2:20" ht="39" customHeight="1" x14ac:dyDescent="0.3">
      <c r="B30" s="305">
        <v>3</v>
      </c>
      <c r="C30" s="310" t="s">
        <v>246</v>
      </c>
      <c r="D30" s="308" t="s">
        <v>263</v>
      </c>
      <c r="E30" s="206" t="s">
        <v>54</v>
      </c>
      <c r="F30" s="300" t="s">
        <v>107</v>
      </c>
      <c r="G30" s="300">
        <v>250</v>
      </c>
      <c r="H30" s="300">
        <v>250</v>
      </c>
      <c r="I30" s="292">
        <v>0.30328220858895705</v>
      </c>
      <c r="J30" s="292">
        <v>0.30328220858895705</v>
      </c>
      <c r="K30" s="296">
        <f>Inhalation_Exp[[#This Row],[TWA_High-End]]*IF(Inhalation_Exp[[#This Row],[Exposure Scenario]]="8-hr",ED_8,IF(Inhalation_Exp[[#This Row],[Exposure Scenario]]="10-hr",ED_10,ED_12))*WorkBreathRate/(WorkRestRate*AT)</f>
        <v>0.2063144276115354</v>
      </c>
      <c r="L30" s="240">
        <f>Inhalation_Exp[[#This Row],[TWA_Central Tendency]]*IF(Inhalation_Exp[[#This Row],[Exposure Scenario]]="8-hr",ED_8,IF(Inhalation_Exp[[#This Row],[Exposure Scenario]]="10-hr",ED_10,ED_12))*WorkBreathRate/(WorkRestRate*AT)</f>
        <v>0.2063144276115354</v>
      </c>
      <c r="M30" s="207">
        <f>IF(EFID&gt;Inhalation_Exp[[#This Row],[ED_High-End]],Inhalation_Exp[[#This Row],[24hr_High-End]]*Inhalation_Exp[[#This Row],[ED_High-End]]/ID,Inhalation_Exp[[#This Row],[24hr_High-End]]*EFID/ID)</f>
        <v>0.15129724691512597</v>
      </c>
      <c r="N30" s="217">
        <f>IF(EFID&gt;Inhalation_Exp[[#This Row],[ED_Central Tendency]],Inhalation_Exp[[#This Row],[24hr_Central Tendency]]*Inhalation_Exp[[#This Row],[ED_Central Tendency]]/ID,Inhalation_Exp[[#This Row],[24hr_Central Tendency]]*EFID/ID)</f>
        <v>0.15129724691512597</v>
      </c>
      <c r="O30" s="207">
        <f>Inhalation_Exp[[#This Row],[24hr_High-End]]*Inhalation_Exp[[#This Row],[ED_High-End]]*WY_high/(AT_ADC_high)</f>
        <v>0.14131125178872286</v>
      </c>
      <c r="P30" s="217">
        <f>Inhalation_Exp[[#This Row],[24hr_Central Tendency]]*Inhalation_Exp[[#This Row],[ED_Central Tendency]]*WY_mid/(AT_ADC_mid)</f>
        <v>0.14131125178872286</v>
      </c>
      <c r="Q30" s="301">
        <v>1</v>
      </c>
      <c r="R30" s="300" t="s">
        <v>415</v>
      </c>
      <c r="S30" s="9" t="s">
        <v>423</v>
      </c>
      <c r="T30" s="302" t="s">
        <v>271</v>
      </c>
    </row>
    <row r="31" spans="2:20" ht="39" customHeight="1" x14ac:dyDescent="0.3">
      <c r="B31" s="305">
        <v>3</v>
      </c>
      <c r="C31" s="310" t="s">
        <v>246</v>
      </c>
      <c r="D31" s="308" t="s">
        <v>264</v>
      </c>
      <c r="E31" s="206" t="s">
        <v>73</v>
      </c>
      <c r="F31" s="300" t="s">
        <v>107</v>
      </c>
      <c r="G31" s="300">
        <v>250</v>
      </c>
      <c r="H31" s="300">
        <v>250</v>
      </c>
      <c r="I31" s="292">
        <v>9.705030674846622</v>
      </c>
      <c r="J31" s="292">
        <v>2.9115092024539879</v>
      </c>
      <c r="K31" s="296">
        <f>Inhalation_Exp[[#This Row],[TWA_High-End]]*IF(Inhalation_Exp[[#This Row],[Exposure Scenario]]="8-hr",ED_8,IF(Inhalation_Exp[[#This Row],[Exposure Scenario]]="10-hr",ED_10,ED_12))*WorkBreathRate/(WorkRestRate*AT)</f>
        <v>6.602061683569131</v>
      </c>
      <c r="L31" s="240">
        <f>Inhalation_Exp[[#This Row],[TWA_Central Tendency]]*IF(Inhalation_Exp[[#This Row],[Exposure Scenario]]="8-hr",ED_8,IF(Inhalation_Exp[[#This Row],[Exposure Scenario]]="10-hr",ED_10,ED_12))*WorkBreathRate/(WorkRestRate*AT)</f>
        <v>1.9806185050707401</v>
      </c>
      <c r="M31" s="207">
        <f>IF(EFID&gt;Inhalation_Exp[[#This Row],[ED_High-End]],Inhalation_Exp[[#This Row],[24hr_High-End]]*Inhalation_Exp[[#This Row],[ED_High-End]]/ID,Inhalation_Exp[[#This Row],[24hr_High-End]]*EFID/ID)</f>
        <v>4.8415119012840302</v>
      </c>
      <c r="N31" s="217">
        <f>IF(EFID&gt;Inhalation_Exp[[#This Row],[ED_Central Tendency]],Inhalation_Exp[[#This Row],[24hr_Central Tendency]]*Inhalation_Exp[[#This Row],[ED_Central Tendency]]/ID,Inhalation_Exp[[#This Row],[24hr_Central Tendency]]*EFID/ID)</f>
        <v>1.4524535703852095</v>
      </c>
      <c r="O31" s="207">
        <f>Inhalation_Exp[[#This Row],[24hr_High-End]]*Inhalation_Exp[[#This Row],[ED_High-End]]*WY_high/(AT_ADC_high)</f>
        <v>4.5219600572391307</v>
      </c>
      <c r="P31" s="217">
        <f>Inhalation_Exp[[#This Row],[24hr_Central Tendency]]*Inhalation_Exp[[#This Row],[ED_Central Tendency]]*WY_mid/(AT_ADC_mid)</f>
        <v>1.3565880171717397</v>
      </c>
      <c r="Q31" s="301">
        <v>17</v>
      </c>
      <c r="R31" s="300" t="s">
        <v>415</v>
      </c>
      <c r="S31" s="9" t="s">
        <v>423</v>
      </c>
      <c r="T31" s="302" t="s">
        <v>271</v>
      </c>
    </row>
    <row r="32" spans="2:20" ht="39" customHeight="1" x14ac:dyDescent="0.3">
      <c r="B32" s="305">
        <v>3</v>
      </c>
      <c r="C32" s="310" t="s">
        <v>246</v>
      </c>
      <c r="D32" s="308" t="s">
        <v>265</v>
      </c>
      <c r="E32" s="206" t="s">
        <v>73</v>
      </c>
      <c r="F32" s="300" t="s">
        <v>107</v>
      </c>
      <c r="G32" s="300">
        <v>250</v>
      </c>
      <c r="H32" s="300">
        <v>250</v>
      </c>
      <c r="I32" s="292">
        <v>46.705460122699385</v>
      </c>
      <c r="J32" s="292">
        <v>0.24262576687116569</v>
      </c>
      <c r="K32" s="296">
        <f>Inhalation_Exp[[#This Row],[TWA_High-End]]*IF(Inhalation_Exp[[#This Row],[Exposure Scenario]]="8-hr",ED_8,IF(Inhalation_Exp[[#This Row],[Exposure Scenario]]="10-hr",ED_10,ED_12))*WorkBreathRate/(WorkRestRate*AT)</f>
        <v>31.77242185217645</v>
      </c>
      <c r="L32" s="240">
        <f>Inhalation_Exp[[#This Row],[TWA_Central Tendency]]*IF(Inhalation_Exp[[#This Row],[Exposure Scenario]]="8-hr",ED_8,IF(Inhalation_Exp[[#This Row],[Exposure Scenario]]="10-hr",ED_10,ED_12))*WorkBreathRate/(WorkRestRate*AT)</f>
        <v>0.16505154208922834</v>
      </c>
      <c r="M32" s="207">
        <f>IF(EFID&gt;Inhalation_Exp[[#This Row],[ED_High-End]],Inhalation_Exp[[#This Row],[24hr_High-End]]*Inhalation_Exp[[#This Row],[ED_High-End]]/ID,Inhalation_Exp[[#This Row],[24hr_High-End]]*EFID/ID)</f>
        <v>23.299776024929397</v>
      </c>
      <c r="N32" s="217">
        <f>IF(EFID&gt;Inhalation_Exp[[#This Row],[ED_Central Tendency]],Inhalation_Exp[[#This Row],[24hr_Central Tendency]]*Inhalation_Exp[[#This Row],[ED_Central Tendency]]/ID,Inhalation_Exp[[#This Row],[24hr_Central Tendency]]*EFID/ID)</f>
        <v>0.1210377975321008</v>
      </c>
      <c r="O32" s="207">
        <f>Inhalation_Exp[[#This Row],[24hr_High-End]]*Inhalation_Exp[[#This Row],[ED_High-End]]*WY_high/(AT_ADC_high)</f>
        <v>21.761932775463322</v>
      </c>
      <c r="P32" s="217">
        <f>Inhalation_Exp[[#This Row],[24hr_Central Tendency]]*Inhalation_Exp[[#This Row],[ED_Central Tendency]]*WY_mid/(AT_ADC_mid)</f>
        <v>0.11304900143097833</v>
      </c>
      <c r="Q32" s="301">
        <v>3</v>
      </c>
      <c r="R32" s="300" t="s">
        <v>415</v>
      </c>
      <c r="S32" s="9" t="s">
        <v>423</v>
      </c>
      <c r="T32" s="302" t="s">
        <v>272</v>
      </c>
    </row>
    <row r="33" spans="2:20" ht="39" customHeight="1" x14ac:dyDescent="0.3">
      <c r="B33" s="305">
        <v>3</v>
      </c>
      <c r="C33" s="310" t="s">
        <v>246</v>
      </c>
      <c r="D33" s="308" t="s">
        <v>266</v>
      </c>
      <c r="E33" s="206" t="s">
        <v>73</v>
      </c>
      <c r="F33" s="300" t="s">
        <v>269</v>
      </c>
      <c r="G33" s="300">
        <v>250</v>
      </c>
      <c r="H33" s="300">
        <v>250</v>
      </c>
      <c r="I33" s="292">
        <v>3.42361806066803</v>
      </c>
      <c r="J33" s="292">
        <v>0.33305441206543968</v>
      </c>
      <c r="K33" s="296">
        <f>Inhalation_Exp[[#This Row],[TWA_High-End]]*IF(Inhalation_Exp[[#This Row],[Exposure Scenario]]="8-hr",ED_8,IF(Inhalation_Exp[[#This Row],[Exposure Scenario]]="10-hr",ED_10,ED_12))*WorkBreathRate/(WorkRestRate*AT)</f>
        <v>3.4934878170081936</v>
      </c>
      <c r="L33" s="240">
        <f>Inhalation_Exp[[#This Row],[TWA_Central Tendency]]*IF(Inhalation_Exp[[#This Row],[Exposure Scenario]]="8-hr",ED_8,IF(Inhalation_Exp[[#This Row],[Exposure Scenario]]="10-hr",ED_10,ED_12))*WorkBreathRate/(WorkRestRate*AT)</f>
        <v>0.33985144088310165</v>
      </c>
      <c r="M33" s="207">
        <f>IF(EFID&gt;Inhalation_Exp[[#This Row],[ED_High-End]],Inhalation_Exp[[#This Row],[24hr_High-End]]*Inhalation_Exp[[#This Row],[ED_High-End]]/ID,Inhalation_Exp[[#This Row],[24hr_High-End]]*EFID/ID)</f>
        <v>2.5618910658060088</v>
      </c>
      <c r="N33" s="217">
        <f>IF(EFID&gt;Inhalation_Exp[[#This Row],[ED_Central Tendency]],Inhalation_Exp[[#This Row],[24hr_Central Tendency]]*Inhalation_Exp[[#This Row],[ED_Central Tendency]]/ID,Inhalation_Exp[[#This Row],[24hr_Central Tendency]]*EFID/ID)</f>
        <v>0.24922438998094121</v>
      </c>
      <c r="O33" s="207">
        <f>Inhalation_Exp[[#This Row],[24hr_High-End]]*Inhalation_Exp[[#This Row],[ED_High-End]]*WY_high/(AT_ADC_high)</f>
        <v>2.392799874663146</v>
      </c>
      <c r="P33" s="217">
        <f>Inhalation_Exp[[#This Row],[24hr_Central Tendency]]*Inhalation_Exp[[#This Row],[ED_Central Tendency]]*WY_mid/(AT_ADC_mid)</f>
        <v>0.23277495950897373</v>
      </c>
      <c r="Q33" s="301">
        <v>11</v>
      </c>
      <c r="R33" s="300" t="s">
        <v>415</v>
      </c>
      <c r="S33" s="9" t="s">
        <v>423</v>
      </c>
      <c r="T33" s="302" t="s">
        <v>271</v>
      </c>
    </row>
    <row r="34" spans="2:20" ht="39" customHeight="1" x14ac:dyDescent="0.3">
      <c r="B34" s="305">
        <v>3</v>
      </c>
      <c r="C34" s="310" t="s">
        <v>246</v>
      </c>
      <c r="D34" s="308" t="s">
        <v>267</v>
      </c>
      <c r="E34" s="206" t="s">
        <v>73</v>
      </c>
      <c r="F34" s="300" t="s">
        <v>107</v>
      </c>
      <c r="G34" s="300">
        <v>250</v>
      </c>
      <c r="H34" s="300">
        <v>250</v>
      </c>
      <c r="I34" s="292">
        <v>0.15770674846625768</v>
      </c>
      <c r="J34" s="292">
        <v>0.15770674846625768</v>
      </c>
      <c r="K34" s="296">
        <f>Inhalation_Exp[[#This Row],[TWA_High-End]]*IF(Inhalation_Exp[[#This Row],[Exposure Scenario]]="8-hr",ED_8,IF(Inhalation_Exp[[#This Row],[Exposure Scenario]]="10-hr",ED_10,ED_12))*WorkBreathRate/(WorkRestRate*AT)</f>
        <v>0.10728350235799841</v>
      </c>
      <c r="L34" s="240">
        <f>Inhalation_Exp[[#This Row],[TWA_Central Tendency]]*IF(Inhalation_Exp[[#This Row],[Exposure Scenario]]="8-hr",ED_8,IF(Inhalation_Exp[[#This Row],[Exposure Scenario]]="10-hr",ED_10,ED_12))*WorkBreathRate/(WorkRestRate*AT)</f>
        <v>0.10728350235799841</v>
      </c>
      <c r="M34" s="207">
        <f>IF(EFID&gt;Inhalation_Exp[[#This Row],[ED_High-End]],Inhalation_Exp[[#This Row],[24hr_High-End]]*Inhalation_Exp[[#This Row],[ED_High-End]]/ID,Inhalation_Exp[[#This Row],[24hr_High-End]]*EFID/ID)</f>
        <v>7.8674568395865493E-2</v>
      </c>
      <c r="N34" s="217">
        <f>IF(EFID&gt;Inhalation_Exp[[#This Row],[ED_Central Tendency]],Inhalation_Exp[[#This Row],[24hr_Central Tendency]]*Inhalation_Exp[[#This Row],[ED_Central Tendency]]/ID,Inhalation_Exp[[#This Row],[24hr_Central Tendency]]*EFID/ID)</f>
        <v>7.8674568395865493E-2</v>
      </c>
      <c r="O34" s="207">
        <f>Inhalation_Exp[[#This Row],[24hr_High-End]]*Inhalation_Exp[[#This Row],[ED_High-End]]*WY_high/(AT_ADC_high)</f>
        <v>7.34818509301359E-2</v>
      </c>
      <c r="P34" s="217">
        <f>Inhalation_Exp[[#This Row],[24hr_Central Tendency]]*Inhalation_Exp[[#This Row],[ED_Central Tendency]]*WY_mid/(AT_ADC_mid)</f>
        <v>7.34818509301359E-2</v>
      </c>
      <c r="Q34" s="301">
        <v>1</v>
      </c>
      <c r="R34" s="300" t="s">
        <v>415</v>
      </c>
      <c r="S34" s="9" t="s">
        <v>423</v>
      </c>
      <c r="T34" s="302" t="s">
        <v>271</v>
      </c>
    </row>
    <row r="35" spans="2:20" ht="39" customHeight="1" x14ac:dyDescent="0.3">
      <c r="B35" s="305">
        <v>3</v>
      </c>
      <c r="C35" s="310" t="s">
        <v>246</v>
      </c>
      <c r="D35" s="308" t="s">
        <v>268</v>
      </c>
      <c r="E35" s="206" t="s">
        <v>73</v>
      </c>
      <c r="F35" s="300" t="s">
        <v>107</v>
      </c>
      <c r="G35" s="300">
        <v>250</v>
      </c>
      <c r="H35" s="300">
        <v>250</v>
      </c>
      <c r="I35" s="292">
        <v>8.0491603629856723</v>
      </c>
      <c r="J35" s="292">
        <v>0.51065141871165642</v>
      </c>
      <c r="K35" s="296">
        <f>Inhalation_Exp[[#This Row],[TWA_High-End]]*IF(Inhalation_Exp[[#This Row],[Exposure Scenario]]="8-hr",ED_8,IF(Inhalation_Exp[[#This Row],[Exposure Scenario]]="10-hr",ED_10,ED_12))*WorkBreathRate/(WorkRestRate*AT)</f>
        <v>5.4756192945480766</v>
      </c>
      <c r="L35" s="240">
        <f>Inhalation_Exp[[#This Row],[TWA_Central Tendency]]*IF(Inhalation_Exp[[#This Row],[Exposure Scenario]]="8-hr",ED_8,IF(Inhalation_Exp[[#This Row],[Exposure Scenario]]="10-hr",ED_10,ED_12))*WorkBreathRate/(WorkRestRate*AT)</f>
        <v>0.34738191749092273</v>
      </c>
      <c r="M35" s="207">
        <f>IF(EFID&gt;Inhalation_Exp[[#This Row],[ED_High-End]],Inhalation_Exp[[#This Row],[24hr_High-End]]*Inhalation_Exp[[#This Row],[ED_High-End]]/ID,Inhalation_Exp[[#This Row],[24hr_High-End]]*EFID/ID)</f>
        <v>4.0154541493352562</v>
      </c>
      <c r="N35" s="217">
        <f>IF(EFID&gt;Inhalation_Exp[[#This Row],[ED_Central Tendency]],Inhalation_Exp[[#This Row],[24hr_Central Tendency]]*Inhalation_Exp[[#This Row],[ED_Central Tendency]]/ID,Inhalation_Exp[[#This Row],[24hr_Central Tendency]]*EFID/ID)</f>
        <v>0.25474673949334331</v>
      </c>
      <c r="O35" s="207">
        <f>Inhalation_Exp[[#This Row],[24hr_High-End]]*Inhalation_Exp[[#This Row],[ED_High-End]]*WY_high/(AT_ADC_high)</f>
        <v>3.750424174347998</v>
      </c>
      <c r="P35" s="217">
        <f>Inhalation_Exp[[#This Row],[24hr_Central Tendency]]*Inhalation_Exp[[#This Row],[ED_Central Tendency]]*WY_mid/(AT_ADC_mid)</f>
        <v>0.23793282019926215</v>
      </c>
      <c r="Q35" s="301">
        <v>24</v>
      </c>
      <c r="R35" s="300" t="s">
        <v>415</v>
      </c>
      <c r="S35" s="9" t="s">
        <v>423</v>
      </c>
      <c r="T35" s="302" t="s">
        <v>271</v>
      </c>
    </row>
    <row r="36" spans="2:20" ht="39" customHeight="1" x14ac:dyDescent="0.3">
      <c r="B36" s="305">
        <v>3</v>
      </c>
      <c r="C36" s="310" t="s">
        <v>246</v>
      </c>
      <c r="D36" s="308" t="s">
        <v>268</v>
      </c>
      <c r="E36" s="206" t="s">
        <v>73</v>
      </c>
      <c r="F36" s="300" t="s">
        <v>270</v>
      </c>
      <c r="G36" s="300">
        <v>250</v>
      </c>
      <c r="H36" s="300">
        <v>250</v>
      </c>
      <c r="I36" s="292">
        <v>2.1351067484662578</v>
      </c>
      <c r="J36" s="292">
        <v>0.91227288343558299</v>
      </c>
      <c r="K36" s="296">
        <f>Inhalation_Exp[[#This Row],[TWA_High-End]]*IF(Inhalation_Exp[[#This Row],[Exposure Scenario]]="8-hr",ED_8,IF(Inhalation_Exp[[#This Row],[Exposure Scenario]]="10-hr",ED_10,ED_12))*WorkBreathRate/(WorkRestRate*AT)</f>
        <v>1.8155669629815117</v>
      </c>
      <c r="L36" s="240">
        <f>Inhalation_Exp[[#This Row],[TWA_Central Tendency]]*IF(Inhalation_Exp[[#This Row],[Exposure Scenario]]="8-hr",ED_8,IF(Inhalation_Exp[[#This Row],[Exposure Scenario]]="10-hr",ED_10,ED_12))*WorkBreathRate/(WorkRestRate*AT)</f>
        <v>0.77574224781937307</v>
      </c>
      <c r="M36" s="207">
        <f>IF(EFID&gt;Inhalation_Exp[[#This Row],[ED_High-End]],Inhalation_Exp[[#This Row],[24hr_High-End]]*Inhalation_Exp[[#This Row],[ED_High-End]]/ID,Inhalation_Exp[[#This Row],[24hr_High-End]]*EFID/ID)</f>
        <v>1.3314157728531086</v>
      </c>
      <c r="N36" s="217">
        <f>IF(EFID&gt;Inhalation_Exp[[#This Row],[ED_Central Tendency]],Inhalation_Exp[[#This Row],[24hr_Central Tendency]]*Inhalation_Exp[[#This Row],[ED_Central Tendency]]/ID,Inhalation_Exp[[#This Row],[24hr_Central Tendency]]*EFID/ID)</f>
        <v>0.56887764840087351</v>
      </c>
      <c r="O36" s="207">
        <f>Inhalation_Exp[[#This Row],[24hr_High-End]]*Inhalation_Exp[[#This Row],[ED_High-End]]*WY_high/(AT_ADC_high)</f>
        <v>1.2435390157407613</v>
      </c>
      <c r="P36" s="217">
        <f>Inhalation_Exp[[#This Row],[24hr_Central Tendency]]*Inhalation_Exp[[#This Row],[ED_Central Tendency]]*WY_mid/(AT_ADC_mid)</f>
        <v>0.531330306725598</v>
      </c>
      <c r="Q36" s="301">
        <v>5</v>
      </c>
      <c r="R36" s="300" t="s">
        <v>415</v>
      </c>
      <c r="S36" s="9" t="s">
        <v>423</v>
      </c>
      <c r="T36" s="302" t="s">
        <v>271</v>
      </c>
    </row>
    <row r="37" spans="2:20" ht="39" customHeight="1" x14ac:dyDescent="0.3">
      <c r="B37" s="305">
        <v>3</v>
      </c>
      <c r="C37" s="310" t="s">
        <v>246</v>
      </c>
      <c r="D37" s="308" t="s">
        <v>268</v>
      </c>
      <c r="E37" s="206" t="s">
        <v>73</v>
      </c>
      <c r="F37" s="300" t="s">
        <v>269</v>
      </c>
      <c r="G37" s="300">
        <v>250</v>
      </c>
      <c r="H37" s="300">
        <v>250</v>
      </c>
      <c r="I37" s="292">
        <v>1.8801003278800263</v>
      </c>
      <c r="J37" s="292">
        <v>0.18459777096114521</v>
      </c>
      <c r="K37" s="296">
        <f>Inhalation_Exp[[#This Row],[TWA_High-End]]*IF(Inhalation_Exp[[#This Row],[Exposure Scenario]]="8-hr",ED_8,IF(Inhalation_Exp[[#This Row],[Exposure Scenario]]="10-hr",ED_10,ED_12))*WorkBreathRate/(WorkRestRate*AT)</f>
        <v>1.9184697223265577</v>
      </c>
      <c r="L37" s="240">
        <f>Inhalation_Exp[[#This Row],[TWA_Central Tendency]]*IF(Inhalation_Exp[[#This Row],[Exposure Scenario]]="8-hr",ED_8,IF(Inhalation_Exp[[#This Row],[Exposure Scenario]]="10-hr",ED_10,ED_12))*WorkBreathRate/(WorkRestRate*AT)</f>
        <v>0.18836507240933181</v>
      </c>
      <c r="M37" s="207">
        <f>IF(EFID&gt;Inhalation_Exp[[#This Row],[ED_High-End]],Inhalation_Exp[[#This Row],[24hr_High-End]]*Inhalation_Exp[[#This Row],[ED_High-End]]/ID,Inhalation_Exp[[#This Row],[24hr_High-End]]*EFID/ID)</f>
        <v>1.406877796372809</v>
      </c>
      <c r="N37" s="217">
        <f>IF(EFID&gt;Inhalation_Exp[[#This Row],[ED_Central Tendency]],Inhalation_Exp[[#This Row],[24hr_Central Tendency]]*Inhalation_Exp[[#This Row],[ED_Central Tendency]]/ID,Inhalation_Exp[[#This Row],[24hr_Central Tendency]]*EFID/ID)</f>
        <v>0.13813438643351</v>
      </c>
      <c r="O37" s="207">
        <f>Inhalation_Exp[[#This Row],[24hr_High-End]]*Inhalation_Exp[[#This Row],[ED_High-End]]*WY_high/(AT_ADC_high)</f>
        <v>1.3140203577579164</v>
      </c>
      <c r="P37" s="217">
        <f>Inhalation_Exp[[#This Row],[24hr_Central Tendency]]*Inhalation_Exp[[#This Row],[ED_Central Tendency]]*WY_mid/(AT_ADC_mid)</f>
        <v>0.12901717288310396</v>
      </c>
      <c r="Q37" s="301">
        <v>8</v>
      </c>
      <c r="R37" s="300" t="s">
        <v>415</v>
      </c>
      <c r="S37" s="9" t="s">
        <v>423</v>
      </c>
      <c r="T37" s="302" t="s">
        <v>271</v>
      </c>
    </row>
    <row r="38" spans="2:20" ht="26" x14ac:dyDescent="0.3">
      <c r="B38" s="305">
        <v>3</v>
      </c>
      <c r="C38" s="310" t="s">
        <v>277</v>
      </c>
      <c r="D38" s="308" t="s">
        <v>73</v>
      </c>
      <c r="E38" s="206" t="s">
        <v>73</v>
      </c>
      <c r="F38" s="300" t="s">
        <v>107</v>
      </c>
      <c r="G38" s="300">
        <v>1</v>
      </c>
      <c r="H38" s="300">
        <v>1</v>
      </c>
      <c r="I38" s="292">
        <v>11.051249999999975</v>
      </c>
      <c r="J38" s="292">
        <v>0.59265000000000001</v>
      </c>
      <c r="K38" s="296">
        <f>Inhalation_Exp[[#This Row],[TWA_High-End]]*IF(Inhalation_Exp[[#This Row],[Exposure Scenario]]="8-hr",ED_8,IF(Inhalation_Exp[[#This Row],[Exposure Scenario]]="10-hr",ED_10,ED_12))*WorkBreathRate/(WorkRestRate*AT)</f>
        <v>7.5178571428571255</v>
      </c>
      <c r="L38" s="240">
        <f>Inhalation_Exp[[#This Row],[TWA_Central Tendency]]*IF(Inhalation_Exp[[#This Row],[Exposure Scenario]]="8-hr",ED_8,IF(Inhalation_Exp[[#This Row],[Exposure Scenario]]="10-hr",ED_10,ED_12))*WorkBreathRate/(WorkRestRate*AT)</f>
        <v>0.4031632653061224</v>
      </c>
      <c r="M38" s="207">
        <f>IF(EFID&gt;Inhalation_Exp[[#This Row],[ED_High-End]],Inhalation_Exp[[#This Row],[24hr_High-End]]*Inhalation_Exp[[#This Row],[ED_High-End]]/ID,Inhalation_Exp[[#This Row],[24hr_High-End]]*EFID/ID)</f>
        <v>0.25059523809523754</v>
      </c>
      <c r="N38" s="217">
        <f>IF(EFID&gt;Inhalation_Exp[[#This Row],[ED_Central Tendency]],Inhalation_Exp[[#This Row],[24hr_Central Tendency]]*Inhalation_Exp[[#This Row],[ED_Central Tendency]]/ID,Inhalation_Exp[[#This Row],[24hr_Central Tendency]]*EFID/ID)</f>
        <v>1.343877551020408E-2</v>
      </c>
      <c r="O38" s="207">
        <f>Inhalation_Exp[[#This Row],[24hr_High-End]]*Inhalation_Exp[[#This Row],[ED_High-End]]*WY_high/(AT_ADC_high)</f>
        <v>2.059686888454007E-2</v>
      </c>
      <c r="P38" s="217">
        <f>Inhalation_Exp[[#This Row],[24hr_Central Tendency]]*Inhalation_Exp[[#This Row],[ED_Central Tendency]]*WY_mid/(AT_ADC_mid)</f>
        <v>1.1045568912496503E-3</v>
      </c>
      <c r="Q38" s="301">
        <v>0</v>
      </c>
      <c r="R38" s="300" t="s">
        <v>416</v>
      </c>
      <c r="S38" s="9" t="s">
        <v>280</v>
      </c>
      <c r="T38" s="302" t="s">
        <v>122</v>
      </c>
    </row>
    <row r="39" spans="2:20" ht="26" x14ac:dyDescent="0.3">
      <c r="B39" s="305">
        <v>3</v>
      </c>
      <c r="C39" s="310" t="s">
        <v>277</v>
      </c>
      <c r="D39" s="308" t="s">
        <v>54</v>
      </c>
      <c r="E39" s="206" t="s">
        <v>54</v>
      </c>
      <c r="F39" s="300" t="s">
        <v>107</v>
      </c>
      <c r="G39" s="300">
        <v>1</v>
      </c>
      <c r="H39" s="300">
        <v>1</v>
      </c>
      <c r="I39" s="292">
        <v>0.59265000000000001</v>
      </c>
      <c r="J39" s="292">
        <v>0.59265000000000001</v>
      </c>
      <c r="K39" s="296">
        <f>Inhalation_Exp[[#This Row],[TWA_High-End]]*IF(Inhalation_Exp[[#This Row],[Exposure Scenario]]="8-hr",ED_8,IF(Inhalation_Exp[[#This Row],[Exposure Scenario]]="10-hr",ED_10,ED_12))*WorkBreathRate/(WorkRestRate*AT)</f>
        <v>0.4031632653061224</v>
      </c>
      <c r="L39" s="240">
        <f>Inhalation_Exp[[#This Row],[TWA_Central Tendency]]*IF(Inhalation_Exp[[#This Row],[Exposure Scenario]]="8-hr",ED_8,IF(Inhalation_Exp[[#This Row],[Exposure Scenario]]="10-hr",ED_10,ED_12))*WorkBreathRate/(WorkRestRate*AT)</f>
        <v>0.4031632653061224</v>
      </c>
      <c r="M39" s="207">
        <f>IF(EFID&gt;Inhalation_Exp[[#This Row],[ED_High-End]],Inhalation_Exp[[#This Row],[24hr_High-End]]*Inhalation_Exp[[#This Row],[ED_High-End]]/ID,Inhalation_Exp[[#This Row],[24hr_High-End]]*EFID/ID)</f>
        <v>1.343877551020408E-2</v>
      </c>
      <c r="N39" s="217">
        <f>IF(EFID&gt;Inhalation_Exp[[#This Row],[ED_Central Tendency]],Inhalation_Exp[[#This Row],[24hr_Central Tendency]]*Inhalation_Exp[[#This Row],[ED_Central Tendency]]/ID,Inhalation_Exp[[#This Row],[24hr_Central Tendency]]*EFID/ID)</f>
        <v>1.343877551020408E-2</v>
      </c>
      <c r="O39" s="207">
        <f>Inhalation_Exp[[#This Row],[24hr_High-End]]*Inhalation_Exp[[#This Row],[ED_High-End]]*WY_high/(AT_ADC_high)</f>
        <v>1.1045568912496503E-3</v>
      </c>
      <c r="P39" s="217">
        <f>Inhalation_Exp[[#This Row],[24hr_Central Tendency]]*Inhalation_Exp[[#This Row],[ED_Central Tendency]]*WY_mid/(AT_ADC_mid)</f>
        <v>1.1045568912496503E-3</v>
      </c>
      <c r="Q39" s="301">
        <v>0</v>
      </c>
      <c r="R39" s="300" t="s">
        <v>416</v>
      </c>
      <c r="S39" s="9" t="s">
        <v>280</v>
      </c>
      <c r="T39" s="302" t="s">
        <v>122</v>
      </c>
    </row>
    <row r="40" spans="2:20" ht="26" x14ac:dyDescent="0.3">
      <c r="B40" s="305">
        <v>3</v>
      </c>
      <c r="C40" s="310" t="s">
        <v>278</v>
      </c>
      <c r="D40" s="308" t="s">
        <v>73</v>
      </c>
      <c r="E40" s="206" t="s">
        <v>73</v>
      </c>
      <c r="F40" s="300" t="s">
        <v>107</v>
      </c>
      <c r="G40" s="300">
        <v>2</v>
      </c>
      <c r="H40" s="300">
        <v>2</v>
      </c>
      <c r="I40" s="292">
        <v>11.051249999999975</v>
      </c>
      <c r="J40" s="292">
        <v>0.59265000000000001</v>
      </c>
      <c r="K40" s="296">
        <f>Inhalation_Exp[[#This Row],[TWA_High-End]]*IF(Inhalation_Exp[[#This Row],[Exposure Scenario]]="8-hr",ED_8,IF(Inhalation_Exp[[#This Row],[Exposure Scenario]]="10-hr",ED_10,ED_12))*WorkBreathRate/(WorkRestRate*AT)</f>
        <v>7.5178571428571255</v>
      </c>
      <c r="L40" s="240">
        <f>Inhalation_Exp[[#This Row],[TWA_Central Tendency]]*IF(Inhalation_Exp[[#This Row],[Exposure Scenario]]="8-hr",ED_8,IF(Inhalation_Exp[[#This Row],[Exposure Scenario]]="10-hr",ED_10,ED_12))*WorkBreathRate/(WorkRestRate*AT)</f>
        <v>0.4031632653061224</v>
      </c>
      <c r="M40" s="207">
        <f>IF(EFID&gt;Inhalation_Exp[[#This Row],[ED_High-End]],Inhalation_Exp[[#This Row],[24hr_High-End]]*Inhalation_Exp[[#This Row],[ED_High-End]]/ID,Inhalation_Exp[[#This Row],[24hr_High-End]]*EFID/ID)</f>
        <v>0.50119047619047508</v>
      </c>
      <c r="N40" s="217">
        <f>IF(EFID&gt;Inhalation_Exp[[#This Row],[ED_Central Tendency]],Inhalation_Exp[[#This Row],[24hr_Central Tendency]]*Inhalation_Exp[[#This Row],[ED_Central Tendency]]/ID,Inhalation_Exp[[#This Row],[24hr_Central Tendency]]*EFID/ID)</f>
        <v>2.6877551020408161E-2</v>
      </c>
      <c r="O40" s="207">
        <f>Inhalation_Exp[[#This Row],[24hr_High-End]]*Inhalation_Exp[[#This Row],[ED_High-End]]*WY_high/(AT_ADC_high)</f>
        <v>4.1193737769080141E-2</v>
      </c>
      <c r="P40" s="217">
        <f>Inhalation_Exp[[#This Row],[24hr_Central Tendency]]*Inhalation_Exp[[#This Row],[ED_Central Tendency]]*WY_mid/(AT_ADC_mid)</f>
        <v>2.2091137824993006E-3</v>
      </c>
      <c r="Q40" s="301">
        <v>0</v>
      </c>
      <c r="R40" s="300" t="s">
        <v>416</v>
      </c>
      <c r="S40" s="9" t="s">
        <v>280</v>
      </c>
      <c r="T40" s="302" t="s">
        <v>122</v>
      </c>
    </row>
    <row r="41" spans="2:20" ht="26" x14ac:dyDescent="0.3">
      <c r="B41" s="305">
        <v>3</v>
      </c>
      <c r="C41" s="310" t="s">
        <v>278</v>
      </c>
      <c r="D41" s="308" t="s">
        <v>54</v>
      </c>
      <c r="E41" s="206" t="s">
        <v>54</v>
      </c>
      <c r="F41" s="300" t="s">
        <v>107</v>
      </c>
      <c r="G41" s="300">
        <v>2</v>
      </c>
      <c r="H41" s="300">
        <v>2</v>
      </c>
      <c r="I41" s="292">
        <v>0.59265000000000001</v>
      </c>
      <c r="J41" s="292">
        <v>0.59265000000000001</v>
      </c>
      <c r="K41" s="296">
        <f>Inhalation_Exp[[#This Row],[TWA_High-End]]*IF(Inhalation_Exp[[#This Row],[Exposure Scenario]]="8-hr",ED_8,IF(Inhalation_Exp[[#This Row],[Exposure Scenario]]="10-hr",ED_10,ED_12))*WorkBreathRate/(WorkRestRate*AT)</f>
        <v>0.4031632653061224</v>
      </c>
      <c r="L41" s="240">
        <f>Inhalation_Exp[[#This Row],[TWA_Central Tendency]]*IF(Inhalation_Exp[[#This Row],[Exposure Scenario]]="8-hr",ED_8,IF(Inhalation_Exp[[#This Row],[Exposure Scenario]]="10-hr",ED_10,ED_12))*WorkBreathRate/(WorkRestRate*AT)</f>
        <v>0.4031632653061224</v>
      </c>
      <c r="M41" s="207">
        <f>IF(EFID&gt;Inhalation_Exp[[#This Row],[ED_High-End]],Inhalation_Exp[[#This Row],[24hr_High-End]]*Inhalation_Exp[[#This Row],[ED_High-End]]/ID,Inhalation_Exp[[#This Row],[24hr_High-End]]*EFID/ID)</f>
        <v>2.6877551020408161E-2</v>
      </c>
      <c r="N41" s="217">
        <f>IF(EFID&gt;Inhalation_Exp[[#This Row],[ED_Central Tendency]],Inhalation_Exp[[#This Row],[24hr_Central Tendency]]*Inhalation_Exp[[#This Row],[ED_Central Tendency]]/ID,Inhalation_Exp[[#This Row],[24hr_Central Tendency]]*EFID/ID)</f>
        <v>2.6877551020408161E-2</v>
      </c>
      <c r="O41" s="207">
        <f>Inhalation_Exp[[#This Row],[24hr_High-End]]*Inhalation_Exp[[#This Row],[ED_High-End]]*WY_high/(AT_ADC_high)</f>
        <v>2.2091137824993006E-3</v>
      </c>
      <c r="P41" s="217">
        <f>Inhalation_Exp[[#This Row],[24hr_Central Tendency]]*Inhalation_Exp[[#This Row],[ED_Central Tendency]]*WY_mid/(AT_ADC_mid)</f>
        <v>2.2091137824993006E-3</v>
      </c>
      <c r="Q41" s="301">
        <v>0</v>
      </c>
      <c r="R41" s="300" t="s">
        <v>416</v>
      </c>
      <c r="S41" s="9" t="s">
        <v>280</v>
      </c>
      <c r="T41" s="302" t="s">
        <v>122</v>
      </c>
    </row>
    <row r="42" spans="2:20" ht="26" x14ac:dyDescent="0.3">
      <c r="B42" s="305">
        <v>3</v>
      </c>
      <c r="C42" s="310" t="s">
        <v>279</v>
      </c>
      <c r="D42" s="308" t="s">
        <v>73</v>
      </c>
      <c r="E42" s="206" t="s">
        <v>73</v>
      </c>
      <c r="F42" s="300" t="s">
        <v>107</v>
      </c>
      <c r="G42" s="300">
        <v>250</v>
      </c>
      <c r="H42" s="300">
        <v>250</v>
      </c>
      <c r="I42" s="292">
        <v>11.051249999999975</v>
      </c>
      <c r="J42" s="292">
        <v>0.59265000000000001</v>
      </c>
      <c r="K42" s="296">
        <f>Inhalation_Exp[[#This Row],[TWA_High-End]]*IF(Inhalation_Exp[[#This Row],[Exposure Scenario]]="8-hr",ED_8,IF(Inhalation_Exp[[#This Row],[Exposure Scenario]]="10-hr",ED_10,ED_12))*WorkBreathRate/(WorkRestRate*AT)</f>
        <v>7.5178571428571255</v>
      </c>
      <c r="L42" s="240">
        <f>Inhalation_Exp[[#This Row],[TWA_Central Tendency]]*IF(Inhalation_Exp[[#This Row],[Exposure Scenario]]="8-hr",ED_8,IF(Inhalation_Exp[[#This Row],[Exposure Scenario]]="10-hr",ED_10,ED_12))*WorkBreathRate/(WorkRestRate*AT)</f>
        <v>0.4031632653061224</v>
      </c>
      <c r="M42" s="207">
        <f>IF(EFID&gt;Inhalation_Exp[[#This Row],[ED_High-End]],Inhalation_Exp[[#This Row],[24hr_High-End]]*Inhalation_Exp[[#This Row],[ED_High-End]]/ID,Inhalation_Exp[[#This Row],[24hr_High-End]]*EFID/ID)</f>
        <v>5.5130952380952261</v>
      </c>
      <c r="N42" s="217">
        <f>IF(EFID&gt;Inhalation_Exp[[#This Row],[ED_Central Tendency]],Inhalation_Exp[[#This Row],[24hr_Central Tendency]]*Inhalation_Exp[[#This Row],[ED_Central Tendency]]/ID,Inhalation_Exp[[#This Row],[24hr_Central Tendency]]*EFID/ID)</f>
        <v>0.29565306122448975</v>
      </c>
      <c r="O42" s="207">
        <f>Inhalation_Exp[[#This Row],[24hr_High-End]]*Inhalation_Exp[[#This Row],[ED_High-End]]*WY_high/(AT_ADC_high)</f>
        <v>5.149217221135018</v>
      </c>
      <c r="P42" s="217">
        <f>Inhalation_Exp[[#This Row],[24hr_Central Tendency]]*Inhalation_Exp[[#This Row],[ED_Central Tendency]]*WY_mid/(AT_ADC_mid)</f>
        <v>0.2761392228124126</v>
      </c>
      <c r="Q42" s="301">
        <v>0</v>
      </c>
      <c r="R42" s="300" t="s">
        <v>416</v>
      </c>
      <c r="S42" s="9" t="s">
        <v>280</v>
      </c>
      <c r="T42" s="302" t="s">
        <v>122</v>
      </c>
    </row>
    <row r="43" spans="2:20" ht="26" x14ac:dyDescent="0.3">
      <c r="B43" s="305">
        <v>3</v>
      </c>
      <c r="C43" s="310" t="s">
        <v>279</v>
      </c>
      <c r="D43" s="308" t="s">
        <v>54</v>
      </c>
      <c r="E43" s="206" t="s">
        <v>54</v>
      </c>
      <c r="F43" s="300" t="s">
        <v>107</v>
      </c>
      <c r="G43" s="300">
        <v>250</v>
      </c>
      <c r="H43" s="300">
        <v>250</v>
      </c>
      <c r="I43" s="292">
        <v>0.59265000000000001</v>
      </c>
      <c r="J43" s="292">
        <v>0.59265000000000001</v>
      </c>
      <c r="K43" s="296">
        <f>Inhalation_Exp[[#This Row],[TWA_High-End]]*IF(Inhalation_Exp[[#This Row],[Exposure Scenario]]="8-hr",ED_8,IF(Inhalation_Exp[[#This Row],[Exposure Scenario]]="10-hr",ED_10,ED_12))*WorkBreathRate/(WorkRestRate*AT)</f>
        <v>0.4031632653061224</v>
      </c>
      <c r="L43" s="240">
        <f>Inhalation_Exp[[#This Row],[TWA_Central Tendency]]*IF(Inhalation_Exp[[#This Row],[Exposure Scenario]]="8-hr",ED_8,IF(Inhalation_Exp[[#This Row],[Exposure Scenario]]="10-hr",ED_10,ED_12))*WorkBreathRate/(WorkRestRate*AT)</f>
        <v>0.4031632653061224</v>
      </c>
      <c r="M43" s="207">
        <f>IF(EFID&gt;Inhalation_Exp[[#This Row],[ED_High-End]],Inhalation_Exp[[#This Row],[24hr_High-End]]*Inhalation_Exp[[#This Row],[ED_High-End]]/ID,Inhalation_Exp[[#This Row],[24hr_High-End]]*EFID/ID)</f>
        <v>0.29565306122448975</v>
      </c>
      <c r="N43" s="217">
        <f>IF(EFID&gt;Inhalation_Exp[[#This Row],[ED_Central Tendency]],Inhalation_Exp[[#This Row],[24hr_Central Tendency]]*Inhalation_Exp[[#This Row],[ED_Central Tendency]]/ID,Inhalation_Exp[[#This Row],[24hr_Central Tendency]]*EFID/ID)</f>
        <v>0.29565306122448975</v>
      </c>
      <c r="O43" s="207">
        <f>Inhalation_Exp[[#This Row],[24hr_High-End]]*Inhalation_Exp[[#This Row],[ED_High-End]]*WY_high/(AT_ADC_high)</f>
        <v>0.2761392228124126</v>
      </c>
      <c r="P43" s="217">
        <f>Inhalation_Exp[[#This Row],[24hr_Central Tendency]]*Inhalation_Exp[[#This Row],[ED_Central Tendency]]*WY_mid/(AT_ADC_mid)</f>
        <v>0.2761392228124126</v>
      </c>
      <c r="Q43" s="301">
        <v>0</v>
      </c>
      <c r="R43" s="300" t="s">
        <v>416</v>
      </c>
      <c r="S43" s="9" t="s">
        <v>280</v>
      </c>
      <c r="T43" s="302" t="s">
        <v>122</v>
      </c>
    </row>
    <row r="44" spans="2:20" ht="39" customHeight="1" x14ac:dyDescent="0.3">
      <c r="B44" s="305">
        <v>4</v>
      </c>
      <c r="C44" s="310" t="s">
        <v>291</v>
      </c>
      <c r="D44" s="308" t="s">
        <v>263</v>
      </c>
      <c r="E44" s="206" t="s">
        <v>54</v>
      </c>
      <c r="F44" s="300" t="s">
        <v>107</v>
      </c>
      <c r="G44" s="300">
        <v>164</v>
      </c>
      <c r="H44" s="300">
        <v>49</v>
      </c>
      <c r="I44" s="292">
        <v>0.30328220858895705</v>
      </c>
      <c r="J44" s="292">
        <v>0.30328220858895705</v>
      </c>
      <c r="K44" s="296">
        <f>Inhalation_Exp[[#This Row],[TWA_High-End]]*IF(Inhalation_Exp[[#This Row],[Exposure Scenario]]="8-hr",ED_8,IF(Inhalation_Exp[[#This Row],[Exposure Scenario]]="10-hr",ED_10,ED_12))*WorkBreathRate/(WorkRestRate*AT)</f>
        <v>0.2063144276115354</v>
      </c>
      <c r="L44" s="240">
        <f>Inhalation_Exp[[#This Row],[TWA_Central Tendency]]*IF(Inhalation_Exp[[#This Row],[Exposure Scenario]]="8-hr",ED_8,IF(Inhalation_Exp[[#This Row],[Exposure Scenario]]="10-hr",ED_10,ED_12))*WorkBreathRate/(WorkRestRate*AT)</f>
        <v>0.2063144276115354</v>
      </c>
      <c r="M44" s="207">
        <f>IF(EFID&gt;Inhalation_Exp[[#This Row],[ED_High-End]],Inhalation_Exp[[#This Row],[24hr_High-End]]*Inhalation_Exp[[#This Row],[ED_High-End]]/ID,Inhalation_Exp[[#This Row],[24hr_High-End]]*EFID/ID)</f>
        <v>0.15129724691512597</v>
      </c>
      <c r="N44" s="217">
        <f>IF(EFID&gt;Inhalation_Exp[[#This Row],[ED_Central Tendency]],Inhalation_Exp[[#This Row],[24hr_Central Tendency]]*Inhalation_Exp[[#This Row],[ED_Central Tendency]]/ID,Inhalation_Exp[[#This Row],[24hr_Central Tendency]]*EFID/ID)</f>
        <v>0.15129724691512597</v>
      </c>
      <c r="O44" s="207">
        <f>Inhalation_Exp[[#This Row],[24hr_High-End]]*Inhalation_Exp[[#This Row],[ED_High-End]]*WY_high/(AT_ADC_high)</f>
        <v>9.2700181173402202E-2</v>
      </c>
      <c r="P44" s="217">
        <f>Inhalation_Exp[[#This Row],[24hr_Central Tendency]]*Inhalation_Exp[[#This Row],[ED_Central Tendency]]*WY_mid/(AT_ADC_mid)</f>
        <v>2.7697005350589683E-2</v>
      </c>
      <c r="Q44" s="301">
        <v>1</v>
      </c>
      <c r="R44" s="300" t="s">
        <v>415</v>
      </c>
      <c r="S44" s="9" t="s">
        <v>423</v>
      </c>
      <c r="T44" s="302" t="s">
        <v>271</v>
      </c>
    </row>
    <row r="45" spans="2:20" ht="39" customHeight="1" x14ac:dyDescent="0.3">
      <c r="B45" s="305">
        <v>4</v>
      </c>
      <c r="C45" s="310" t="s">
        <v>291</v>
      </c>
      <c r="D45" s="308" t="s">
        <v>264</v>
      </c>
      <c r="E45" s="206" t="s">
        <v>73</v>
      </c>
      <c r="F45" s="300" t="s">
        <v>107</v>
      </c>
      <c r="G45" s="300">
        <v>164</v>
      </c>
      <c r="H45" s="300">
        <v>49</v>
      </c>
      <c r="I45" s="292">
        <v>9.705030674846622</v>
      </c>
      <c r="J45" s="292">
        <v>2.9115092024539879</v>
      </c>
      <c r="K45" s="296">
        <f>Inhalation_Exp[[#This Row],[TWA_High-End]]*IF(Inhalation_Exp[[#This Row],[Exposure Scenario]]="8-hr",ED_8,IF(Inhalation_Exp[[#This Row],[Exposure Scenario]]="10-hr",ED_10,ED_12))*WorkBreathRate/(WorkRestRate*AT)</f>
        <v>6.602061683569131</v>
      </c>
      <c r="L45" s="240">
        <f>Inhalation_Exp[[#This Row],[TWA_Central Tendency]]*IF(Inhalation_Exp[[#This Row],[Exposure Scenario]]="8-hr",ED_8,IF(Inhalation_Exp[[#This Row],[Exposure Scenario]]="10-hr",ED_10,ED_12))*WorkBreathRate/(WorkRestRate*AT)</f>
        <v>1.9806185050707401</v>
      </c>
      <c r="M45" s="207">
        <f>IF(EFID&gt;Inhalation_Exp[[#This Row],[ED_High-End]],Inhalation_Exp[[#This Row],[24hr_High-End]]*Inhalation_Exp[[#This Row],[ED_High-End]]/ID,Inhalation_Exp[[#This Row],[24hr_High-End]]*EFID/ID)</f>
        <v>4.8415119012840302</v>
      </c>
      <c r="N45" s="217">
        <f>IF(EFID&gt;Inhalation_Exp[[#This Row],[ED_Central Tendency]],Inhalation_Exp[[#This Row],[24hr_Central Tendency]]*Inhalation_Exp[[#This Row],[ED_Central Tendency]]/ID,Inhalation_Exp[[#This Row],[24hr_Central Tendency]]*EFID/ID)</f>
        <v>1.4524535703852095</v>
      </c>
      <c r="O45" s="207">
        <f>Inhalation_Exp[[#This Row],[24hr_High-End]]*Inhalation_Exp[[#This Row],[ED_High-End]]*WY_high/(AT_ADC_high)</f>
        <v>2.9664057975488696</v>
      </c>
      <c r="P45" s="217">
        <f>Inhalation_Exp[[#This Row],[24hr_Central Tendency]]*Inhalation_Exp[[#This Row],[ED_Central Tendency]]*WY_mid/(AT_ADC_mid)</f>
        <v>0.265891251365661</v>
      </c>
      <c r="Q45" s="301">
        <v>17</v>
      </c>
      <c r="R45" s="300" t="s">
        <v>415</v>
      </c>
      <c r="S45" s="9" t="s">
        <v>423</v>
      </c>
      <c r="T45" s="302" t="s">
        <v>271</v>
      </c>
    </row>
    <row r="46" spans="2:20" ht="39" customHeight="1" x14ac:dyDescent="0.3">
      <c r="B46" s="305">
        <v>4</v>
      </c>
      <c r="C46" s="310" t="s">
        <v>291</v>
      </c>
      <c r="D46" s="308" t="s">
        <v>265</v>
      </c>
      <c r="E46" s="206" t="s">
        <v>73</v>
      </c>
      <c r="F46" s="300" t="s">
        <v>107</v>
      </c>
      <c r="G46" s="300">
        <v>164</v>
      </c>
      <c r="H46" s="300">
        <v>49</v>
      </c>
      <c r="I46" s="292">
        <v>46.705460122699385</v>
      </c>
      <c r="J46" s="292">
        <v>0.24262576687116569</v>
      </c>
      <c r="K46" s="296">
        <f>Inhalation_Exp[[#This Row],[TWA_High-End]]*IF(Inhalation_Exp[[#This Row],[Exposure Scenario]]="8-hr",ED_8,IF(Inhalation_Exp[[#This Row],[Exposure Scenario]]="10-hr",ED_10,ED_12))*WorkBreathRate/(WorkRestRate*AT)</f>
        <v>31.77242185217645</v>
      </c>
      <c r="L46" s="240">
        <f>Inhalation_Exp[[#This Row],[TWA_Central Tendency]]*IF(Inhalation_Exp[[#This Row],[Exposure Scenario]]="8-hr",ED_8,IF(Inhalation_Exp[[#This Row],[Exposure Scenario]]="10-hr",ED_10,ED_12))*WorkBreathRate/(WorkRestRate*AT)</f>
        <v>0.16505154208922834</v>
      </c>
      <c r="M46" s="207">
        <f>IF(EFID&gt;Inhalation_Exp[[#This Row],[ED_High-End]],Inhalation_Exp[[#This Row],[24hr_High-End]]*Inhalation_Exp[[#This Row],[ED_High-End]]/ID,Inhalation_Exp[[#This Row],[24hr_High-End]]*EFID/ID)</f>
        <v>23.299776024929397</v>
      </c>
      <c r="N46" s="217">
        <f>IF(EFID&gt;Inhalation_Exp[[#This Row],[ED_Central Tendency]],Inhalation_Exp[[#This Row],[24hr_Central Tendency]]*Inhalation_Exp[[#This Row],[ED_Central Tendency]]/ID,Inhalation_Exp[[#This Row],[24hr_Central Tendency]]*EFID/ID)</f>
        <v>0.1210377975321008</v>
      </c>
      <c r="O46" s="207">
        <f>Inhalation_Exp[[#This Row],[24hr_High-End]]*Inhalation_Exp[[#This Row],[ED_High-End]]*WY_high/(AT_ADC_high)</f>
        <v>14.275827900703939</v>
      </c>
      <c r="P46" s="217">
        <f>Inhalation_Exp[[#This Row],[24hr_Central Tendency]]*Inhalation_Exp[[#This Row],[ED_Central Tendency]]*WY_mid/(AT_ADC_mid)</f>
        <v>2.2157604280471751E-2</v>
      </c>
      <c r="Q46" s="301">
        <v>3</v>
      </c>
      <c r="R46" s="300" t="s">
        <v>415</v>
      </c>
      <c r="S46" s="9" t="s">
        <v>423</v>
      </c>
      <c r="T46" s="302" t="s">
        <v>272</v>
      </c>
    </row>
    <row r="47" spans="2:20" ht="39" customHeight="1" x14ac:dyDescent="0.3">
      <c r="B47" s="305">
        <v>4</v>
      </c>
      <c r="C47" s="310" t="s">
        <v>291</v>
      </c>
      <c r="D47" s="308" t="s">
        <v>266</v>
      </c>
      <c r="E47" s="206" t="s">
        <v>73</v>
      </c>
      <c r="F47" s="300" t="s">
        <v>269</v>
      </c>
      <c r="G47" s="300">
        <v>164</v>
      </c>
      <c r="H47" s="300">
        <v>49</v>
      </c>
      <c r="I47" s="292">
        <v>3.42361806066803</v>
      </c>
      <c r="J47" s="292">
        <v>0.33305441206543968</v>
      </c>
      <c r="K47" s="296">
        <f>Inhalation_Exp[[#This Row],[TWA_High-End]]*IF(Inhalation_Exp[[#This Row],[Exposure Scenario]]="8-hr",ED_8,IF(Inhalation_Exp[[#This Row],[Exposure Scenario]]="10-hr",ED_10,ED_12))*WorkBreathRate/(WorkRestRate*AT)</f>
        <v>3.4934878170081936</v>
      </c>
      <c r="L47" s="240">
        <f>Inhalation_Exp[[#This Row],[TWA_Central Tendency]]*IF(Inhalation_Exp[[#This Row],[Exposure Scenario]]="8-hr",ED_8,IF(Inhalation_Exp[[#This Row],[Exposure Scenario]]="10-hr",ED_10,ED_12))*WorkBreathRate/(WorkRestRate*AT)</f>
        <v>0.33985144088310165</v>
      </c>
      <c r="M47" s="207">
        <f>IF(EFID&gt;Inhalation_Exp[[#This Row],[ED_High-End]],Inhalation_Exp[[#This Row],[24hr_High-End]]*Inhalation_Exp[[#This Row],[ED_High-End]]/ID,Inhalation_Exp[[#This Row],[24hr_High-End]]*EFID/ID)</f>
        <v>2.5618910658060088</v>
      </c>
      <c r="N47" s="217">
        <f>IF(EFID&gt;Inhalation_Exp[[#This Row],[ED_Central Tendency]],Inhalation_Exp[[#This Row],[24hr_Central Tendency]]*Inhalation_Exp[[#This Row],[ED_Central Tendency]]/ID,Inhalation_Exp[[#This Row],[24hr_Central Tendency]]*EFID/ID)</f>
        <v>0.24922438998094121</v>
      </c>
      <c r="O47" s="207">
        <f>Inhalation_Exp[[#This Row],[24hr_High-End]]*Inhalation_Exp[[#This Row],[ED_High-End]]*WY_high/(AT_ADC_high)</f>
        <v>1.5696767177790238</v>
      </c>
      <c r="P47" s="217">
        <f>Inhalation_Exp[[#This Row],[24hr_Central Tendency]]*Inhalation_Exp[[#This Row],[ED_Central Tendency]]*WY_mid/(AT_ADC_mid)</f>
        <v>4.5623892063758852E-2</v>
      </c>
      <c r="Q47" s="301">
        <v>11</v>
      </c>
      <c r="R47" s="300" t="s">
        <v>415</v>
      </c>
      <c r="S47" s="9" t="s">
        <v>423</v>
      </c>
      <c r="T47" s="302" t="s">
        <v>271</v>
      </c>
    </row>
    <row r="48" spans="2:20" ht="39" customHeight="1" x14ac:dyDescent="0.3">
      <c r="B48" s="305">
        <v>4</v>
      </c>
      <c r="C48" s="310" t="s">
        <v>291</v>
      </c>
      <c r="D48" s="308" t="s">
        <v>267</v>
      </c>
      <c r="E48" s="206" t="s">
        <v>73</v>
      </c>
      <c r="F48" s="300" t="s">
        <v>107</v>
      </c>
      <c r="G48" s="300">
        <v>164</v>
      </c>
      <c r="H48" s="300">
        <v>49</v>
      </c>
      <c r="I48" s="292">
        <v>0.15770674846625768</v>
      </c>
      <c r="J48" s="292">
        <v>0.15770674846625768</v>
      </c>
      <c r="K48" s="296">
        <f>Inhalation_Exp[[#This Row],[TWA_High-End]]*IF(Inhalation_Exp[[#This Row],[Exposure Scenario]]="8-hr",ED_8,IF(Inhalation_Exp[[#This Row],[Exposure Scenario]]="10-hr",ED_10,ED_12))*WorkBreathRate/(WorkRestRate*AT)</f>
        <v>0.10728350235799841</v>
      </c>
      <c r="L48" s="240">
        <f>Inhalation_Exp[[#This Row],[TWA_Central Tendency]]*IF(Inhalation_Exp[[#This Row],[Exposure Scenario]]="8-hr",ED_8,IF(Inhalation_Exp[[#This Row],[Exposure Scenario]]="10-hr",ED_10,ED_12))*WorkBreathRate/(WorkRestRate*AT)</f>
        <v>0.10728350235799841</v>
      </c>
      <c r="M48" s="207">
        <f>IF(EFID&gt;Inhalation_Exp[[#This Row],[ED_High-End]],Inhalation_Exp[[#This Row],[24hr_High-End]]*Inhalation_Exp[[#This Row],[ED_High-End]]/ID,Inhalation_Exp[[#This Row],[24hr_High-End]]*EFID/ID)</f>
        <v>7.8674568395865493E-2</v>
      </c>
      <c r="N48" s="217">
        <f>IF(EFID&gt;Inhalation_Exp[[#This Row],[ED_Central Tendency]],Inhalation_Exp[[#This Row],[24hr_Central Tendency]]*Inhalation_Exp[[#This Row],[ED_Central Tendency]]/ID,Inhalation_Exp[[#This Row],[24hr_Central Tendency]]*EFID/ID)</f>
        <v>7.8674568395865493E-2</v>
      </c>
      <c r="O48" s="207">
        <f>Inhalation_Exp[[#This Row],[24hr_High-End]]*Inhalation_Exp[[#This Row],[ED_High-End]]*WY_high/(AT_ADC_high)</f>
        <v>4.8204094210169156E-2</v>
      </c>
      <c r="P48" s="217">
        <f>Inhalation_Exp[[#This Row],[24hr_Central Tendency]]*Inhalation_Exp[[#This Row],[ED_Central Tendency]]*WY_mid/(AT_ADC_mid)</f>
        <v>1.4402442782306636E-2</v>
      </c>
      <c r="Q48" s="301">
        <v>1</v>
      </c>
      <c r="R48" s="300" t="s">
        <v>415</v>
      </c>
      <c r="S48" s="9" t="s">
        <v>423</v>
      </c>
      <c r="T48" s="302" t="s">
        <v>271</v>
      </c>
    </row>
    <row r="49" spans="2:20" ht="39" customHeight="1" x14ac:dyDescent="0.3">
      <c r="B49" s="305">
        <v>4</v>
      </c>
      <c r="C49" s="310" t="s">
        <v>291</v>
      </c>
      <c r="D49" s="308" t="s">
        <v>268</v>
      </c>
      <c r="E49" s="206" t="s">
        <v>73</v>
      </c>
      <c r="F49" s="300" t="s">
        <v>107</v>
      </c>
      <c r="G49" s="300">
        <v>164</v>
      </c>
      <c r="H49" s="300">
        <v>49</v>
      </c>
      <c r="I49" s="292">
        <v>8.0491603629856723</v>
      </c>
      <c r="J49" s="292">
        <v>0.51065141871165642</v>
      </c>
      <c r="K49" s="296">
        <f>Inhalation_Exp[[#This Row],[TWA_High-End]]*IF(Inhalation_Exp[[#This Row],[Exposure Scenario]]="8-hr",ED_8,IF(Inhalation_Exp[[#This Row],[Exposure Scenario]]="10-hr",ED_10,ED_12))*WorkBreathRate/(WorkRestRate*AT)</f>
        <v>5.4756192945480766</v>
      </c>
      <c r="L49" s="240">
        <f>Inhalation_Exp[[#This Row],[TWA_Central Tendency]]*IF(Inhalation_Exp[[#This Row],[Exposure Scenario]]="8-hr",ED_8,IF(Inhalation_Exp[[#This Row],[Exposure Scenario]]="10-hr",ED_10,ED_12))*WorkBreathRate/(WorkRestRate*AT)</f>
        <v>0.34738191749092273</v>
      </c>
      <c r="M49" s="207">
        <f>IF(EFID&gt;Inhalation_Exp[[#This Row],[ED_High-End]],Inhalation_Exp[[#This Row],[24hr_High-End]]*Inhalation_Exp[[#This Row],[ED_High-End]]/ID,Inhalation_Exp[[#This Row],[24hr_High-End]]*EFID/ID)</f>
        <v>4.0154541493352562</v>
      </c>
      <c r="N49" s="217">
        <f>IF(EFID&gt;Inhalation_Exp[[#This Row],[ED_Central Tendency]],Inhalation_Exp[[#This Row],[24hr_Central Tendency]]*Inhalation_Exp[[#This Row],[ED_Central Tendency]]/ID,Inhalation_Exp[[#This Row],[24hr_Central Tendency]]*EFID/ID)</f>
        <v>0.25474673949334331</v>
      </c>
      <c r="O49" s="207">
        <f>Inhalation_Exp[[#This Row],[24hr_High-End]]*Inhalation_Exp[[#This Row],[ED_High-End]]*WY_high/(AT_ADC_high)</f>
        <v>2.4602782583722869</v>
      </c>
      <c r="P49" s="217">
        <f>Inhalation_Exp[[#This Row],[24hr_Central Tendency]]*Inhalation_Exp[[#This Row],[ED_Central Tendency]]*WY_mid/(AT_ADC_mid)</f>
        <v>4.6634832759055375E-2</v>
      </c>
      <c r="Q49" s="301">
        <v>24</v>
      </c>
      <c r="R49" s="300" t="s">
        <v>415</v>
      </c>
      <c r="S49" s="9" t="s">
        <v>423</v>
      </c>
      <c r="T49" s="302" t="s">
        <v>271</v>
      </c>
    </row>
    <row r="50" spans="2:20" ht="39" customHeight="1" x14ac:dyDescent="0.3">
      <c r="B50" s="305">
        <v>4</v>
      </c>
      <c r="C50" s="310" t="s">
        <v>291</v>
      </c>
      <c r="D50" s="308" t="s">
        <v>268</v>
      </c>
      <c r="E50" s="206" t="s">
        <v>73</v>
      </c>
      <c r="F50" s="300" t="s">
        <v>270</v>
      </c>
      <c r="G50" s="300">
        <v>164</v>
      </c>
      <c r="H50" s="300">
        <v>49</v>
      </c>
      <c r="I50" s="292">
        <v>2.1351067484662578</v>
      </c>
      <c r="J50" s="292">
        <v>0.91227288343558299</v>
      </c>
      <c r="K50" s="296">
        <f>Inhalation_Exp[[#This Row],[TWA_High-End]]*IF(Inhalation_Exp[[#This Row],[Exposure Scenario]]="8-hr",ED_8,IF(Inhalation_Exp[[#This Row],[Exposure Scenario]]="10-hr",ED_10,ED_12))*WorkBreathRate/(WorkRestRate*AT)</f>
        <v>1.8155669629815117</v>
      </c>
      <c r="L50" s="240">
        <f>Inhalation_Exp[[#This Row],[TWA_Central Tendency]]*IF(Inhalation_Exp[[#This Row],[Exposure Scenario]]="8-hr",ED_8,IF(Inhalation_Exp[[#This Row],[Exposure Scenario]]="10-hr",ED_10,ED_12))*WorkBreathRate/(WorkRestRate*AT)</f>
        <v>0.77574224781937307</v>
      </c>
      <c r="M50" s="207">
        <f>IF(EFID&gt;Inhalation_Exp[[#This Row],[ED_High-End]],Inhalation_Exp[[#This Row],[24hr_High-End]]*Inhalation_Exp[[#This Row],[ED_High-End]]/ID,Inhalation_Exp[[#This Row],[24hr_High-End]]*EFID/ID)</f>
        <v>1.3314157728531086</v>
      </c>
      <c r="N50" s="217">
        <f>IF(EFID&gt;Inhalation_Exp[[#This Row],[ED_Central Tendency]],Inhalation_Exp[[#This Row],[24hr_Central Tendency]]*Inhalation_Exp[[#This Row],[ED_Central Tendency]]/ID,Inhalation_Exp[[#This Row],[24hr_Central Tendency]]*EFID/ID)</f>
        <v>0.56887764840087351</v>
      </c>
      <c r="O50" s="207">
        <f>Inhalation_Exp[[#This Row],[24hr_High-End]]*Inhalation_Exp[[#This Row],[ED_High-End]]*WY_high/(AT_ADC_high)</f>
        <v>0.81576159432593953</v>
      </c>
      <c r="P50" s="217">
        <f>Inhalation_Exp[[#This Row],[24hr_Central Tendency]]*Inhalation_Exp[[#This Row],[ED_Central Tendency]]*WY_mid/(AT_ADC_mid)</f>
        <v>0.10414074011821721</v>
      </c>
      <c r="Q50" s="301">
        <v>5</v>
      </c>
      <c r="R50" s="300" t="s">
        <v>415</v>
      </c>
      <c r="S50" s="9" t="s">
        <v>423</v>
      </c>
      <c r="T50" s="302" t="s">
        <v>271</v>
      </c>
    </row>
    <row r="51" spans="2:20" ht="39" customHeight="1" x14ac:dyDescent="0.3">
      <c r="B51" s="305">
        <v>4</v>
      </c>
      <c r="C51" s="310" t="s">
        <v>291</v>
      </c>
      <c r="D51" s="308" t="s">
        <v>268</v>
      </c>
      <c r="E51" s="206" t="s">
        <v>73</v>
      </c>
      <c r="F51" s="300" t="s">
        <v>269</v>
      </c>
      <c r="G51" s="300">
        <v>164</v>
      </c>
      <c r="H51" s="300">
        <v>49</v>
      </c>
      <c r="I51" s="292">
        <v>1.8801003278800263</v>
      </c>
      <c r="J51" s="292">
        <v>0.18459777096114521</v>
      </c>
      <c r="K51" s="296">
        <f>Inhalation_Exp[[#This Row],[TWA_High-End]]*IF(Inhalation_Exp[[#This Row],[Exposure Scenario]]="8-hr",ED_8,IF(Inhalation_Exp[[#This Row],[Exposure Scenario]]="10-hr",ED_10,ED_12))*WorkBreathRate/(WorkRestRate*AT)</f>
        <v>1.9184697223265577</v>
      </c>
      <c r="L51" s="240">
        <f>Inhalation_Exp[[#This Row],[TWA_Central Tendency]]*IF(Inhalation_Exp[[#This Row],[Exposure Scenario]]="8-hr",ED_8,IF(Inhalation_Exp[[#This Row],[Exposure Scenario]]="10-hr",ED_10,ED_12))*WorkBreathRate/(WorkRestRate*AT)</f>
        <v>0.18836507240933181</v>
      </c>
      <c r="M51" s="207">
        <f>IF(EFID&gt;Inhalation_Exp[[#This Row],[ED_High-End]],Inhalation_Exp[[#This Row],[24hr_High-End]]*Inhalation_Exp[[#This Row],[ED_High-End]]/ID,Inhalation_Exp[[#This Row],[24hr_High-End]]*EFID/ID)</f>
        <v>1.406877796372809</v>
      </c>
      <c r="N51" s="217">
        <f>IF(EFID&gt;Inhalation_Exp[[#This Row],[ED_Central Tendency]],Inhalation_Exp[[#This Row],[24hr_Central Tendency]]*Inhalation_Exp[[#This Row],[ED_Central Tendency]]/ID,Inhalation_Exp[[#This Row],[24hr_Central Tendency]]*EFID/ID)</f>
        <v>0.13813438643351</v>
      </c>
      <c r="O51" s="207">
        <f>Inhalation_Exp[[#This Row],[24hr_High-End]]*Inhalation_Exp[[#This Row],[ED_High-End]]*WY_high/(AT_ADC_high)</f>
        <v>0.86199735468919303</v>
      </c>
      <c r="P51" s="217">
        <f>Inhalation_Exp[[#This Row],[24hr_Central Tendency]]*Inhalation_Exp[[#This Row],[ED_Central Tendency]]*WY_mid/(AT_ADC_mid)</f>
        <v>2.528736588508838E-2</v>
      </c>
      <c r="Q51" s="301">
        <v>8</v>
      </c>
      <c r="R51" s="300" t="s">
        <v>415</v>
      </c>
      <c r="S51" s="9" t="s">
        <v>423</v>
      </c>
      <c r="T51" s="302" t="s">
        <v>271</v>
      </c>
    </row>
    <row r="52" spans="2:20" ht="39" customHeight="1" x14ac:dyDescent="0.3">
      <c r="B52" s="305">
        <v>4</v>
      </c>
      <c r="C52" s="310" t="s">
        <v>292</v>
      </c>
      <c r="D52" s="308" t="s">
        <v>263</v>
      </c>
      <c r="E52" s="206" t="s">
        <v>54</v>
      </c>
      <c r="F52" s="300" t="s">
        <v>107</v>
      </c>
      <c r="G52" s="300">
        <v>15</v>
      </c>
      <c r="H52" s="300">
        <v>1</v>
      </c>
      <c r="I52" s="292">
        <v>0.30328220858895705</v>
      </c>
      <c r="J52" s="292">
        <v>0.30328220858895705</v>
      </c>
      <c r="K52" s="296">
        <f>Inhalation_Exp[[#This Row],[TWA_High-End]]*IF(Inhalation_Exp[[#This Row],[Exposure Scenario]]="8-hr",ED_8,IF(Inhalation_Exp[[#This Row],[Exposure Scenario]]="10-hr",ED_10,ED_12))*WorkBreathRate/(WorkRestRate*AT)</f>
        <v>0.2063144276115354</v>
      </c>
      <c r="L52" s="240">
        <f>Inhalation_Exp[[#This Row],[TWA_Central Tendency]]*IF(Inhalation_Exp[[#This Row],[Exposure Scenario]]="8-hr",ED_8,IF(Inhalation_Exp[[#This Row],[Exposure Scenario]]="10-hr",ED_10,ED_12))*WorkBreathRate/(WorkRestRate*AT)</f>
        <v>0.2063144276115354</v>
      </c>
      <c r="M52" s="207">
        <f>IF(EFID&gt;Inhalation_Exp[[#This Row],[ED_High-End]],Inhalation_Exp[[#This Row],[24hr_High-End]]*Inhalation_Exp[[#This Row],[ED_High-End]]/ID,Inhalation_Exp[[#This Row],[24hr_High-End]]*EFID/ID)</f>
        <v>0.1031572138057677</v>
      </c>
      <c r="N52" s="217">
        <f>IF(EFID&gt;Inhalation_Exp[[#This Row],[ED_Central Tendency]],Inhalation_Exp[[#This Row],[24hr_Central Tendency]]*Inhalation_Exp[[#This Row],[ED_Central Tendency]]/ID,Inhalation_Exp[[#This Row],[24hr_Central Tendency]]*EFID/ID)</f>
        <v>6.8771475870511804E-3</v>
      </c>
      <c r="O52" s="207">
        <f>Inhalation_Exp[[#This Row],[24hr_High-End]]*Inhalation_Exp[[#This Row],[ED_High-End]]*WY_high/(AT_ADC_high)</f>
        <v>8.4786751073233739E-3</v>
      </c>
      <c r="P52" s="217">
        <f>Inhalation_Exp[[#This Row],[24hr_Central Tendency]]*Inhalation_Exp[[#This Row],[ED_Central Tendency]]*WY_mid/(AT_ADC_mid)</f>
        <v>5.6524500715489151E-4</v>
      </c>
      <c r="Q52" s="301">
        <v>1</v>
      </c>
      <c r="R52" s="300" t="s">
        <v>415</v>
      </c>
      <c r="S52" s="9" t="s">
        <v>423</v>
      </c>
      <c r="T52" s="302" t="s">
        <v>271</v>
      </c>
    </row>
    <row r="53" spans="2:20" ht="39" customHeight="1" x14ac:dyDescent="0.3">
      <c r="B53" s="305">
        <v>4</v>
      </c>
      <c r="C53" s="310" t="s">
        <v>292</v>
      </c>
      <c r="D53" s="308" t="s">
        <v>264</v>
      </c>
      <c r="E53" s="206" t="s">
        <v>73</v>
      </c>
      <c r="F53" s="300" t="s">
        <v>107</v>
      </c>
      <c r="G53" s="300">
        <v>15</v>
      </c>
      <c r="H53" s="300">
        <v>1</v>
      </c>
      <c r="I53" s="292">
        <v>9.705030674846622</v>
      </c>
      <c r="J53" s="292">
        <v>2.9115092024539879</v>
      </c>
      <c r="K53" s="296">
        <f>Inhalation_Exp[[#This Row],[TWA_High-End]]*IF(Inhalation_Exp[[#This Row],[Exposure Scenario]]="8-hr",ED_8,IF(Inhalation_Exp[[#This Row],[Exposure Scenario]]="10-hr",ED_10,ED_12))*WorkBreathRate/(WorkRestRate*AT)</f>
        <v>6.602061683569131</v>
      </c>
      <c r="L53" s="240">
        <f>Inhalation_Exp[[#This Row],[TWA_Central Tendency]]*IF(Inhalation_Exp[[#This Row],[Exposure Scenario]]="8-hr",ED_8,IF(Inhalation_Exp[[#This Row],[Exposure Scenario]]="10-hr",ED_10,ED_12))*WorkBreathRate/(WorkRestRate*AT)</f>
        <v>1.9806185050707401</v>
      </c>
      <c r="M53" s="207">
        <f>IF(EFID&gt;Inhalation_Exp[[#This Row],[ED_High-End]],Inhalation_Exp[[#This Row],[24hr_High-End]]*Inhalation_Exp[[#This Row],[ED_High-End]]/ID,Inhalation_Exp[[#This Row],[24hr_High-End]]*EFID/ID)</f>
        <v>3.3010308417845655</v>
      </c>
      <c r="N53" s="217">
        <f>IF(EFID&gt;Inhalation_Exp[[#This Row],[ED_Central Tendency]],Inhalation_Exp[[#This Row],[24hr_Central Tendency]]*Inhalation_Exp[[#This Row],[ED_Central Tendency]]/ID,Inhalation_Exp[[#This Row],[24hr_Central Tendency]]*EFID/ID)</f>
        <v>6.602061683569134E-2</v>
      </c>
      <c r="O53" s="207">
        <f>Inhalation_Exp[[#This Row],[24hr_High-End]]*Inhalation_Exp[[#This Row],[ED_High-End]]*WY_high/(AT_ADC_high)</f>
        <v>0.27131760343434785</v>
      </c>
      <c r="P53" s="217">
        <f>Inhalation_Exp[[#This Row],[24hr_Central Tendency]]*Inhalation_Exp[[#This Row],[ED_Central Tendency]]*WY_mid/(AT_ADC_mid)</f>
        <v>5.4263520686869595E-3</v>
      </c>
      <c r="Q53" s="301">
        <v>17</v>
      </c>
      <c r="R53" s="300" t="s">
        <v>415</v>
      </c>
      <c r="S53" s="9" t="s">
        <v>423</v>
      </c>
      <c r="T53" s="302" t="s">
        <v>271</v>
      </c>
    </row>
    <row r="54" spans="2:20" ht="39" customHeight="1" x14ac:dyDescent="0.3">
      <c r="B54" s="305">
        <v>4</v>
      </c>
      <c r="C54" s="310" t="s">
        <v>292</v>
      </c>
      <c r="D54" s="308" t="s">
        <v>265</v>
      </c>
      <c r="E54" s="206" t="s">
        <v>73</v>
      </c>
      <c r="F54" s="300" t="s">
        <v>107</v>
      </c>
      <c r="G54" s="300">
        <v>15</v>
      </c>
      <c r="H54" s="300">
        <v>1</v>
      </c>
      <c r="I54" s="292">
        <v>46.705460122699385</v>
      </c>
      <c r="J54" s="292">
        <v>0.24262576687116569</v>
      </c>
      <c r="K54" s="296">
        <f>Inhalation_Exp[[#This Row],[TWA_High-End]]*IF(Inhalation_Exp[[#This Row],[Exposure Scenario]]="8-hr",ED_8,IF(Inhalation_Exp[[#This Row],[Exposure Scenario]]="10-hr",ED_10,ED_12))*WorkBreathRate/(WorkRestRate*AT)</f>
        <v>31.77242185217645</v>
      </c>
      <c r="L54" s="240">
        <f>Inhalation_Exp[[#This Row],[TWA_Central Tendency]]*IF(Inhalation_Exp[[#This Row],[Exposure Scenario]]="8-hr",ED_8,IF(Inhalation_Exp[[#This Row],[Exposure Scenario]]="10-hr",ED_10,ED_12))*WorkBreathRate/(WorkRestRate*AT)</f>
        <v>0.16505154208922834</v>
      </c>
      <c r="M54" s="207">
        <f>IF(EFID&gt;Inhalation_Exp[[#This Row],[ED_High-End]],Inhalation_Exp[[#This Row],[24hr_High-End]]*Inhalation_Exp[[#This Row],[ED_High-End]]/ID,Inhalation_Exp[[#This Row],[24hr_High-End]]*EFID/ID)</f>
        <v>15.886210926088227</v>
      </c>
      <c r="N54" s="217">
        <f>IF(EFID&gt;Inhalation_Exp[[#This Row],[ED_Central Tendency]],Inhalation_Exp[[#This Row],[24hr_Central Tendency]]*Inhalation_Exp[[#This Row],[ED_Central Tendency]]/ID,Inhalation_Exp[[#This Row],[24hr_Central Tendency]]*EFID/ID)</f>
        <v>5.501718069640945E-3</v>
      </c>
      <c r="O54" s="207">
        <f>Inhalation_Exp[[#This Row],[24hr_High-End]]*Inhalation_Exp[[#This Row],[ED_High-End]]*WY_high/(AT_ADC_high)</f>
        <v>1.3057159665277993</v>
      </c>
      <c r="P54" s="217">
        <f>Inhalation_Exp[[#This Row],[24hr_Central Tendency]]*Inhalation_Exp[[#This Row],[ED_Central Tendency]]*WY_mid/(AT_ADC_mid)</f>
        <v>4.5219600572391324E-4</v>
      </c>
      <c r="Q54" s="301">
        <v>3</v>
      </c>
      <c r="R54" s="300" t="s">
        <v>415</v>
      </c>
      <c r="S54" s="9" t="s">
        <v>423</v>
      </c>
      <c r="T54" s="302" t="s">
        <v>272</v>
      </c>
    </row>
    <row r="55" spans="2:20" ht="39" customHeight="1" x14ac:dyDescent="0.3">
      <c r="B55" s="305">
        <v>4</v>
      </c>
      <c r="C55" s="310" t="s">
        <v>292</v>
      </c>
      <c r="D55" s="308" t="s">
        <v>266</v>
      </c>
      <c r="E55" s="206" t="s">
        <v>73</v>
      </c>
      <c r="F55" s="300" t="s">
        <v>269</v>
      </c>
      <c r="G55" s="300">
        <v>15</v>
      </c>
      <c r="H55" s="300">
        <v>1</v>
      </c>
      <c r="I55" s="292">
        <v>3.42361806066803</v>
      </c>
      <c r="J55" s="292">
        <v>0.33305441206543968</v>
      </c>
      <c r="K55" s="296">
        <f>Inhalation_Exp[[#This Row],[TWA_High-End]]*IF(Inhalation_Exp[[#This Row],[Exposure Scenario]]="8-hr",ED_8,IF(Inhalation_Exp[[#This Row],[Exposure Scenario]]="10-hr",ED_10,ED_12))*WorkBreathRate/(WorkRestRate*AT)</f>
        <v>3.4934878170081936</v>
      </c>
      <c r="L55" s="240">
        <f>Inhalation_Exp[[#This Row],[TWA_Central Tendency]]*IF(Inhalation_Exp[[#This Row],[Exposure Scenario]]="8-hr",ED_8,IF(Inhalation_Exp[[#This Row],[Exposure Scenario]]="10-hr",ED_10,ED_12))*WorkBreathRate/(WorkRestRate*AT)</f>
        <v>0.33985144088310165</v>
      </c>
      <c r="M55" s="207">
        <f>IF(EFID&gt;Inhalation_Exp[[#This Row],[ED_High-End]],Inhalation_Exp[[#This Row],[24hr_High-End]]*Inhalation_Exp[[#This Row],[ED_High-End]]/ID,Inhalation_Exp[[#This Row],[24hr_High-End]]*EFID/ID)</f>
        <v>1.7467439085040968</v>
      </c>
      <c r="N55" s="217">
        <f>IF(EFID&gt;Inhalation_Exp[[#This Row],[ED_Central Tendency]],Inhalation_Exp[[#This Row],[24hr_Central Tendency]]*Inhalation_Exp[[#This Row],[ED_Central Tendency]]/ID,Inhalation_Exp[[#This Row],[24hr_Central Tendency]]*EFID/ID)</f>
        <v>1.1328381362770056E-2</v>
      </c>
      <c r="O55" s="207">
        <f>Inhalation_Exp[[#This Row],[24hr_High-End]]*Inhalation_Exp[[#This Row],[ED_High-End]]*WY_high/(AT_ADC_high)</f>
        <v>0.14356799247978877</v>
      </c>
      <c r="P55" s="217">
        <f>Inhalation_Exp[[#This Row],[24hr_Central Tendency]]*Inhalation_Exp[[#This Row],[ED_Central Tendency]]*WY_mid/(AT_ADC_mid)</f>
        <v>9.3109983803589492E-4</v>
      </c>
      <c r="Q55" s="301">
        <v>11</v>
      </c>
      <c r="R55" s="300" t="s">
        <v>415</v>
      </c>
      <c r="S55" s="9" t="s">
        <v>423</v>
      </c>
      <c r="T55" s="302" t="s">
        <v>271</v>
      </c>
    </row>
    <row r="56" spans="2:20" ht="39" customHeight="1" x14ac:dyDescent="0.3">
      <c r="B56" s="305">
        <v>4</v>
      </c>
      <c r="C56" s="310" t="s">
        <v>292</v>
      </c>
      <c r="D56" s="308" t="s">
        <v>267</v>
      </c>
      <c r="E56" s="206" t="s">
        <v>73</v>
      </c>
      <c r="F56" s="300" t="s">
        <v>107</v>
      </c>
      <c r="G56" s="300">
        <v>15</v>
      </c>
      <c r="H56" s="300">
        <v>1</v>
      </c>
      <c r="I56" s="292">
        <v>0.15770674846625768</v>
      </c>
      <c r="J56" s="292">
        <v>0.15770674846625768</v>
      </c>
      <c r="K56" s="296">
        <f>Inhalation_Exp[[#This Row],[TWA_High-End]]*IF(Inhalation_Exp[[#This Row],[Exposure Scenario]]="8-hr",ED_8,IF(Inhalation_Exp[[#This Row],[Exposure Scenario]]="10-hr",ED_10,ED_12))*WorkBreathRate/(WorkRestRate*AT)</f>
        <v>0.10728350235799841</v>
      </c>
      <c r="L56" s="240">
        <f>Inhalation_Exp[[#This Row],[TWA_Central Tendency]]*IF(Inhalation_Exp[[#This Row],[Exposure Scenario]]="8-hr",ED_8,IF(Inhalation_Exp[[#This Row],[Exposure Scenario]]="10-hr",ED_10,ED_12))*WorkBreathRate/(WorkRestRate*AT)</f>
        <v>0.10728350235799841</v>
      </c>
      <c r="M56" s="207">
        <f>IF(EFID&gt;Inhalation_Exp[[#This Row],[ED_High-End]],Inhalation_Exp[[#This Row],[24hr_High-End]]*Inhalation_Exp[[#This Row],[ED_High-End]]/ID,Inhalation_Exp[[#This Row],[24hr_High-End]]*EFID/ID)</f>
        <v>5.3641751178999206E-2</v>
      </c>
      <c r="N56" s="217">
        <f>IF(EFID&gt;Inhalation_Exp[[#This Row],[ED_Central Tendency]],Inhalation_Exp[[#This Row],[24hr_Central Tendency]]*Inhalation_Exp[[#This Row],[ED_Central Tendency]]/ID,Inhalation_Exp[[#This Row],[24hr_Central Tendency]]*EFID/ID)</f>
        <v>3.5761167452666139E-3</v>
      </c>
      <c r="O56" s="207">
        <f>Inhalation_Exp[[#This Row],[24hr_High-End]]*Inhalation_Exp[[#This Row],[ED_High-End]]*WY_high/(AT_ADC_high)</f>
        <v>4.4089110558081538E-3</v>
      </c>
      <c r="P56" s="217">
        <f>Inhalation_Exp[[#This Row],[24hr_Central Tendency]]*Inhalation_Exp[[#This Row],[ED_Central Tendency]]*WY_mid/(AT_ADC_mid)</f>
        <v>2.9392740372054357E-4</v>
      </c>
      <c r="Q56" s="301">
        <v>1</v>
      </c>
      <c r="R56" s="300" t="s">
        <v>415</v>
      </c>
      <c r="S56" s="9" t="s">
        <v>423</v>
      </c>
      <c r="T56" s="302" t="s">
        <v>271</v>
      </c>
    </row>
    <row r="57" spans="2:20" ht="39" customHeight="1" x14ac:dyDescent="0.3">
      <c r="B57" s="305">
        <v>4</v>
      </c>
      <c r="C57" s="310" t="s">
        <v>292</v>
      </c>
      <c r="D57" s="308" t="s">
        <v>268</v>
      </c>
      <c r="E57" s="206" t="s">
        <v>73</v>
      </c>
      <c r="F57" s="300" t="s">
        <v>107</v>
      </c>
      <c r="G57" s="300">
        <v>15</v>
      </c>
      <c r="H57" s="300">
        <v>1</v>
      </c>
      <c r="I57" s="292">
        <v>8.0491603629856723</v>
      </c>
      <c r="J57" s="292">
        <v>0.51065141871165642</v>
      </c>
      <c r="K57" s="296">
        <f>Inhalation_Exp[[#This Row],[TWA_High-End]]*IF(Inhalation_Exp[[#This Row],[Exposure Scenario]]="8-hr",ED_8,IF(Inhalation_Exp[[#This Row],[Exposure Scenario]]="10-hr",ED_10,ED_12))*WorkBreathRate/(WorkRestRate*AT)</f>
        <v>5.4756192945480766</v>
      </c>
      <c r="L57" s="240">
        <f>Inhalation_Exp[[#This Row],[TWA_Central Tendency]]*IF(Inhalation_Exp[[#This Row],[Exposure Scenario]]="8-hr",ED_8,IF(Inhalation_Exp[[#This Row],[Exposure Scenario]]="10-hr",ED_10,ED_12))*WorkBreathRate/(WorkRestRate*AT)</f>
        <v>0.34738191749092273</v>
      </c>
      <c r="M57" s="207">
        <f>IF(EFID&gt;Inhalation_Exp[[#This Row],[ED_High-End]],Inhalation_Exp[[#This Row],[24hr_High-End]]*Inhalation_Exp[[#This Row],[ED_High-End]]/ID,Inhalation_Exp[[#This Row],[24hr_High-End]]*EFID/ID)</f>
        <v>2.7378096472740383</v>
      </c>
      <c r="N57" s="217">
        <f>IF(EFID&gt;Inhalation_Exp[[#This Row],[ED_Central Tendency]],Inhalation_Exp[[#This Row],[24hr_Central Tendency]]*Inhalation_Exp[[#This Row],[ED_Central Tendency]]/ID,Inhalation_Exp[[#This Row],[24hr_Central Tendency]]*EFID/ID)</f>
        <v>1.1579397249697424E-2</v>
      </c>
      <c r="O57" s="207">
        <f>Inhalation_Exp[[#This Row],[24hr_High-End]]*Inhalation_Exp[[#This Row],[ED_High-End]]*WY_high/(AT_ADC_high)</f>
        <v>0.22502545046087985</v>
      </c>
      <c r="P57" s="217">
        <f>Inhalation_Exp[[#This Row],[24hr_Central Tendency]]*Inhalation_Exp[[#This Row],[ED_Central Tendency]]*WY_mid/(AT_ADC_mid)</f>
        <v>9.5173128079704863E-4</v>
      </c>
      <c r="Q57" s="301">
        <v>24</v>
      </c>
      <c r="R57" s="300" t="s">
        <v>415</v>
      </c>
      <c r="S57" s="9" t="s">
        <v>423</v>
      </c>
      <c r="T57" s="302" t="s">
        <v>271</v>
      </c>
    </row>
    <row r="58" spans="2:20" ht="39" customHeight="1" x14ac:dyDescent="0.3">
      <c r="B58" s="305">
        <v>4</v>
      </c>
      <c r="C58" s="310" t="s">
        <v>292</v>
      </c>
      <c r="D58" s="308" t="s">
        <v>268</v>
      </c>
      <c r="E58" s="206" t="s">
        <v>73</v>
      </c>
      <c r="F58" s="300" t="s">
        <v>270</v>
      </c>
      <c r="G58" s="300">
        <v>15</v>
      </c>
      <c r="H58" s="300">
        <v>1</v>
      </c>
      <c r="I58" s="292">
        <v>2.1351067484662578</v>
      </c>
      <c r="J58" s="292">
        <v>0.91227288343558299</v>
      </c>
      <c r="K58" s="296">
        <f>Inhalation_Exp[[#This Row],[TWA_High-End]]*IF(Inhalation_Exp[[#This Row],[Exposure Scenario]]="8-hr",ED_8,IF(Inhalation_Exp[[#This Row],[Exposure Scenario]]="10-hr",ED_10,ED_12))*WorkBreathRate/(WorkRestRate*AT)</f>
        <v>1.8155669629815117</v>
      </c>
      <c r="L58" s="240">
        <f>Inhalation_Exp[[#This Row],[TWA_Central Tendency]]*IF(Inhalation_Exp[[#This Row],[Exposure Scenario]]="8-hr",ED_8,IF(Inhalation_Exp[[#This Row],[Exposure Scenario]]="10-hr",ED_10,ED_12))*WorkBreathRate/(WorkRestRate*AT)</f>
        <v>0.77574224781937307</v>
      </c>
      <c r="M58" s="207">
        <f>IF(EFID&gt;Inhalation_Exp[[#This Row],[ED_High-End]],Inhalation_Exp[[#This Row],[24hr_High-End]]*Inhalation_Exp[[#This Row],[ED_High-End]]/ID,Inhalation_Exp[[#This Row],[24hr_High-End]]*EFID/ID)</f>
        <v>0.90778348149075583</v>
      </c>
      <c r="N58" s="217">
        <f>IF(EFID&gt;Inhalation_Exp[[#This Row],[ED_Central Tendency]],Inhalation_Exp[[#This Row],[24hr_Central Tendency]]*Inhalation_Exp[[#This Row],[ED_Central Tendency]]/ID,Inhalation_Exp[[#This Row],[24hr_Central Tendency]]*EFID/ID)</f>
        <v>2.5858074927312437E-2</v>
      </c>
      <c r="O58" s="207">
        <f>Inhalation_Exp[[#This Row],[24hr_High-End]]*Inhalation_Exp[[#This Row],[ED_High-End]]*WY_high/(AT_ADC_high)</f>
        <v>7.4612340944445688E-2</v>
      </c>
      <c r="P58" s="217">
        <f>Inhalation_Exp[[#This Row],[24hr_Central Tendency]]*Inhalation_Exp[[#This Row],[ED_Central Tendency]]*WY_mid/(AT_ADC_mid)</f>
        <v>2.1253212269023917E-3</v>
      </c>
      <c r="Q58" s="301">
        <v>5</v>
      </c>
      <c r="R58" s="300" t="s">
        <v>415</v>
      </c>
      <c r="S58" s="9" t="s">
        <v>423</v>
      </c>
      <c r="T58" s="302" t="s">
        <v>271</v>
      </c>
    </row>
    <row r="59" spans="2:20" ht="39" customHeight="1" x14ac:dyDescent="0.3">
      <c r="B59" s="305">
        <v>4</v>
      </c>
      <c r="C59" s="310" t="s">
        <v>292</v>
      </c>
      <c r="D59" s="308" t="s">
        <v>268</v>
      </c>
      <c r="E59" s="206" t="s">
        <v>73</v>
      </c>
      <c r="F59" s="300" t="s">
        <v>269</v>
      </c>
      <c r="G59" s="300">
        <v>15</v>
      </c>
      <c r="H59" s="300">
        <v>1</v>
      </c>
      <c r="I59" s="292">
        <v>1.8801003278800263</v>
      </c>
      <c r="J59" s="292">
        <v>0.18459777096114521</v>
      </c>
      <c r="K59" s="296">
        <f>Inhalation_Exp[[#This Row],[TWA_High-End]]*IF(Inhalation_Exp[[#This Row],[Exposure Scenario]]="8-hr",ED_8,IF(Inhalation_Exp[[#This Row],[Exposure Scenario]]="10-hr",ED_10,ED_12))*WorkBreathRate/(WorkRestRate*AT)</f>
        <v>1.9184697223265577</v>
      </c>
      <c r="L59" s="240">
        <f>Inhalation_Exp[[#This Row],[TWA_Central Tendency]]*IF(Inhalation_Exp[[#This Row],[Exposure Scenario]]="8-hr",ED_8,IF(Inhalation_Exp[[#This Row],[Exposure Scenario]]="10-hr",ED_10,ED_12))*WorkBreathRate/(WorkRestRate*AT)</f>
        <v>0.18836507240933181</v>
      </c>
      <c r="M59" s="207">
        <f>IF(EFID&gt;Inhalation_Exp[[#This Row],[ED_High-End]],Inhalation_Exp[[#This Row],[24hr_High-End]]*Inhalation_Exp[[#This Row],[ED_High-End]]/ID,Inhalation_Exp[[#This Row],[24hr_High-End]]*EFID/ID)</f>
        <v>0.95923486116327894</v>
      </c>
      <c r="N59" s="217">
        <f>IF(EFID&gt;Inhalation_Exp[[#This Row],[ED_Central Tendency]],Inhalation_Exp[[#This Row],[24hr_Central Tendency]]*Inhalation_Exp[[#This Row],[ED_Central Tendency]]/ID,Inhalation_Exp[[#This Row],[24hr_Central Tendency]]*EFID/ID)</f>
        <v>6.278835746977727E-3</v>
      </c>
      <c r="O59" s="207">
        <f>Inhalation_Exp[[#This Row],[24hr_High-End]]*Inhalation_Exp[[#This Row],[ED_High-End]]*WY_high/(AT_ADC_high)</f>
        <v>7.8841221465474967E-2</v>
      </c>
      <c r="P59" s="217">
        <f>Inhalation_Exp[[#This Row],[24hr_Central Tendency]]*Inhalation_Exp[[#This Row],[ED_Central Tendency]]*WY_mid/(AT_ADC_mid)</f>
        <v>5.1606869153241592E-4</v>
      </c>
      <c r="Q59" s="301">
        <v>8</v>
      </c>
      <c r="R59" s="300" t="s">
        <v>415</v>
      </c>
      <c r="S59" s="9" t="s">
        <v>423</v>
      </c>
      <c r="T59" s="302" t="s">
        <v>271</v>
      </c>
    </row>
    <row r="60" spans="2:20" ht="26" x14ac:dyDescent="0.3">
      <c r="B60" s="305">
        <v>4</v>
      </c>
      <c r="C60" s="310" t="s">
        <v>245</v>
      </c>
      <c r="D60" s="308" t="s">
        <v>73</v>
      </c>
      <c r="E60" s="206" t="s">
        <v>73</v>
      </c>
      <c r="F60" s="300" t="s">
        <v>107</v>
      </c>
      <c r="G60" s="300">
        <v>222</v>
      </c>
      <c r="H60" s="300">
        <v>160</v>
      </c>
      <c r="I60" s="303">
        <v>0.10015876013115808</v>
      </c>
      <c r="J60" s="303">
        <v>1.3507539152448964E-2</v>
      </c>
      <c r="K60" s="296">
        <v>6.8135210973576929E-2</v>
      </c>
      <c r="L60" s="240">
        <v>9.1888021445231047E-3</v>
      </c>
      <c r="M60" s="207">
        <v>4.9965821380623082E-2</v>
      </c>
      <c r="N60" s="217">
        <v>6.7384549059836107E-3</v>
      </c>
      <c r="O60" s="207">
        <v>2.9774848371547074E-2</v>
      </c>
      <c r="P60" s="217">
        <v>3.7908006845365464E-3</v>
      </c>
      <c r="Q60" s="301">
        <v>0</v>
      </c>
      <c r="R60" s="300" t="s">
        <v>415</v>
      </c>
      <c r="S60" s="9" t="s">
        <v>281</v>
      </c>
      <c r="T60" s="302" t="s">
        <v>122</v>
      </c>
    </row>
    <row r="61" spans="2:20" ht="26" x14ac:dyDescent="0.3">
      <c r="B61" s="305">
        <v>4</v>
      </c>
      <c r="C61" s="310" t="s">
        <v>245</v>
      </c>
      <c r="D61" s="308" t="s">
        <v>54</v>
      </c>
      <c r="E61" s="206" t="s">
        <v>54</v>
      </c>
      <c r="F61" s="300" t="s">
        <v>107</v>
      </c>
      <c r="G61" s="300">
        <v>222</v>
      </c>
      <c r="H61" s="300">
        <v>160</v>
      </c>
      <c r="I61" s="303">
        <v>1.3507539152448964E-2</v>
      </c>
      <c r="J61" s="303">
        <v>1.3507539152448964E-2</v>
      </c>
      <c r="K61" s="296">
        <v>9.1888021445231047E-3</v>
      </c>
      <c r="L61" s="240">
        <v>9.1888021445231047E-3</v>
      </c>
      <c r="M61" s="207">
        <v>6.7384549059836107E-3</v>
      </c>
      <c r="N61" s="217">
        <v>6.7384549059836107E-3</v>
      </c>
      <c r="O61" s="207">
        <v>3.7908006845365464E-3</v>
      </c>
      <c r="P61" s="217">
        <v>3.7908006845365464E-3</v>
      </c>
      <c r="Q61" s="301">
        <v>0</v>
      </c>
      <c r="R61" s="300" t="s">
        <v>415</v>
      </c>
      <c r="S61" s="9" t="s">
        <v>281</v>
      </c>
      <c r="T61" s="302" t="s">
        <v>122</v>
      </c>
    </row>
    <row r="62" spans="2:20" ht="39" customHeight="1" x14ac:dyDescent="0.3">
      <c r="B62" s="305">
        <v>5</v>
      </c>
      <c r="C62" s="310" t="s">
        <v>247</v>
      </c>
      <c r="D62" s="308" t="s">
        <v>263</v>
      </c>
      <c r="E62" s="206" t="s">
        <v>54</v>
      </c>
      <c r="F62" s="300" t="s">
        <v>107</v>
      </c>
      <c r="G62" s="300">
        <v>250</v>
      </c>
      <c r="H62" s="300">
        <v>234</v>
      </c>
      <c r="I62" s="292">
        <v>0.30328220858895705</v>
      </c>
      <c r="J62" s="292">
        <v>0.30328220858895705</v>
      </c>
      <c r="K62" s="296">
        <f>Inhalation_Exp[[#This Row],[TWA_High-End]]*IF(Inhalation_Exp[[#This Row],[Exposure Scenario]]="8-hr",ED_8,IF(Inhalation_Exp[[#This Row],[Exposure Scenario]]="10-hr",ED_10,ED_12))*WorkBreathRate/(WorkRestRate*AT)</f>
        <v>0.2063144276115354</v>
      </c>
      <c r="L62" s="240">
        <f>Inhalation_Exp[[#This Row],[TWA_Central Tendency]]*IF(Inhalation_Exp[[#This Row],[Exposure Scenario]]="8-hr",ED_8,IF(Inhalation_Exp[[#This Row],[Exposure Scenario]]="10-hr",ED_10,ED_12))*WorkBreathRate/(WorkRestRate*AT)</f>
        <v>0.2063144276115354</v>
      </c>
      <c r="M62" s="207">
        <f>IF(EFID&gt;Inhalation_Exp[[#This Row],[ED_High-End]],Inhalation_Exp[[#This Row],[24hr_High-End]]*Inhalation_Exp[[#This Row],[ED_High-End]]/ID,Inhalation_Exp[[#This Row],[24hr_High-End]]*EFID/ID)</f>
        <v>0.15129724691512597</v>
      </c>
      <c r="N62" s="217">
        <f>IF(EFID&gt;Inhalation_Exp[[#This Row],[ED_Central Tendency]],Inhalation_Exp[[#This Row],[24hr_Central Tendency]]*Inhalation_Exp[[#This Row],[ED_Central Tendency]]/ID,Inhalation_Exp[[#This Row],[24hr_Central Tendency]]*EFID/ID)</f>
        <v>0.15129724691512597</v>
      </c>
      <c r="O62" s="207">
        <f>Inhalation_Exp[[#This Row],[24hr_High-End]]*Inhalation_Exp[[#This Row],[ED_High-End]]*WY_high/(AT_ADC_high)</f>
        <v>0.14131125178872286</v>
      </c>
      <c r="P62" s="217">
        <f>Inhalation_Exp[[#This Row],[24hr_Central Tendency]]*Inhalation_Exp[[#This Row],[ED_Central Tendency]]*WY_mid/(AT_ADC_mid)</f>
        <v>0.13226733167424459</v>
      </c>
      <c r="Q62" s="301">
        <v>1</v>
      </c>
      <c r="R62" s="300" t="s">
        <v>415</v>
      </c>
      <c r="S62" s="9" t="s">
        <v>423</v>
      </c>
      <c r="T62" s="302" t="s">
        <v>271</v>
      </c>
    </row>
    <row r="63" spans="2:20" ht="39" customHeight="1" x14ac:dyDescent="0.3">
      <c r="B63" s="305">
        <v>5</v>
      </c>
      <c r="C63" s="310" t="s">
        <v>247</v>
      </c>
      <c r="D63" s="308" t="s">
        <v>264</v>
      </c>
      <c r="E63" s="206" t="s">
        <v>73</v>
      </c>
      <c r="F63" s="300" t="s">
        <v>107</v>
      </c>
      <c r="G63" s="300">
        <v>250</v>
      </c>
      <c r="H63" s="300">
        <v>234</v>
      </c>
      <c r="I63" s="292">
        <v>9.705030674846622</v>
      </c>
      <c r="J63" s="292">
        <v>2.9115092024539879</v>
      </c>
      <c r="K63" s="296">
        <f>Inhalation_Exp[[#This Row],[TWA_High-End]]*IF(Inhalation_Exp[[#This Row],[Exposure Scenario]]="8-hr",ED_8,IF(Inhalation_Exp[[#This Row],[Exposure Scenario]]="10-hr",ED_10,ED_12))*WorkBreathRate/(WorkRestRate*AT)</f>
        <v>6.602061683569131</v>
      </c>
      <c r="L63" s="240">
        <f>Inhalation_Exp[[#This Row],[TWA_Central Tendency]]*IF(Inhalation_Exp[[#This Row],[Exposure Scenario]]="8-hr",ED_8,IF(Inhalation_Exp[[#This Row],[Exposure Scenario]]="10-hr",ED_10,ED_12))*WorkBreathRate/(WorkRestRate*AT)</f>
        <v>1.9806185050707401</v>
      </c>
      <c r="M63" s="207">
        <f>IF(EFID&gt;Inhalation_Exp[[#This Row],[ED_High-End]],Inhalation_Exp[[#This Row],[24hr_High-End]]*Inhalation_Exp[[#This Row],[ED_High-End]]/ID,Inhalation_Exp[[#This Row],[24hr_High-End]]*EFID/ID)</f>
        <v>4.8415119012840302</v>
      </c>
      <c r="N63" s="217">
        <f>IF(EFID&gt;Inhalation_Exp[[#This Row],[ED_Central Tendency]],Inhalation_Exp[[#This Row],[24hr_Central Tendency]]*Inhalation_Exp[[#This Row],[ED_Central Tendency]]/ID,Inhalation_Exp[[#This Row],[24hr_Central Tendency]]*EFID/ID)</f>
        <v>1.4524535703852095</v>
      </c>
      <c r="O63" s="207">
        <f>Inhalation_Exp[[#This Row],[24hr_High-End]]*Inhalation_Exp[[#This Row],[ED_High-End]]*WY_high/(AT_ADC_high)</f>
        <v>4.5219600572391307</v>
      </c>
      <c r="P63" s="217">
        <f>Inhalation_Exp[[#This Row],[24hr_Central Tendency]]*Inhalation_Exp[[#This Row],[ED_Central Tendency]]*WY_mid/(AT_ADC_mid)</f>
        <v>1.2697663840727484</v>
      </c>
      <c r="Q63" s="301">
        <v>17</v>
      </c>
      <c r="R63" s="300" t="s">
        <v>415</v>
      </c>
      <c r="S63" s="9" t="s">
        <v>423</v>
      </c>
      <c r="T63" s="302" t="s">
        <v>271</v>
      </c>
    </row>
    <row r="64" spans="2:20" ht="39" customHeight="1" x14ac:dyDescent="0.3">
      <c r="B64" s="305">
        <v>5</v>
      </c>
      <c r="C64" s="310" t="s">
        <v>247</v>
      </c>
      <c r="D64" s="308" t="s">
        <v>265</v>
      </c>
      <c r="E64" s="206" t="s">
        <v>73</v>
      </c>
      <c r="F64" s="300" t="s">
        <v>107</v>
      </c>
      <c r="G64" s="300">
        <v>250</v>
      </c>
      <c r="H64" s="300">
        <v>234</v>
      </c>
      <c r="I64" s="292">
        <v>46.705460122699385</v>
      </c>
      <c r="J64" s="292">
        <v>0.24262576687116569</v>
      </c>
      <c r="K64" s="296">
        <f>Inhalation_Exp[[#This Row],[TWA_High-End]]*IF(Inhalation_Exp[[#This Row],[Exposure Scenario]]="8-hr",ED_8,IF(Inhalation_Exp[[#This Row],[Exposure Scenario]]="10-hr",ED_10,ED_12))*WorkBreathRate/(WorkRestRate*AT)</f>
        <v>31.77242185217645</v>
      </c>
      <c r="L64" s="240">
        <f>Inhalation_Exp[[#This Row],[TWA_Central Tendency]]*IF(Inhalation_Exp[[#This Row],[Exposure Scenario]]="8-hr",ED_8,IF(Inhalation_Exp[[#This Row],[Exposure Scenario]]="10-hr",ED_10,ED_12))*WorkBreathRate/(WorkRestRate*AT)</f>
        <v>0.16505154208922834</v>
      </c>
      <c r="M64" s="207">
        <f>IF(EFID&gt;Inhalation_Exp[[#This Row],[ED_High-End]],Inhalation_Exp[[#This Row],[24hr_High-End]]*Inhalation_Exp[[#This Row],[ED_High-End]]/ID,Inhalation_Exp[[#This Row],[24hr_High-End]]*EFID/ID)</f>
        <v>23.299776024929397</v>
      </c>
      <c r="N64" s="217">
        <f>IF(EFID&gt;Inhalation_Exp[[#This Row],[ED_Central Tendency]],Inhalation_Exp[[#This Row],[24hr_Central Tendency]]*Inhalation_Exp[[#This Row],[ED_Central Tendency]]/ID,Inhalation_Exp[[#This Row],[24hr_Central Tendency]]*EFID/ID)</f>
        <v>0.1210377975321008</v>
      </c>
      <c r="O64" s="207">
        <f>Inhalation_Exp[[#This Row],[24hr_High-End]]*Inhalation_Exp[[#This Row],[ED_High-End]]*WY_high/(AT_ADC_high)</f>
        <v>21.761932775463322</v>
      </c>
      <c r="P64" s="217">
        <f>Inhalation_Exp[[#This Row],[24hr_Central Tendency]]*Inhalation_Exp[[#This Row],[ED_Central Tendency]]*WY_mid/(AT_ADC_mid)</f>
        <v>0.1058138653393957</v>
      </c>
      <c r="Q64" s="301">
        <v>3</v>
      </c>
      <c r="R64" s="300" t="s">
        <v>415</v>
      </c>
      <c r="S64" s="9" t="s">
        <v>423</v>
      </c>
      <c r="T64" s="302" t="s">
        <v>272</v>
      </c>
    </row>
    <row r="65" spans="2:20" ht="39" customHeight="1" x14ac:dyDescent="0.3">
      <c r="B65" s="305">
        <v>5</v>
      </c>
      <c r="C65" s="310" t="s">
        <v>247</v>
      </c>
      <c r="D65" s="308" t="s">
        <v>266</v>
      </c>
      <c r="E65" s="206" t="s">
        <v>73</v>
      </c>
      <c r="F65" s="300" t="s">
        <v>269</v>
      </c>
      <c r="G65" s="300">
        <v>250</v>
      </c>
      <c r="H65" s="300">
        <v>234</v>
      </c>
      <c r="I65" s="292">
        <v>3.42361806066803</v>
      </c>
      <c r="J65" s="292">
        <v>0.33305441206543968</v>
      </c>
      <c r="K65" s="296">
        <f>Inhalation_Exp[[#This Row],[TWA_High-End]]*IF(Inhalation_Exp[[#This Row],[Exposure Scenario]]="8-hr",ED_8,IF(Inhalation_Exp[[#This Row],[Exposure Scenario]]="10-hr",ED_10,ED_12))*WorkBreathRate/(WorkRestRate*AT)</f>
        <v>3.4934878170081936</v>
      </c>
      <c r="L65" s="240">
        <f>Inhalation_Exp[[#This Row],[TWA_Central Tendency]]*IF(Inhalation_Exp[[#This Row],[Exposure Scenario]]="8-hr",ED_8,IF(Inhalation_Exp[[#This Row],[Exposure Scenario]]="10-hr",ED_10,ED_12))*WorkBreathRate/(WorkRestRate*AT)</f>
        <v>0.33985144088310165</v>
      </c>
      <c r="M65" s="207">
        <f>IF(EFID&gt;Inhalation_Exp[[#This Row],[ED_High-End]],Inhalation_Exp[[#This Row],[24hr_High-End]]*Inhalation_Exp[[#This Row],[ED_High-End]]/ID,Inhalation_Exp[[#This Row],[24hr_High-End]]*EFID/ID)</f>
        <v>2.5618910658060088</v>
      </c>
      <c r="N65" s="217">
        <f>IF(EFID&gt;Inhalation_Exp[[#This Row],[ED_Central Tendency]],Inhalation_Exp[[#This Row],[24hr_Central Tendency]]*Inhalation_Exp[[#This Row],[ED_Central Tendency]]/ID,Inhalation_Exp[[#This Row],[24hr_Central Tendency]]*EFID/ID)</f>
        <v>0.24922438998094121</v>
      </c>
      <c r="O65" s="207">
        <f>Inhalation_Exp[[#This Row],[24hr_High-End]]*Inhalation_Exp[[#This Row],[ED_High-End]]*WY_high/(AT_ADC_high)</f>
        <v>2.392799874663146</v>
      </c>
      <c r="P65" s="217">
        <f>Inhalation_Exp[[#This Row],[24hr_Central Tendency]]*Inhalation_Exp[[#This Row],[ED_Central Tendency]]*WY_mid/(AT_ADC_mid)</f>
        <v>0.2178773621003994</v>
      </c>
      <c r="Q65" s="301">
        <v>11</v>
      </c>
      <c r="R65" s="300" t="s">
        <v>415</v>
      </c>
      <c r="S65" s="9" t="s">
        <v>423</v>
      </c>
      <c r="T65" s="302" t="s">
        <v>271</v>
      </c>
    </row>
    <row r="66" spans="2:20" ht="39" customHeight="1" x14ac:dyDescent="0.3">
      <c r="B66" s="305">
        <v>5</v>
      </c>
      <c r="C66" s="310" t="s">
        <v>247</v>
      </c>
      <c r="D66" s="308" t="s">
        <v>267</v>
      </c>
      <c r="E66" s="206" t="s">
        <v>73</v>
      </c>
      <c r="F66" s="300" t="s">
        <v>107</v>
      </c>
      <c r="G66" s="300">
        <v>250</v>
      </c>
      <c r="H66" s="300">
        <v>234</v>
      </c>
      <c r="I66" s="292">
        <v>0.15770674846625768</v>
      </c>
      <c r="J66" s="292">
        <v>0.15770674846625768</v>
      </c>
      <c r="K66" s="296">
        <f>Inhalation_Exp[[#This Row],[TWA_High-End]]*IF(Inhalation_Exp[[#This Row],[Exposure Scenario]]="8-hr",ED_8,IF(Inhalation_Exp[[#This Row],[Exposure Scenario]]="10-hr",ED_10,ED_12))*WorkBreathRate/(WorkRestRate*AT)</f>
        <v>0.10728350235799841</v>
      </c>
      <c r="L66" s="240">
        <f>Inhalation_Exp[[#This Row],[TWA_Central Tendency]]*IF(Inhalation_Exp[[#This Row],[Exposure Scenario]]="8-hr",ED_8,IF(Inhalation_Exp[[#This Row],[Exposure Scenario]]="10-hr",ED_10,ED_12))*WorkBreathRate/(WorkRestRate*AT)</f>
        <v>0.10728350235799841</v>
      </c>
      <c r="M66" s="207">
        <f>IF(EFID&gt;Inhalation_Exp[[#This Row],[ED_High-End]],Inhalation_Exp[[#This Row],[24hr_High-End]]*Inhalation_Exp[[#This Row],[ED_High-End]]/ID,Inhalation_Exp[[#This Row],[24hr_High-End]]*EFID/ID)</f>
        <v>7.8674568395865493E-2</v>
      </c>
      <c r="N66" s="217">
        <f>IF(EFID&gt;Inhalation_Exp[[#This Row],[ED_Central Tendency]],Inhalation_Exp[[#This Row],[24hr_Central Tendency]]*Inhalation_Exp[[#This Row],[ED_Central Tendency]]/ID,Inhalation_Exp[[#This Row],[24hr_Central Tendency]]*EFID/ID)</f>
        <v>7.8674568395865493E-2</v>
      </c>
      <c r="O66" s="207">
        <f>Inhalation_Exp[[#This Row],[24hr_High-End]]*Inhalation_Exp[[#This Row],[ED_High-End]]*WY_high/(AT_ADC_high)</f>
        <v>7.34818509301359E-2</v>
      </c>
      <c r="P66" s="217">
        <f>Inhalation_Exp[[#This Row],[24hr_Central Tendency]]*Inhalation_Exp[[#This Row],[ED_Central Tendency]]*WY_mid/(AT_ADC_mid)</f>
        <v>6.8779012470607193E-2</v>
      </c>
      <c r="Q66" s="301">
        <v>1</v>
      </c>
      <c r="R66" s="300" t="s">
        <v>415</v>
      </c>
      <c r="S66" s="9" t="s">
        <v>423</v>
      </c>
      <c r="T66" s="302" t="s">
        <v>271</v>
      </c>
    </row>
    <row r="67" spans="2:20" ht="39" customHeight="1" x14ac:dyDescent="0.3">
      <c r="B67" s="305">
        <v>5</v>
      </c>
      <c r="C67" s="310" t="s">
        <v>247</v>
      </c>
      <c r="D67" s="308" t="s">
        <v>268</v>
      </c>
      <c r="E67" s="206" t="s">
        <v>73</v>
      </c>
      <c r="F67" s="300" t="s">
        <v>107</v>
      </c>
      <c r="G67" s="300">
        <v>250</v>
      </c>
      <c r="H67" s="300">
        <v>234</v>
      </c>
      <c r="I67" s="292">
        <v>8.0491603629856723</v>
      </c>
      <c r="J67" s="292">
        <v>0.51065141871165642</v>
      </c>
      <c r="K67" s="296">
        <f>Inhalation_Exp[[#This Row],[TWA_High-End]]*IF(Inhalation_Exp[[#This Row],[Exposure Scenario]]="8-hr",ED_8,IF(Inhalation_Exp[[#This Row],[Exposure Scenario]]="10-hr",ED_10,ED_12))*WorkBreathRate/(WorkRestRate*AT)</f>
        <v>5.4756192945480766</v>
      </c>
      <c r="L67" s="240">
        <f>Inhalation_Exp[[#This Row],[TWA_Central Tendency]]*IF(Inhalation_Exp[[#This Row],[Exposure Scenario]]="8-hr",ED_8,IF(Inhalation_Exp[[#This Row],[Exposure Scenario]]="10-hr",ED_10,ED_12))*WorkBreathRate/(WorkRestRate*AT)</f>
        <v>0.34738191749092273</v>
      </c>
      <c r="M67" s="207">
        <f>IF(EFID&gt;Inhalation_Exp[[#This Row],[ED_High-End]],Inhalation_Exp[[#This Row],[24hr_High-End]]*Inhalation_Exp[[#This Row],[ED_High-End]]/ID,Inhalation_Exp[[#This Row],[24hr_High-End]]*EFID/ID)</f>
        <v>4.0154541493352562</v>
      </c>
      <c r="N67" s="217">
        <f>IF(EFID&gt;Inhalation_Exp[[#This Row],[ED_Central Tendency]],Inhalation_Exp[[#This Row],[24hr_Central Tendency]]*Inhalation_Exp[[#This Row],[ED_Central Tendency]]/ID,Inhalation_Exp[[#This Row],[24hr_Central Tendency]]*EFID/ID)</f>
        <v>0.25474673949334331</v>
      </c>
      <c r="O67" s="207">
        <f>Inhalation_Exp[[#This Row],[24hr_High-End]]*Inhalation_Exp[[#This Row],[ED_High-End]]*WY_high/(AT_ADC_high)</f>
        <v>3.750424174347998</v>
      </c>
      <c r="P67" s="217">
        <f>Inhalation_Exp[[#This Row],[24hr_Central Tendency]]*Inhalation_Exp[[#This Row],[ED_Central Tendency]]*WY_mid/(AT_ADC_mid)</f>
        <v>0.22270511970650936</v>
      </c>
      <c r="Q67" s="301">
        <v>24</v>
      </c>
      <c r="R67" s="300" t="s">
        <v>415</v>
      </c>
      <c r="S67" s="9" t="s">
        <v>423</v>
      </c>
      <c r="T67" s="302" t="s">
        <v>271</v>
      </c>
    </row>
    <row r="68" spans="2:20" ht="39" customHeight="1" x14ac:dyDescent="0.3">
      <c r="B68" s="305">
        <v>5</v>
      </c>
      <c r="C68" s="310" t="s">
        <v>247</v>
      </c>
      <c r="D68" s="308" t="s">
        <v>268</v>
      </c>
      <c r="E68" s="206" t="s">
        <v>73</v>
      </c>
      <c r="F68" s="300" t="s">
        <v>270</v>
      </c>
      <c r="G68" s="300">
        <v>250</v>
      </c>
      <c r="H68" s="300">
        <v>234</v>
      </c>
      <c r="I68" s="292">
        <v>2.1351067484662578</v>
      </c>
      <c r="J68" s="292">
        <v>0.91227288343558299</v>
      </c>
      <c r="K68" s="296">
        <f>Inhalation_Exp[[#This Row],[TWA_High-End]]*IF(Inhalation_Exp[[#This Row],[Exposure Scenario]]="8-hr",ED_8,IF(Inhalation_Exp[[#This Row],[Exposure Scenario]]="10-hr",ED_10,ED_12))*WorkBreathRate/(WorkRestRate*AT)</f>
        <v>1.8155669629815117</v>
      </c>
      <c r="L68" s="240">
        <f>Inhalation_Exp[[#This Row],[TWA_Central Tendency]]*IF(Inhalation_Exp[[#This Row],[Exposure Scenario]]="8-hr",ED_8,IF(Inhalation_Exp[[#This Row],[Exposure Scenario]]="10-hr",ED_10,ED_12))*WorkBreathRate/(WorkRestRate*AT)</f>
        <v>0.77574224781937307</v>
      </c>
      <c r="M68" s="207">
        <f>IF(EFID&gt;Inhalation_Exp[[#This Row],[ED_High-End]],Inhalation_Exp[[#This Row],[24hr_High-End]]*Inhalation_Exp[[#This Row],[ED_High-End]]/ID,Inhalation_Exp[[#This Row],[24hr_High-End]]*EFID/ID)</f>
        <v>1.3314157728531086</v>
      </c>
      <c r="N68" s="217">
        <f>IF(EFID&gt;Inhalation_Exp[[#This Row],[ED_Central Tendency]],Inhalation_Exp[[#This Row],[24hr_Central Tendency]]*Inhalation_Exp[[#This Row],[ED_Central Tendency]]/ID,Inhalation_Exp[[#This Row],[24hr_Central Tendency]]*EFID/ID)</f>
        <v>0.56887764840087351</v>
      </c>
      <c r="O68" s="207">
        <f>Inhalation_Exp[[#This Row],[24hr_High-End]]*Inhalation_Exp[[#This Row],[ED_High-End]]*WY_high/(AT_ADC_high)</f>
        <v>1.2435390157407613</v>
      </c>
      <c r="P68" s="217">
        <f>Inhalation_Exp[[#This Row],[24hr_Central Tendency]]*Inhalation_Exp[[#This Row],[ED_Central Tendency]]*WY_mid/(AT_ADC_mid)</f>
        <v>0.49732516709515978</v>
      </c>
      <c r="Q68" s="301">
        <v>5</v>
      </c>
      <c r="R68" s="300" t="s">
        <v>415</v>
      </c>
      <c r="S68" s="9" t="s">
        <v>423</v>
      </c>
      <c r="T68" s="302" t="s">
        <v>271</v>
      </c>
    </row>
    <row r="69" spans="2:20" ht="39" customHeight="1" x14ac:dyDescent="0.3">
      <c r="B69" s="305">
        <v>5</v>
      </c>
      <c r="C69" s="310" t="s">
        <v>247</v>
      </c>
      <c r="D69" s="308" t="s">
        <v>268</v>
      </c>
      <c r="E69" s="206" t="s">
        <v>73</v>
      </c>
      <c r="F69" s="300" t="s">
        <v>269</v>
      </c>
      <c r="G69" s="300">
        <v>250</v>
      </c>
      <c r="H69" s="300">
        <v>234</v>
      </c>
      <c r="I69" s="292">
        <v>1.8801003278800263</v>
      </c>
      <c r="J69" s="292">
        <v>0.18459777096114521</v>
      </c>
      <c r="K69" s="296">
        <f>Inhalation_Exp[[#This Row],[TWA_High-End]]*IF(Inhalation_Exp[[#This Row],[Exposure Scenario]]="8-hr",ED_8,IF(Inhalation_Exp[[#This Row],[Exposure Scenario]]="10-hr",ED_10,ED_12))*WorkBreathRate/(WorkRestRate*AT)</f>
        <v>1.9184697223265577</v>
      </c>
      <c r="L69" s="240">
        <f>Inhalation_Exp[[#This Row],[TWA_Central Tendency]]*IF(Inhalation_Exp[[#This Row],[Exposure Scenario]]="8-hr",ED_8,IF(Inhalation_Exp[[#This Row],[Exposure Scenario]]="10-hr",ED_10,ED_12))*WorkBreathRate/(WorkRestRate*AT)</f>
        <v>0.18836507240933181</v>
      </c>
      <c r="M69" s="207">
        <f>IF(EFID&gt;Inhalation_Exp[[#This Row],[ED_High-End]],Inhalation_Exp[[#This Row],[24hr_High-End]]*Inhalation_Exp[[#This Row],[ED_High-End]]/ID,Inhalation_Exp[[#This Row],[24hr_High-End]]*EFID/ID)</f>
        <v>1.406877796372809</v>
      </c>
      <c r="N69" s="217">
        <f>IF(EFID&gt;Inhalation_Exp[[#This Row],[ED_Central Tendency]],Inhalation_Exp[[#This Row],[24hr_Central Tendency]]*Inhalation_Exp[[#This Row],[ED_Central Tendency]]/ID,Inhalation_Exp[[#This Row],[24hr_Central Tendency]]*EFID/ID)</f>
        <v>0.13813438643351</v>
      </c>
      <c r="O69" s="207">
        <f>Inhalation_Exp[[#This Row],[24hr_High-End]]*Inhalation_Exp[[#This Row],[ED_High-End]]*WY_high/(AT_ADC_high)</f>
        <v>1.3140203577579164</v>
      </c>
      <c r="P69" s="217">
        <f>Inhalation_Exp[[#This Row],[24hr_Central Tendency]]*Inhalation_Exp[[#This Row],[ED_Central Tendency]]*WY_mid/(AT_ADC_mid)</f>
        <v>0.12076007381858532</v>
      </c>
      <c r="Q69" s="301">
        <v>8</v>
      </c>
      <c r="R69" s="300" t="s">
        <v>415</v>
      </c>
      <c r="S69" s="9" t="s">
        <v>423</v>
      </c>
      <c r="T69" s="302" t="s">
        <v>271</v>
      </c>
    </row>
    <row r="70" spans="2:20" ht="39" customHeight="1" x14ac:dyDescent="0.3">
      <c r="B70" s="305">
        <v>5</v>
      </c>
      <c r="C70" s="310" t="s">
        <v>248</v>
      </c>
      <c r="D70" s="308" t="s">
        <v>263</v>
      </c>
      <c r="E70" s="206" t="s">
        <v>54</v>
      </c>
      <c r="F70" s="300" t="s">
        <v>107</v>
      </c>
      <c r="G70" s="300">
        <v>250</v>
      </c>
      <c r="H70" s="300">
        <v>219</v>
      </c>
      <c r="I70" s="292">
        <v>0.30328220858895705</v>
      </c>
      <c r="J70" s="292">
        <v>0.30328220858895705</v>
      </c>
      <c r="K70" s="296">
        <f>Inhalation_Exp[[#This Row],[TWA_High-End]]*IF(Inhalation_Exp[[#This Row],[Exposure Scenario]]="8-hr",ED_8,IF(Inhalation_Exp[[#This Row],[Exposure Scenario]]="10-hr",ED_10,ED_12))*WorkBreathRate/(WorkRestRate*AT)</f>
        <v>0.2063144276115354</v>
      </c>
      <c r="L70" s="240">
        <f>Inhalation_Exp[[#This Row],[TWA_Central Tendency]]*IF(Inhalation_Exp[[#This Row],[Exposure Scenario]]="8-hr",ED_8,IF(Inhalation_Exp[[#This Row],[Exposure Scenario]]="10-hr",ED_10,ED_12))*WorkBreathRate/(WorkRestRate*AT)</f>
        <v>0.2063144276115354</v>
      </c>
      <c r="M70" s="207">
        <f>IF(EFID&gt;Inhalation_Exp[[#This Row],[ED_High-End]],Inhalation_Exp[[#This Row],[24hr_High-End]]*Inhalation_Exp[[#This Row],[ED_High-End]]/ID,Inhalation_Exp[[#This Row],[24hr_High-End]]*EFID/ID)</f>
        <v>0.15129724691512597</v>
      </c>
      <c r="N70" s="217">
        <f>IF(EFID&gt;Inhalation_Exp[[#This Row],[ED_Central Tendency]],Inhalation_Exp[[#This Row],[24hr_Central Tendency]]*Inhalation_Exp[[#This Row],[ED_Central Tendency]]/ID,Inhalation_Exp[[#This Row],[24hr_Central Tendency]]*EFID/ID)</f>
        <v>0.15129724691512597</v>
      </c>
      <c r="O70" s="207">
        <f>Inhalation_Exp[[#This Row],[24hr_High-End]]*Inhalation_Exp[[#This Row],[ED_High-End]]*WY_high/(AT_ADC_high)</f>
        <v>0.14131125178872286</v>
      </c>
      <c r="P70" s="217">
        <f>Inhalation_Exp[[#This Row],[24hr_Central Tendency]]*Inhalation_Exp[[#This Row],[ED_Central Tendency]]*WY_mid/(AT_ADC_mid)</f>
        <v>0.12378865656692124</v>
      </c>
      <c r="Q70" s="301">
        <v>1</v>
      </c>
      <c r="R70" s="300" t="s">
        <v>415</v>
      </c>
      <c r="S70" s="9" t="s">
        <v>423</v>
      </c>
      <c r="T70" s="302" t="s">
        <v>271</v>
      </c>
    </row>
    <row r="71" spans="2:20" ht="39" customHeight="1" x14ac:dyDescent="0.3">
      <c r="B71" s="305">
        <v>5</v>
      </c>
      <c r="C71" s="310" t="s">
        <v>248</v>
      </c>
      <c r="D71" s="308" t="s">
        <v>264</v>
      </c>
      <c r="E71" s="206" t="s">
        <v>73</v>
      </c>
      <c r="F71" s="300" t="s">
        <v>107</v>
      </c>
      <c r="G71" s="300">
        <v>250</v>
      </c>
      <c r="H71" s="300">
        <v>219</v>
      </c>
      <c r="I71" s="292">
        <v>9.705030674846622</v>
      </c>
      <c r="J71" s="292">
        <v>2.9115092024539879</v>
      </c>
      <c r="K71" s="296">
        <f>Inhalation_Exp[[#This Row],[TWA_High-End]]*IF(Inhalation_Exp[[#This Row],[Exposure Scenario]]="8-hr",ED_8,IF(Inhalation_Exp[[#This Row],[Exposure Scenario]]="10-hr",ED_10,ED_12))*WorkBreathRate/(WorkRestRate*AT)</f>
        <v>6.602061683569131</v>
      </c>
      <c r="L71" s="240">
        <f>Inhalation_Exp[[#This Row],[TWA_Central Tendency]]*IF(Inhalation_Exp[[#This Row],[Exposure Scenario]]="8-hr",ED_8,IF(Inhalation_Exp[[#This Row],[Exposure Scenario]]="10-hr",ED_10,ED_12))*WorkBreathRate/(WorkRestRate*AT)</f>
        <v>1.9806185050707401</v>
      </c>
      <c r="M71" s="207">
        <f>IF(EFID&gt;Inhalation_Exp[[#This Row],[ED_High-End]],Inhalation_Exp[[#This Row],[24hr_High-End]]*Inhalation_Exp[[#This Row],[ED_High-End]]/ID,Inhalation_Exp[[#This Row],[24hr_High-End]]*EFID/ID)</f>
        <v>4.8415119012840302</v>
      </c>
      <c r="N71" s="217">
        <f>IF(EFID&gt;Inhalation_Exp[[#This Row],[ED_Central Tendency]],Inhalation_Exp[[#This Row],[24hr_Central Tendency]]*Inhalation_Exp[[#This Row],[ED_Central Tendency]]/ID,Inhalation_Exp[[#This Row],[24hr_Central Tendency]]*EFID/ID)</f>
        <v>1.4524535703852095</v>
      </c>
      <c r="O71" s="207">
        <f>Inhalation_Exp[[#This Row],[24hr_High-End]]*Inhalation_Exp[[#This Row],[ED_High-End]]*WY_high/(AT_ADC_high)</f>
        <v>4.5219600572391307</v>
      </c>
      <c r="P71" s="217">
        <f>Inhalation_Exp[[#This Row],[24hr_Central Tendency]]*Inhalation_Exp[[#This Row],[ED_Central Tendency]]*WY_mid/(AT_ADC_mid)</f>
        <v>1.188371103042444</v>
      </c>
      <c r="Q71" s="301">
        <v>17</v>
      </c>
      <c r="R71" s="300" t="s">
        <v>415</v>
      </c>
      <c r="S71" s="9" t="s">
        <v>423</v>
      </c>
      <c r="T71" s="302" t="s">
        <v>271</v>
      </c>
    </row>
    <row r="72" spans="2:20" ht="39" customHeight="1" x14ac:dyDescent="0.3">
      <c r="B72" s="305">
        <v>5</v>
      </c>
      <c r="C72" s="310" t="s">
        <v>248</v>
      </c>
      <c r="D72" s="308" t="s">
        <v>265</v>
      </c>
      <c r="E72" s="206" t="s">
        <v>73</v>
      </c>
      <c r="F72" s="300" t="s">
        <v>107</v>
      </c>
      <c r="G72" s="300">
        <v>250</v>
      </c>
      <c r="H72" s="300">
        <v>219</v>
      </c>
      <c r="I72" s="292">
        <v>46.705460122699385</v>
      </c>
      <c r="J72" s="292">
        <v>0.24262576687116569</v>
      </c>
      <c r="K72" s="296">
        <f>Inhalation_Exp[[#This Row],[TWA_High-End]]*IF(Inhalation_Exp[[#This Row],[Exposure Scenario]]="8-hr",ED_8,IF(Inhalation_Exp[[#This Row],[Exposure Scenario]]="10-hr",ED_10,ED_12))*WorkBreathRate/(WorkRestRate*AT)</f>
        <v>31.77242185217645</v>
      </c>
      <c r="L72" s="240">
        <f>Inhalation_Exp[[#This Row],[TWA_Central Tendency]]*IF(Inhalation_Exp[[#This Row],[Exposure Scenario]]="8-hr",ED_8,IF(Inhalation_Exp[[#This Row],[Exposure Scenario]]="10-hr",ED_10,ED_12))*WorkBreathRate/(WorkRestRate*AT)</f>
        <v>0.16505154208922834</v>
      </c>
      <c r="M72" s="207">
        <f>IF(EFID&gt;Inhalation_Exp[[#This Row],[ED_High-End]],Inhalation_Exp[[#This Row],[24hr_High-End]]*Inhalation_Exp[[#This Row],[ED_High-End]]/ID,Inhalation_Exp[[#This Row],[24hr_High-End]]*EFID/ID)</f>
        <v>23.299776024929397</v>
      </c>
      <c r="N72" s="217">
        <f>IF(EFID&gt;Inhalation_Exp[[#This Row],[ED_Central Tendency]],Inhalation_Exp[[#This Row],[24hr_Central Tendency]]*Inhalation_Exp[[#This Row],[ED_Central Tendency]]/ID,Inhalation_Exp[[#This Row],[24hr_Central Tendency]]*EFID/ID)</f>
        <v>0.1210377975321008</v>
      </c>
      <c r="O72" s="207">
        <f>Inhalation_Exp[[#This Row],[24hr_High-End]]*Inhalation_Exp[[#This Row],[ED_High-End]]*WY_high/(AT_ADC_high)</f>
        <v>21.761932775463322</v>
      </c>
      <c r="P72" s="217">
        <f>Inhalation_Exp[[#This Row],[24hr_Central Tendency]]*Inhalation_Exp[[#This Row],[ED_Central Tendency]]*WY_mid/(AT_ADC_mid)</f>
        <v>9.9030925253537003E-2</v>
      </c>
      <c r="Q72" s="301">
        <v>3</v>
      </c>
      <c r="R72" s="300" t="s">
        <v>415</v>
      </c>
      <c r="S72" s="9" t="s">
        <v>423</v>
      </c>
      <c r="T72" s="302" t="s">
        <v>272</v>
      </c>
    </row>
    <row r="73" spans="2:20" ht="39" customHeight="1" x14ac:dyDescent="0.3">
      <c r="B73" s="305">
        <v>5</v>
      </c>
      <c r="C73" s="310" t="s">
        <v>248</v>
      </c>
      <c r="D73" s="308" t="s">
        <v>266</v>
      </c>
      <c r="E73" s="206" t="s">
        <v>73</v>
      </c>
      <c r="F73" s="300" t="s">
        <v>269</v>
      </c>
      <c r="G73" s="300">
        <v>250</v>
      </c>
      <c r="H73" s="300">
        <v>219</v>
      </c>
      <c r="I73" s="292">
        <v>3.42361806066803</v>
      </c>
      <c r="J73" s="292">
        <v>0.33305441206543968</v>
      </c>
      <c r="K73" s="296">
        <f>Inhalation_Exp[[#This Row],[TWA_High-End]]*IF(Inhalation_Exp[[#This Row],[Exposure Scenario]]="8-hr",ED_8,IF(Inhalation_Exp[[#This Row],[Exposure Scenario]]="10-hr",ED_10,ED_12))*WorkBreathRate/(WorkRestRate*AT)</f>
        <v>3.4934878170081936</v>
      </c>
      <c r="L73" s="240">
        <f>Inhalation_Exp[[#This Row],[TWA_Central Tendency]]*IF(Inhalation_Exp[[#This Row],[Exposure Scenario]]="8-hr",ED_8,IF(Inhalation_Exp[[#This Row],[Exposure Scenario]]="10-hr",ED_10,ED_12))*WorkBreathRate/(WorkRestRate*AT)</f>
        <v>0.33985144088310165</v>
      </c>
      <c r="M73" s="207">
        <f>IF(EFID&gt;Inhalation_Exp[[#This Row],[ED_High-End]],Inhalation_Exp[[#This Row],[24hr_High-End]]*Inhalation_Exp[[#This Row],[ED_High-End]]/ID,Inhalation_Exp[[#This Row],[24hr_High-End]]*EFID/ID)</f>
        <v>2.5618910658060088</v>
      </c>
      <c r="N73" s="217">
        <f>IF(EFID&gt;Inhalation_Exp[[#This Row],[ED_Central Tendency]],Inhalation_Exp[[#This Row],[24hr_Central Tendency]]*Inhalation_Exp[[#This Row],[ED_Central Tendency]]/ID,Inhalation_Exp[[#This Row],[24hr_Central Tendency]]*EFID/ID)</f>
        <v>0.24922438998094121</v>
      </c>
      <c r="O73" s="207">
        <f>Inhalation_Exp[[#This Row],[24hr_High-End]]*Inhalation_Exp[[#This Row],[ED_High-End]]*WY_high/(AT_ADC_high)</f>
        <v>2.392799874663146</v>
      </c>
      <c r="P73" s="217">
        <f>Inhalation_Exp[[#This Row],[24hr_Central Tendency]]*Inhalation_Exp[[#This Row],[ED_Central Tendency]]*WY_mid/(AT_ADC_mid)</f>
        <v>0.20391086452986099</v>
      </c>
      <c r="Q73" s="301">
        <v>11</v>
      </c>
      <c r="R73" s="300" t="s">
        <v>415</v>
      </c>
      <c r="S73" s="9" t="s">
        <v>423</v>
      </c>
      <c r="T73" s="302" t="s">
        <v>271</v>
      </c>
    </row>
    <row r="74" spans="2:20" ht="39" customHeight="1" x14ac:dyDescent="0.3">
      <c r="B74" s="305">
        <v>5</v>
      </c>
      <c r="C74" s="310" t="s">
        <v>248</v>
      </c>
      <c r="D74" s="308" t="s">
        <v>267</v>
      </c>
      <c r="E74" s="206" t="s">
        <v>73</v>
      </c>
      <c r="F74" s="300" t="s">
        <v>107</v>
      </c>
      <c r="G74" s="300">
        <v>250</v>
      </c>
      <c r="H74" s="300">
        <v>219</v>
      </c>
      <c r="I74" s="292">
        <v>0.15770674846625768</v>
      </c>
      <c r="J74" s="292">
        <v>0.15770674846625768</v>
      </c>
      <c r="K74" s="296">
        <f>Inhalation_Exp[[#This Row],[TWA_High-End]]*IF(Inhalation_Exp[[#This Row],[Exposure Scenario]]="8-hr",ED_8,IF(Inhalation_Exp[[#This Row],[Exposure Scenario]]="10-hr",ED_10,ED_12))*WorkBreathRate/(WorkRestRate*AT)</f>
        <v>0.10728350235799841</v>
      </c>
      <c r="L74" s="240">
        <f>Inhalation_Exp[[#This Row],[TWA_Central Tendency]]*IF(Inhalation_Exp[[#This Row],[Exposure Scenario]]="8-hr",ED_8,IF(Inhalation_Exp[[#This Row],[Exposure Scenario]]="10-hr",ED_10,ED_12))*WorkBreathRate/(WorkRestRate*AT)</f>
        <v>0.10728350235799841</v>
      </c>
      <c r="M74" s="207">
        <f>IF(EFID&gt;Inhalation_Exp[[#This Row],[ED_High-End]],Inhalation_Exp[[#This Row],[24hr_High-End]]*Inhalation_Exp[[#This Row],[ED_High-End]]/ID,Inhalation_Exp[[#This Row],[24hr_High-End]]*EFID/ID)</f>
        <v>7.8674568395865493E-2</v>
      </c>
      <c r="N74" s="217">
        <f>IF(EFID&gt;Inhalation_Exp[[#This Row],[ED_Central Tendency]],Inhalation_Exp[[#This Row],[24hr_Central Tendency]]*Inhalation_Exp[[#This Row],[ED_Central Tendency]]/ID,Inhalation_Exp[[#This Row],[24hr_Central Tendency]]*EFID/ID)</f>
        <v>7.8674568395865493E-2</v>
      </c>
      <c r="O74" s="207">
        <f>Inhalation_Exp[[#This Row],[24hr_High-End]]*Inhalation_Exp[[#This Row],[ED_High-End]]*WY_high/(AT_ADC_high)</f>
        <v>7.34818509301359E-2</v>
      </c>
      <c r="P74" s="217">
        <f>Inhalation_Exp[[#This Row],[24hr_Central Tendency]]*Inhalation_Exp[[#This Row],[ED_Central Tendency]]*WY_mid/(AT_ADC_mid)</f>
        <v>6.4370101414799055E-2</v>
      </c>
      <c r="Q74" s="301">
        <v>1</v>
      </c>
      <c r="R74" s="300" t="s">
        <v>415</v>
      </c>
      <c r="S74" s="9" t="s">
        <v>423</v>
      </c>
      <c r="T74" s="302" t="s">
        <v>271</v>
      </c>
    </row>
    <row r="75" spans="2:20" ht="39" customHeight="1" x14ac:dyDescent="0.3">
      <c r="B75" s="305">
        <v>5</v>
      </c>
      <c r="C75" s="310" t="s">
        <v>248</v>
      </c>
      <c r="D75" s="308" t="s">
        <v>268</v>
      </c>
      <c r="E75" s="206" t="s">
        <v>73</v>
      </c>
      <c r="F75" s="300" t="s">
        <v>107</v>
      </c>
      <c r="G75" s="300">
        <v>250</v>
      </c>
      <c r="H75" s="300">
        <v>219</v>
      </c>
      <c r="I75" s="292">
        <v>8.0491603629856723</v>
      </c>
      <c r="J75" s="292">
        <v>0.51065141871165642</v>
      </c>
      <c r="K75" s="296">
        <f>Inhalation_Exp[[#This Row],[TWA_High-End]]*IF(Inhalation_Exp[[#This Row],[Exposure Scenario]]="8-hr",ED_8,IF(Inhalation_Exp[[#This Row],[Exposure Scenario]]="10-hr",ED_10,ED_12))*WorkBreathRate/(WorkRestRate*AT)</f>
        <v>5.4756192945480766</v>
      </c>
      <c r="L75" s="240">
        <f>Inhalation_Exp[[#This Row],[TWA_Central Tendency]]*IF(Inhalation_Exp[[#This Row],[Exposure Scenario]]="8-hr",ED_8,IF(Inhalation_Exp[[#This Row],[Exposure Scenario]]="10-hr",ED_10,ED_12))*WorkBreathRate/(WorkRestRate*AT)</f>
        <v>0.34738191749092273</v>
      </c>
      <c r="M75" s="207">
        <f>IF(EFID&gt;Inhalation_Exp[[#This Row],[ED_High-End]],Inhalation_Exp[[#This Row],[24hr_High-End]]*Inhalation_Exp[[#This Row],[ED_High-End]]/ID,Inhalation_Exp[[#This Row],[24hr_High-End]]*EFID/ID)</f>
        <v>4.0154541493352562</v>
      </c>
      <c r="N75" s="217">
        <f>IF(EFID&gt;Inhalation_Exp[[#This Row],[ED_Central Tendency]],Inhalation_Exp[[#This Row],[24hr_Central Tendency]]*Inhalation_Exp[[#This Row],[ED_Central Tendency]]/ID,Inhalation_Exp[[#This Row],[24hr_Central Tendency]]*EFID/ID)</f>
        <v>0.25474673949334331</v>
      </c>
      <c r="O75" s="207">
        <f>Inhalation_Exp[[#This Row],[24hr_High-End]]*Inhalation_Exp[[#This Row],[ED_High-End]]*WY_high/(AT_ADC_high)</f>
        <v>3.750424174347998</v>
      </c>
      <c r="P75" s="217">
        <f>Inhalation_Exp[[#This Row],[24hr_Central Tendency]]*Inhalation_Exp[[#This Row],[ED_Central Tendency]]*WY_mid/(AT_ADC_mid)</f>
        <v>0.20842915049455363</v>
      </c>
      <c r="Q75" s="301">
        <v>24</v>
      </c>
      <c r="R75" s="300" t="s">
        <v>415</v>
      </c>
      <c r="S75" s="9" t="s">
        <v>423</v>
      </c>
      <c r="T75" s="302" t="s">
        <v>271</v>
      </c>
    </row>
    <row r="76" spans="2:20" ht="39" customHeight="1" x14ac:dyDescent="0.3">
      <c r="B76" s="305">
        <v>5</v>
      </c>
      <c r="C76" s="310" t="s">
        <v>248</v>
      </c>
      <c r="D76" s="308" t="s">
        <v>268</v>
      </c>
      <c r="E76" s="206" t="s">
        <v>73</v>
      </c>
      <c r="F76" s="300" t="s">
        <v>270</v>
      </c>
      <c r="G76" s="300">
        <v>250</v>
      </c>
      <c r="H76" s="300">
        <v>219</v>
      </c>
      <c r="I76" s="292">
        <v>2.1351067484662578</v>
      </c>
      <c r="J76" s="292">
        <v>0.91227288343558299</v>
      </c>
      <c r="K76" s="296">
        <f>Inhalation_Exp[[#This Row],[TWA_High-End]]*IF(Inhalation_Exp[[#This Row],[Exposure Scenario]]="8-hr",ED_8,IF(Inhalation_Exp[[#This Row],[Exposure Scenario]]="10-hr",ED_10,ED_12))*WorkBreathRate/(WorkRestRate*AT)</f>
        <v>1.8155669629815117</v>
      </c>
      <c r="L76" s="240">
        <f>Inhalation_Exp[[#This Row],[TWA_Central Tendency]]*IF(Inhalation_Exp[[#This Row],[Exposure Scenario]]="8-hr",ED_8,IF(Inhalation_Exp[[#This Row],[Exposure Scenario]]="10-hr",ED_10,ED_12))*WorkBreathRate/(WorkRestRate*AT)</f>
        <v>0.77574224781937307</v>
      </c>
      <c r="M76" s="207">
        <f>IF(EFID&gt;Inhalation_Exp[[#This Row],[ED_High-End]],Inhalation_Exp[[#This Row],[24hr_High-End]]*Inhalation_Exp[[#This Row],[ED_High-End]]/ID,Inhalation_Exp[[#This Row],[24hr_High-End]]*EFID/ID)</f>
        <v>1.3314157728531086</v>
      </c>
      <c r="N76" s="217">
        <f>IF(EFID&gt;Inhalation_Exp[[#This Row],[ED_Central Tendency]],Inhalation_Exp[[#This Row],[24hr_Central Tendency]]*Inhalation_Exp[[#This Row],[ED_Central Tendency]]/ID,Inhalation_Exp[[#This Row],[24hr_Central Tendency]]*EFID/ID)</f>
        <v>0.56887764840087351</v>
      </c>
      <c r="O76" s="207">
        <f>Inhalation_Exp[[#This Row],[24hr_High-End]]*Inhalation_Exp[[#This Row],[ED_High-End]]*WY_high/(AT_ADC_high)</f>
        <v>1.2435390157407613</v>
      </c>
      <c r="P76" s="217">
        <f>Inhalation_Exp[[#This Row],[24hr_Central Tendency]]*Inhalation_Exp[[#This Row],[ED_Central Tendency]]*WY_mid/(AT_ADC_mid)</f>
        <v>0.46544534869162379</v>
      </c>
      <c r="Q76" s="301">
        <v>5</v>
      </c>
      <c r="R76" s="300" t="s">
        <v>415</v>
      </c>
      <c r="S76" s="9" t="s">
        <v>423</v>
      </c>
      <c r="T76" s="302" t="s">
        <v>271</v>
      </c>
    </row>
    <row r="77" spans="2:20" ht="39" customHeight="1" x14ac:dyDescent="0.3">
      <c r="B77" s="305">
        <v>5</v>
      </c>
      <c r="C77" s="310" t="s">
        <v>248</v>
      </c>
      <c r="D77" s="308" t="s">
        <v>268</v>
      </c>
      <c r="E77" s="206" t="s">
        <v>73</v>
      </c>
      <c r="F77" s="300" t="s">
        <v>269</v>
      </c>
      <c r="G77" s="300">
        <v>250</v>
      </c>
      <c r="H77" s="300">
        <v>219</v>
      </c>
      <c r="I77" s="292">
        <v>1.8801003278800263</v>
      </c>
      <c r="J77" s="292">
        <v>0.18459777096114521</v>
      </c>
      <c r="K77" s="296">
        <f>Inhalation_Exp[[#This Row],[TWA_High-End]]*IF(Inhalation_Exp[[#This Row],[Exposure Scenario]]="8-hr",ED_8,IF(Inhalation_Exp[[#This Row],[Exposure Scenario]]="10-hr",ED_10,ED_12))*WorkBreathRate/(WorkRestRate*AT)</f>
        <v>1.9184697223265577</v>
      </c>
      <c r="L77" s="240">
        <f>Inhalation_Exp[[#This Row],[TWA_Central Tendency]]*IF(Inhalation_Exp[[#This Row],[Exposure Scenario]]="8-hr",ED_8,IF(Inhalation_Exp[[#This Row],[Exposure Scenario]]="10-hr",ED_10,ED_12))*WorkBreathRate/(WorkRestRate*AT)</f>
        <v>0.18836507240933181</v>
      </c>
      <c r="M77" s="207">
        <f>IF(EFID&gt;Inhalation_Exp[[#This Row],[ED_High-End]],Inhalation_Exp[[#This Row],[24hr_High-End]]*Inhalation_Exp[[#This Row],[ED_High-End]]/ID,Inhalation_Exp[[#This Row],[24hr_High-End]]*EFID/ID)</f>
        <v>1.406877796372809</v>
      </c>
      <c r="N77" s="217">
        <f>IF(EFID&gt;Inhalation_Exp[[#This Row],[ED_Central Tendency]],Inhalation_Exp[[#This Row],[24hr_Central Tendency]]*Inhalation_Exp[[#This Row],[ED_Central Tendency]]/ID,Inhalation_Exp[[#This Row],[24hr_Central Tendency]]*EFID/ID)</f>
        <v>0.13813438643351</v>
      </c>
      <c r="O77" s="207">
        <f>Inhalation_Exp[[#This Row],[24hr_High-End]]*Inhalation_Exp[[#This Row],[ED_High-End]]*WY_high/(AT_ADC_high)</f>
        <v>1.3140203577579164</v>
      </c>
      <c r="P77" s="217">
        <f>Inhalation_Exp[[#This Row],[24hr_Central Tendency]]*Inhalation_Exp[[#This Row],[ED_Central Tendency]]*WY_mid/(AT_ADC_mid)</f>
        <v>0.11301904344559908</v>
      </c>
      <c r="Q77" s="301">
        <v>8</v>
      </c>
      <c r="R77" s="300" t="s">
        <v>415</v>
      </c>
      <c r="S77" s="9" t="s">
        <v>423</v>
      </c>
      <c r="T77" s="302" t="s">
        <v>271</v>
      </c>
    </row>
    <row r="78" spans="2:20" ht="39" customHeight="1" x14ac:dyDescent="0.3">
      <c r="B78" s="306">
        <v>6</v>
      </c>
      <c r="C78" s="293" t="s">
        <v>282</v>
      </c>
      <c r="D78" s="308" t="s">
        <v>263</v>
      </c>
      <c r="E78" s="206" t="s">
        <v>54</v>
      </c>
      <c r="F78" s="300" t="s">
        <v>107</v>
      </c>
      <c r="G78" s="300">
        <v>250</v>
      </c>
      <c r="H78" s="300">
        <v>246</v>
      </c>
      <c r="I78" s="292">
        <v>0.30328220858895705</v>
      </c>
      <c r="J78" s="292">
        <v>0.30328220858895705</v>
      </c>
      <c r="K78" s="296">
        <f>Inhalation_Exp[[#This Row],[TWA_High-End]]*IF(Inhalation_Exp[[#This Row],[Exposure Scenario]]="8-hr",ED_8,IF(Inhalation_Exp[[#This Row],[Exposure Scenario]]="10-hr",ED_10,ED_12))*WorkBreathRate/(WorkRestRate*AT)</f>
        <v>0.2063144276115354</v>
      </c>
      <c r="L78" s="240">
        <f>Inhalation_Exp[[#This Row],[TWA_Central Tendency]]*IF(Inhalation_Exp[[#This Row],[Exposure Scenario]]="8-hr",ED_8,IF(Inhalation_Exp[[#This Row],[Exposure Scenario]]="10-hr",ED_10,ED_12))*WorkBreathRate/(WorkRestRate*AT)</f>
        <v>0.2063144276115354</v>
      </c>
      <c r="M78" s="292">
        <f>IF(EFID&gt;Inhalation_Exp[[#This Row],[ED_High-End]],Inhalation_Exp[[#This Row],[24hr_High-End]]*Inhalation_Exp[[#This Row],[ED_High-End]]/ID,Inhalation_Exp[[#This Row],[24hr_High-End]]*EFID/ID)</f>
        <v>0.15129724691512597</v>
      </c>
      <c r="N78" s="292">
        <f>IF(EFID&gt;Inhalation_Exp[[#This Row],[ED_Central Tendency]],Inhalation_Exp[[#This Row],[24hr_Central Tendency]]*Inhalation_Exp[[#This Row],[ED_Central Tendency]]/ID,Inhalation_Exp[[#This Row],[24hr_Central Tendency]]*EFID/ID)</f>
        <v>0.15129724691512597</v>
      </c>
      <c r="O78" s="207">
        <f>Inhalation_Exp[[#This Row],[24hr_High-End]]*Inhalation_Exp[[#This Row],[ED_High-End]]*WY_high/(AT_ADC_high)</f>
        <v>0.14131125178872286</v>
      </c>
      <c r="P78" s="207">
        <f>Inhalation_Exp[[#This Row],[24hr_Central Tendency]]*Inhalation_Exp[[#This Row],[ED_Central Tendency]]*WY_mid/(AT_ADC_mid)</f>
        <v>0.13905027176010332</v>
      </c>
      <c r="Q78" s="301">
        <v>1</v>
      </c>
      <c r="R78" s="300" t="s">
        <v>415</v>
      </c>
      <c r="S78" s="9" t="s">
        <v>423</v>
      </c>
      <c r="T78" s="302" t="s">
        <v>271</v>
      </c>
    </row>
    <row r="79" spans="2:20" ht="39" customHeight="1" x14ac:dyDescent="0.3">
      <c r="B79" s="306">
        <v>6</v>
      </c>
      <c r="C79" s="293" t="s">
        <v>282</v>
      </c>
      <c r="D79" s="308" t="s">
        <v>264</v>
      </c>
      <c r="E79" s="206" t="s">
        <v>73</v>
      </c>
      <c r="F79" s="300" t="s">
        <v>107</v>
      </c>
      <c r="G79" s="300">
        <v>250</v>
      </c>
      <c r="H79" s="300">
        <v>246</v>
      </c>
      <c r="I79" s="292">
        <v>9.705030674846622</v>
      </c>
      <c r="J79" s="292">
        <v>2.9115092024539879</v>
      </c>
      <c r="K79" s="296">
        <f>Inhalation_Exp[[#This Row],[TWA_High-End]]*IF(Inhalation_Exp[[#This Row],[Exposure Scenario]]="8-hr",ED_8,IF(Inhalation_Exp[[#This Row],[Exposure Scenario]]="10-hr",ED_10,ED_12))*WorkBreathRate/(WorkRestRate*AT)</f>
        <v>6.602061683569131</v>
      </c>
      <c r="L79" s="240">
        <f>Inhalation_Exp[[#This Row],[TWA_Central Tendency]]*IF(Inhalation_Exp[[#This Row],[Exposure Scenario]]="8-hr",ED_8,IF(Inhalation_Exp[[#This Row],[Exposure Scenario]]="10-hr",ED_10,ED_12))*WorkBreathRate/(WorkRestRate*AT)</f>
        <v>1.9806185050707401</v>
      </c>
      <c r="M79" s="292">
        <f>IF(EFID&gt;Inhalation_Exp[[#This Row],[ED_High-End]],Inhalation_Exp[[#This Row],[24hr_High-End]]*Inhalation_Exp[[#This Row],[ED_High-End]]/ID,Inhalation_Exp[[#This Row],[24hr_High-End]]*EFID/ID)</f>
        <v>4.8415119012840302</v>
      </c>
      <c r="N79" s="292">
        <f>IF(EFID&gt;Inhalation_Exp[[#This Row],[ED_Central Tendency]],Inhalation_Exp[[#This Row],[24hr_Central Tendency]]*Inhalation_Exp[[#This Row],[ED_Central Tendency]]/ID,Inhalation_Exp[[#This Row],[24hr_Central Tendency]]*EFID/ID)</f>
        <v>1.4524535703852095</v>
      </c>
      <c r="O79" s="207">
        <f>Inhalation_Exp[[#This Row],[24hr_High-End]]*Inhalation_Exp[[#This Row],[ED_High-End]]*WY_high/(AT_ADC_high)</f>
        <v>4.5219600572391307</v>
      </c>
      <c r="P79" s="207">
        <f>Inhalation_Exp[[#This Row],[24hr_Central Tendency]]*Inhalation_Exp[[#This Row],[ED_Central Tendency]]*WY_mid/(AT_ADC_mid)</f>
        <v>1.3348826088969921</v>
      </c>
      <c r="Q79" s="301">
        <v>17</v>
      </c>
      <c r="R79" s="300" t="s">
        <v>415</v>
      </c>
      <c r="S79" s="9" t="s">
        <v>423</v>
      </c>
      <c r="T79" s="302" t="s">
        <v>271</v>
      </c>
    </row>
    <row r="80" spans="2:20" ht="39" customHeight="1" x14ac:dyDescent="0.3">
      <c r="B80" s="306">
        <v>6</v>
      </c>
      <c r="C80" s="293" t="s">
        <v>282</v>
      </c>
      <c r="D80" s="308" t="s">
        <v>265</v>
      </c>
      <c r="E80" s="206" t="s">
        <v>73</v>
      </c>
      <c r="F80" s="300" t="s">
        <v>107</v>
      </c>
      <c r="G80" s="300">
        <v>250</v>
      </c>
      <c r="H80" s="300">
        <v>246</v>
      </c>
      <c r="I80" s="292">
        <v>46.705460122699385</v>
      </c>
      <c r="J80" s="292">
        <v>0.24262576687116569</v>
      </c>
      <c r="K80" s="296">
        <f>Inhalation_Exp[[#This Row],[TWA_High-End]]*IF(Inhalation_Exp[[#This Row],[Exposure Scenario]]="8-hr",ED_8,IF(Inhalation_Exp[[#This Row],[Exposure Scenario]]="10-hr",ED_10,ED_12))*WorkBreathRate/(WorkRestRate*AT)</f>
        <v>31.77242185217645</v>
      </c>
      <c r="L80" s="240">
        <f>Inhalation_Exp[[#This Row],[TWA_Central Tendency]]*IF(Inhalation_Exp[[#This Row],[Exposure Scenario]]="8-hr",ED_8,IF(Inhalation_Exp[[#This Row],[Exposure Scenario]]="10-hr",ED_10,ED_12))*WorkBreathRate/(WorkRestRate*AT)</f>
        <v>0.16505154208922834</v>
      </c>
      <c r="M80" s="292">
        <f>IF(EFID&gt;Inhalation_Exp[[#This Row],[ED_High-End]],Inhalation_Exp[[#This Row],[24hr_High-End]]*Inhalation_Exp[[#This Row],[ED_High-End]]/ID,Inhalation_Exp[[#This Row],[24hr_High-End]]*EFID/ID)</f>
        <v>23.299776024929397</v>
      </c>
      <c r="N80" s="292">
        <f>IF(EFID&gt;Inhalation_Exp[[#This Row],[ED_Central Tendency]],Inhalation_Exp[[#This Row],[24hr_Central Tendency]]*Inhalation_Exp[[#This Row],[ED_Central Tendency]]/ID,Inhalation_Exp[[#This Row],[24hr_Central Tendency]]*EFID/ID)</f>
        <v>0.1210377975321008</v>
      </c>
      <c r="O80" s="207">
        <f>Inhalation_Exp[[#This Row],[24hr_High-End]]*Inhalation_Exp[[#This Row],[ED_High-End]]*WY_high/(AT_ADC_high)</f>
        <v>21.761932775463322</v>
      </c>
      <c r="P80" s="207">
        <f>Inhalation_Exp[[#This Row],[24hr_Central Tendency]]*Inhalation_Exp[[#This Row],[ED_Central Tendency]]*WY_mid/(AT_ADC_mid)</f>
        <v>0.11124021740808267</v>
      </c>
      <c r="Q80" s="301">
        <v>3</v>
      </c>
      <c r="R80" s="300" t="s">
        <v>415</v>
      </c>
      <c r="S80" s="9" t="s">
        <v>423</v>
      </c>
      <c r="T80" s="302" t="s">
        <v>272</v>
      </c>
    </row>
    <row r="81" spans="2:20" ht="39" customHeight="1" x14ac:dyDescent="0.3">
      <c r="B81" s="306">
        <v>6</v>
      </c>
      <c r="C81" s="293" t="s">
        <v>282</v>
      </c>
      <c r="D81" s="308" t="s">
        <v>266</v>
      </c>
      <c r="E81" s="206" t="s">
        <v>73</v>
      </c>
      <c r="F81" s="300" t="s">
        <v>269</v>
      </c>
      <c r="G81" s="300">
        <v>250</v>
      </c>
      <c r="H81" s="300">
        <v>246</v>
      </c>
      <c r="I81" s="292">
        <v>3.42361806066803</v>
      </c>
      <c r="J81" s="292">
        <v>0.33305441206543968</v>
      </c>
      <c r="K81" s="296">
        <f>Inhalation_Exp[[#This Row],[TWA_High-End]]*IF(Inhalation_Exp[[#This Row],[Exposure Scenario]]="8-hr",ED_8,IF(Inhalation_Exp[[#This Row],[Exposure Scenario]]="10-hr",ED_10,ED_12))*WorkBreathRate/(WorkRestRate*AT)</f>
        <v>3.4934878170081936</v>
      </c>
      <c r="L81" s="240">
        <f>Inhalation_Exp[[#This Row],[TWA_Central Tendency]]*IF(Inhalation_Exp[[#This Row],[Exposure Scenario]]="8-hr",ED_8,IF(Inhalation_Exp[[#This Row],[Exposure Scenario]]="10-hr",ED_10,ED_12))*WorkBreathRate/(WorkRestRate*AT)</f>
        <v>0.33985144088310165</v>
      </c>
      <c r="M81" s="292">
        <f>IF(EFID&gt;Inhalation_Exp[[#This Row],[ED_High-End]],Inhalation_Exp[[#This Row],[24hr_High-End]]*Inhalation_Exp[[#This Row],[ED_High-End]]/ID,Inhalation_Exp[[#This Row],[24hr_High-End]]*EFID/ID)</f>
        <v>2.5618910658060088</v>
      </c>
      <c r="N81" s="292">
        <f>IF(EFID&gt;Inhalation_Exp[[#This Row],[ED_Central Tendency]],Inhalation_Exp[[#This Row],[24hr_Central Tendency]]*Inhalation_Exp[[#This Row],[ED_Central Tendency]]/ID,Inhalation_Exp[[#This Row],[24hr_Central Tendency]]*EFID/ID)</f>
        <v>0.24922438998094121</v>
      </c>
      <c r="O81" s="207">
        <f>Inhalation_Exp[[#This Row],[24hr_High-End]]*Inhalation_Exp[[#This Row],[ED_High-End]]*WY_high/(AT_ADC_high)</f>
        <v>2.392799874663146</v>
      </c>
      <c r="P81" s="207">
        <f>Inhalation_Exp[[#This Row],[24hr_Central Tendency]]*Inhalation_Exp[[#This Row],[ED_Central Tendency]]*WY_mid/(AT_ADC_mid)</f>
        <v>0.22905056015683015</v>
      </c>
      <c r="Q81" s="301">
        <v>11</v>
      </c>
      <c r="R81" s="300" t="s">
        <v>415</v>
      </c>
      <c r="S81" s="9" t="s">
        <v>423</v>
      </c>
      <c r="T81" s="302" t="s">
        <v>271</v>
      </c>
    </row>
    <row r="82" spans="2:20" ht="39" customHeight="1" x14ac:dyDescent="0.3">
      <c r="B82" s="306">
        <v>6</v>
      </c>
      <c r="C82" s="293" t="s">
        <v>282</v>
      </c>
      <c r="D82" s="308" t="s">
        <v>267</v>
      </c>
      <c r="E82" s="206" t="s">
        <v>73</v>
      </c>
      <c r="F82" s="300" t="s">
        <v>107</v>
      </c>
      <c r="G82" s="300">
        <v>250</v>
      </c>
      <c r="H82" s="300">
        <v>246</v>
      </c>
      <c r="I82" s="292">
        <v>0.15770674846625768</v>
      </c>
      <c r="J82" s="292">
        <v>0.15770674846625768</v>
      </c>
      <c r="K82" s="296">
        <f>Inhalation_Exp[[#This Row],[TWA_High-End]]*IF(Inhalation_Exp[[#This Row],[Exposure Scenario]]="8-hr",ED_8,IF(Inhalation_Exp[[#This Row],[Exposure Scenario]]="10-hr",ED_10,ED_12))*WorkBreathRate/(WorkRestRate*AT)</f>
        <v>0.10728350235799841</v>
      </c>
      <c r="L82" s="240">
        <f>Inhalation_Exp[[#This Row],[TWA_Central Tendency]]*IF(Inhalation_Exp[[#This Row],[Exposure Scenario]]="8-hr",ED_8,IF(Inhalation_Exp[[#This Row],[Exposure Scenario]]="10-hr",ED_10,ED_12))*WorkBreathRate/(WorkRestRate*AT)</f>
        <v>0.10728350235799841</v>
      </c>
      <c r="M82" s="292">
        <f>IF(EFID&gt;Inhalation_Exp[[#This Row],[ED_High-End]],Inhalation_Exp[[#This Row],[24hr_High-End]]*Inhalation_Exp[[#This Row],[ED_High-End]]/ID,Inhalation_Exp[[#This Row],[24hr_High-End]]*EFID/ID)</f>
        <v>7.8674568395865493E-2</v>
      </c>
      <c r="N82" s="292">
        <f>IF(EFID&gt;Inhalation_Exp[[#This Row],[ED_Central Tendency]],Inhalation_Exp[[#This Row],[24hr_Central Tendency]]*Inhalation_Exp[[#This Row],[ED_Central Tendency]]/ID,Inhalation_Exp[[#This Row],[24hr_Central Tendency]]*EFID/ID)</f>
        <v>7.8674568395865493E-2</v>
      </c>
      <c r="O82" s="207">
        <f>Inhalation_Exp[[#This Row],[24hr_High-End]]*Inhalation_Exp[[#This Row],[ED_High-End]]*WY_high/(AT_ADC_high)</f>
        <v>7.34818509301359E-2</v>
      </c>
      <c r="P82" s="207">
        <f>Inhalation_Exp[[#This Row],[24hr_Central Tendency]]*Inhalation_Exp[[#This Row],[ED_Central Tendency]]*WY_mid/(AT_ADC_mid)</f>
        <v>7.230614131525373E-2</v>
      </c>
      <c r="Q82" s="301">
        <v>1</v>
      </c>
      <c r="R82" s="300" t="s">
        <v>415</v>
      </c>
      <c r="S82" s="9" t="s">
        <v>423</v>
      </c>
      <c r="T82" s="302" t="s">
        <v>271</v>
      </c>
    </row>
    <row r="83" spans="2:20" ht="39" customHeight="1" x14ac:dyDescent="0.3">
      <c r="B83" s="306">
        <v>6</v>
      </c>
      <c r="C83" s="293" t="s">
        <v>282</v>
      </c>
      <c r="D83" s="308" t="s">
        <v>268</v>
      </c>
      <c r="E83" s="206" t="s">
        <v>73</v>
      </c>
      <c r="F83" s="300" t="s">
        <v>107</v>
      </c>
      <c r="G83" s="300">
        <v>250</v>
      </c>
      <c r="H83" s="300">
        <v>246</v>
      </c>
      <c r="I83" s="292">
        <v>8.0491603629856723</v>
      </c>
      <c r="J83" s="292">
        <v>0.51065141871165642</v>
      </c>
      <c r="K83" s="296">
        <f>Inhalation_Exp[[#This Row],[TWA_High-End]]*IF(Inhalation_Exp[[#This Row],[Exposure Scenario]]="8-hr",ED_8,IF(Inhalation_Exp[[#This Row],[Exposure Scenario]]="10-hr",ED_10,ED_12))*WorkBreathRate/(WorkRestRate*AT)</f>
        <v>5.4756192945480766</v>
      </c>
      <c r="L83" s="240">
        <f>Inhalation_Exp[[#This Row],[TWA_Central Tendency]]*IF(Inhalation_Exp[[#This Row],[Exposure Scenario]]="8-hr",ED_8,IF(Inhalation_Exp[[#This Row],[Exposure Scenario]]="10-hr",ED_10,ED_12))*WorkBreathRate/(WorkRestRate*AT)</f>
        <v>0.34738191749092273</v>
      </c>
      <c r="M83" s="292">
        <f>IF(EFID&gt;Inhalation_Exp[[#This Row],[ED_High-End]],Inhalation_Exp[[#This Row],[24hr_High-End]]*Inhalation_Exp[[#This Row],[ED_High-End]]/ID,Inhalation_Exp[[#This Row],[24hr_High-End]]*EFID/ID)</f>
        <v>4.0154541493352562</v>
      </c>
      <c r="N83" s="292">
        <f>IF(EFID&gt;Inhalation_Exp[[#This Row],[ED_Central Tendency]],Inhalation_Exp[[#This Row],[24hr_Central Tendency]]*Inhalation_Exp[[#This Row],[ED_Central Tendency]]/ID,Inhalation_Exp[[#This Row],[24hr_Central Tendency]]*EFID/ID)</f>
        <v>0.25474673949334331</v>
      </c>
      <c r="O83" s="207">
        <f>Inhalation_Exp[[#This Row],[24hr_High-End]]*Inhalation_Exp[[#This Row],[ED_High-End]]*WY_high/(AT_ADC_high)</f>
        <v>3.750424174347998</v>
      </c>
      <c r="P83" s="207">
        <f>Inhalation_Exp[[#This Row],[24hr_Central Tendency]]*Inhalation_Exp[[#This Row],[ED_Central Tendency]]*WY_mid/(AT_ADC_mid)</f>
        <v>0.23412589507607395</v>
      </c>
      <c r="Q83" s="301">
        <v>24</v>
      </c>
      <c r="R83" s="300" t="s">
        <v>415</v>
      </c>
      <c r="S83" s="9" t="s">
        <v>423</v>
      </c>
      <c r="T83" s="302" t="s">
        <v>271</v>
      </c>
    </row>
    <row r="84" spans="2:20" ht="39" customHeight="1" x14ac:dyDescent="0.3">
      <c r="B84" s="306">
        <v>6</v>
      </c>
      <c r="C84" s="293" t="s">
        <v>282</v>
      </c>
      <c r="D84" s="308" t="s">
        <v>268</v>
      </c>
      <c r="E84" s="206" t="s">
        <v>73</v>
      </c>
      <c r="F84" s="300" t="s">
        <v>270</v>
      </c>
      <c r="G84" s="300">
        <v>250</v>
      </c>
      <c r="H84" s="300">
        <v>246</v>
      </c>
      <c r="I84" s="292">
        <v>2.1351067484662578</v>
      </c>
      <c r="J84" s="292">
        <v>0.91227288343558299</v>
      </c>
      <c r="K84" s="296">
        <f>Inhalation_Exp[[#This Row],[TWA_High-End]]*IF(Inhalation_Exp[[#This Row],[Exposure Scenario]]="8-hr",ED_8,IF(Inhalation_Exp[[#This Row],[Exposure Scenario]]="10-hr",ED_10,ED_12))*WorkBreathRate/(WorkRestRate*AT)</f>
        <v>1.8155669629815117</v>
      </c>
      <c r="L84" s="240">
        <f>Inhalation_Exp[[#This Row],[TWA_Central Tendency]]*IF(Inhalation_Exp[[#This Row],[Exposure Scenario]]="8-hr",ED_8,IF(Inhalation_Exp[[#This Row],[Exposure Scenario]]="10-hr",ED_10,ED_12))*WorkBreathRate/(WorkRestRate*AT)</f>
        <v>0.77574224781937307</v>
      </c>
      <c r="M84" s="292">
        <f>IF(EFID&gt;Inhalation_Exp[[#This Row],[ED_High-End]],Inhalation_Exp[[#This Row],[24hr_High-End]]*Inhalation_Exp[[#This Row],[ED_High-End]]/ID,Inhalation_Exp[[#This Row],[24hr_High-End]]*EFID/ID)</f>
        <v>1.3314157728531086</v>
      </c>
      <c r="N84" s="292">
        <f>IF(EFID&gt;Inhalation_Exp[[#This Row],[ED_Central Tendency]],Inhalation_Exp[[#This Row],[24hr_Central Tendency]]*Inhalation_Exp[[#This Row],[ED_Central Tendency]]/ID,Inhalation_Exp[[#This Row],[24hr_Central Tendency]]*EFID/ID)</f>
        <v>0.56887764840087351</v>
      </c>
      <c r="O84" s="207">
        <f>Inhalation_Exp[[#This Row],[24hr_High-End]]*Inhalation_Exp[[#This Row],[ED_High-End]]*WY_high/(AT_ADC_high)</f>
        <v>1.2435390157407613</v>
      </c>
      <c r="P84" s="207">
        <f>Inhalation_Exp[[#This Row],[24hr_Central Tendency]]*Inhalation_Exp[[#This Row],[ED_Central Tendency]]*WY_mid/(AT_ADC_mid)</f>
        <v>0.52282902181798852</v>
      </c>
      <c r="Q84" s="301">
        <v>5</v>
      </c>
      <c r="R84" s="300" t="s">
        <v>415</v>
      </c>
      <c r="S84" s="9" t="s">
        <v>423</v>
      </c>
      <c r="T84" s="302" t="s">
        <v>271</v>
      </c>
    </row>
    <row r="85" spans="2:20" ht="39" customHeight="1" x14ac:dyDescent="0.3">
      <c r="B85" s="306">
        <v>6</v>
      </c>
      <c r="C85" s="293" t="s">
        <v>282</v>
      </c>
      <c r="D85" s="308" t="s">
        <v>268</v>
      </c>
      <c r="E85" s="206" t="s">
        <v>73</v>
      </c>
      <c r="F85" s="300" t="s">
        <v>269</v>
      </c>
      <c r="G85" s="300">
        <v>250</v>
      </c>
      <c r="H85" s="300">
        <v>246</v>
      </c>
      <c r="I85" s="292">
        <v>1.8801003278800263</v>
      </c>
      <c r="J85" s="292">
        <v>0.18459777096114521</v>
      </c>
      <c r="K85" s="296">
        <f>Inhalation_Exp[[#This Row],[TWA_High-End]]*IF(Inhalation_Exp[[#This Row],[Exposure Scenario]]="8-hr",ED_8,IF(Inhalation_Exp[[#This Row],[Exposure Scenario]]="10-hr",ED_10,ED_12))*WorkBreathRate/(WorkRestRate*AT)</f>
        <v>1.9184697223265577</v>
      </c>
      <c r="L85" s="240">
        <f>Inhalation_Exp[[#This Row],[TWA_Central Tendency]]*IF(Inhalation_Exp[[#This Row],[Exposure Scenario]]="8-hr",ED_8,IF(Inhalation_Exp[[#This Row],[Exposure Scenario]]="10-hr",ED_10,ED_12))*WorkBreathRate/(WorkRestRate*AT)</f>
        <v>0.18836507240933181</v>
      </c>
      <c r="M85" s="292">
        <f>IF(EFID&gt;Inhalation_Exp[[#This Row],[ED_High-End]],Inhalation_Exp[[#This Row],[24hr_High-End]]*Inhalation_Exp[[#This Row],[ED_High-End]]/ID,Inhalation_Exp[[#This Row],[24hr_High-End]]*EFID/ID)</f>
        <v>1.406877796372809</v>
      </c>
      <c r="N85" s="292">
        <f>IF(EFID&gt;Inhalation_Exp[[#This Row],[ED_Central Tendency]],Inhalation_Exp[[#This Row],[24hr_Central Tendency]]*Inhalation_Exp[[#This Row],[ED_Central Tendency]]/ID,Inhalation_Exp[[#This Row],[24hr_Central Tendency]]*EFID/ID)</f>
        <v>0.13813438643351</v>
      </c>
      <c r="O85" s="207">
        <f>Inhalation_Exp[[#This Row],[24hr_High-End]]*Inhalation_Exp[[#This Row],[ED_High-End]]*WY_high/(AT_ADC_high)</f>
        <v>1.3140203577579164</v>
      </c>
      <c r="P85" s="207">
        <f>Inhalation_Exp[[#This Row],[24hr_Central Tendency]]*Inhalation_Exp[[#This Row],[ED_Central Tendency]]*WY_mid/(AT_ADC_mid)</f>
        <v>0.1269528981169743</v>
      </c>
      <c r="Q85" s="301">
        <v>8</v>
      </c>
      <c r="R85" s="300" t="s">
        <v>415</v>
      </c>
      <c r="S85" s="9" t="s">
        <v>423</v>
      </c>
      <c r="T85" s="302" t="s">
        <v>271</v>
      </c>
    </row>
    <row r="86" spans="2:20" ht="65" x14ac:dyDescent="0.3">
      <c r="B86" s="306">
        <v>6</v>
      </c>
      <c r="C86" s="293" t="s">
        <v>285</v>
      </c>
      <c r="D86" s="308" t="s">
        <v>73</v>
      </c>
      <c r="E86" s="206" t="s">
        <v>73</v>
      </c>
      <c r="F86" s="300" t="s">
        <v>107</v>
      </c>
      <c r="G86" s="300">
        <v>250</v>
      </c>
      <c r="H86" s="300">
        <v>235</v>
      </c>
      <c r="I86" s="292">
        <v>1.203125</v>
      </c>
      <c r="J86" s="292">
        <v>6.4919010416666478E-2</v>
      </c>
      <c r="K86" s="296">
        <f>Inhalation_Exp[[#This Row],[TWA_High-End]]*IF(Inhalation_Exp[[#This Row],[Exposure Scenario]]="8-hr",ED_8,IF(Inhalation_Exp[[#This Row],[Exposure Scenario]]="10-hr",ED_10,ED_12))*WorkBreathRate/(WorkRestRate*AT)</f>
        <v>0.81845238095238093</v>
      </c>
      <c r="L86" s="240">
        <f>Inhalation_Exp[[#This Row],[TWA_Central Tendency]]*IF(Inhalation_Exp[[#This Row],[Exposure Scenario]]="8-hr",ED_8,IF(Inhalation_Exp[[#This Row],[Exposure Scenario]]="10-hr",ED_10,ED_12))*WorkBreathRate/(WorkRestRate*AT)</f>
        <v>4.4162592120181275E-2</v>
      </c>
      <c r="M86" s="292">
        <f>IF(EFID&gt;Inhalation_Exp[[#This Row],[ED_High-End]],Inhalation_Exp[[#This Row],[24hr_High-End]]*Inhalation_Exp[[#This Row],[ED_High-End]]/ID,Inhalation_Exp[[#This Row],[24hr_High-End]]*EFID/ID)</f>
        <v>0.60019841269841268</v>
      </c>
      <c r="N86" s="292">
        <f>IF(EFID&gt;Inhalation_Exp[[#This Row],[ED_Central Tendency]],Inhalation_Exp[[#This Row],[24hr_Central Tendency]]*Inhalation_Exp[[#This Row],[ED_Central Tendency]]/ID,Inhalation_Exp[[#This Row],[24hr_Central Tendency]]*EFID/ID)</f>
        <v>3.2385900888132937E-2</v>
      </c>
      <c r="O86" s="207">
        <f>Inhalation_Exp[[#This Row],[24hr_High-End]]*Inhalation_Exp[[#This Row],[ED_High-End]]*WY_high/(AT_ADC_high)</f>
        <v>0.56058382257012396</v>
      </c>
      <c r="P86" s="207">
        <f>Inhalation_Exp[[#This Row],[24hr_Central Tendency]]*Inhalation_Exp[[#This Row],[ED_Central Tendency]]*WY_mid/(AT_ADC_mid)</f>
        <v>2.8433449721212603E-2</v>
      </c>
      <c r="Q86" s="301">
        <v>0</v>
      </c>
      <c r="R86" s="300" t="s">
        <v>415</v>
      </c>
      <c r="S86" s="9" t="s">
        <v>419</v>
      </c>
      <c r="T86" s="302" t="s">
        <v>122</v>
      </c>
    </row>
    <row r="87" spans="2:20" ht="65" x14ac:dyDescent="0.3">
      <c r="B87" s="306">
        <v>6</v>
      </c>
      <c r="C87" s="293" t="s">
        <v>285</v>
      </c>
      <c r="D87" s="308" t="s">
        <v>54</v>
      </c>
      <c r="E87" s="206" t="s">
        <v>54</v>
      </c>
      <c r="F87" s="300" t="s">
        <v>107</v>
      </c>
      <c r="G87" s="300">
        <v>250</v>
      </c>
      <c r="H87" s="300">
        <v>235</v>
      </c>
      <c r="I87" s="292">
        <v>6.4919010416666478E-2</v>
      </c>
      <c r="J87" s="292">
        <v>6.4919010416666478E-2</v>
      </c>
      <c r="K87" s="296">
        <f>Inhalation_Exp[[#This Row],[TWA_High-End]]*IF(Inhalation_Exp[[#This Row],[Exposure Scenario]]="8-hr",ED_8,IF(Inhalation_Exp[[#This Row],[Exposure Scenario]]="10-hr",ED_10,ED_12))*WorkBreathRate/(WorkRestRate*AT)</f>
        <v>4.4162592120181275E-2</v>
      </c>
      <c r="L87" s="240">
        <f>Inhalation_Exp[[#This Row],[TWA_Central Tendency]]*IF(Inhalation_Exp[[#This Row],[Exposure Scenario]]="8-hr",ED_8,IF(Inhalation_Exp[[#This Row],[Exposure Scenario]]="10-hr",ED_10,ED_12))*WorkBreathRate/(WorkRestRate*AT)</f>
        <v>4.4162592120181275E-2</v>
      </c>
      <c r="M87" s="292">
        <f>IF(EFID&gt;Inhalation_Exp[[#This Row],[ED_High-End]],Inhalation_Exp[[#This Row],[24hr_High-End]]*Inhalation_Exp[[#This Row],[ED_High-End]]/ID,Inhalation_Exp[[#This Row],[24hr_High-End]]*EFID/ID)</f>
        <v>3.2385900888132937E-2</v>
      </c>
      <c r="N87" s="292">
        <f>IF(EFID&gt;Inhalation_Exp[[#This Row],[ED_Central Tendency]],Inhalation_Exp[[#This Row],[24hr_Central Tendency]]*Inhalation_Exp[[#This Row],[ED_Central Tendency]]/ID,Inhalation_Exp[[#This Row],[24hr_Central Tendency]]*EFID/ID)</f>
        <v>3.2385900888132937E-2</v>
      </c>
      <c r="O87" s="207">
        <f>Inhalation_Exp[[#This Row],[24hr_High-End]]*Inhalation_Exp[[#This Row],[ED_High-End]]*WY_high/(AT_ADC_high)</f>
        <v>3.0248350767247446E-2</v>
      </c>
      <c r="P87" s="207">
        <f>Inhalation_Exp[[#This Row],[24hr_Central Tendency]]*Inhalation_Exp[[#This Row],[ED_Central Tendency]]*WY_mid/(AT_ADC_mid)</f>
        <v>2.8433449721212603E-2</v>
      </c>
      <c r="Q87" s="301">
        <v>0</v>
      </c>
      <c r="R87" s="300" t="s">
        <v>415</v>
      </c>
      <c r="S87" s="9" t="s">
        <v>419</v>
      </c>
      <c r="T87" s="302" t="s">
        <v>122</v>
      </c>
    </row>
    <row r="88" spans="2:20" ht="52" x14ac:dyDescent="0.3">
      <c r="B88" s="306">
        <v>6</v>
      </c>
      <c r="C88" s="293" t="s">
        <v>283</v>
      </c>
      <c r="D88" s="308" t="s">
        <v>73</v>
      </c>
      <c r="E88" s="206" t="s">
        <v>73</v>
      </c>
      <c r="F88" s="300" t="s">
        <v>107</v>
      </c>
      <c r="G88" s="300">
        <v>250</v>
      </c>
      <c r="H88" s="300">
        <v>250</v>
      </c>
      <c r="I88" s="292">
        <v>0.10071065162477269</v>
      </c>
      <c r="J88" s="292">
        <v>2.9236314609467868E-2</v>
      </c>
      <c r="K88" s="296">
        <v>6.8510647363790964E-2</v>
      </c>
      <c r="L88" s="240">
        <v>1.988864939419583E-2</v>
      </c>
      <c r="M88" s="292">
        <v>5.0241141400113362E-2</v>
      </c>
      <c r="N88" s="292">
        <v>1.4585009555743607E-2</v>
      </c>
      <c r="O88" s="207">
        <v>4.6925100934103389E-2</v>
      </c>
      <c r="P88" s="207">
        <v>1.3622362598764266E-2</v>
      </c>
      <c r="Q88" s="301">
        <v>0</v>
      </c>
      <c r="R88" s="300" t="s">
        <v>415</v>
      </c>
      <c r="S88" s="9" t="s">
        <v>418</v>
      </c>
      <c r="T88" s="302" t="s">
        <v>122</v>
      </c>
    </row>
    <row r="89" spans="2:20" ht="52" x14ac:dyDescent="0.3">
      <c r="B89" s="306">
        <v>6</v>
      </c>
      <c r="C89" s="293" t="s">
        <v>283</v>
      </c>
      <c r="D89" s="308" t="s">
        <v>54</v>
      </c>
      <c r="E89" s="206" t="s">
        <v>54</v>
      </c>
      <c r="F89" s="300" t="s">
        <v>107</v>
      </c>
      <c r="G89" s="300">
        <v>250</v>
      </c>
      <c r="H89" s="300">
        <v>250</v>
      </c>
      <c r="I89" s="292">
        <v>4.215310943857976E-3</v>
      </c>
      <c r="J89" s="292">
        <v>5.36524587711278E-4</v>
      </c>
      <c r="K89" s="296">
        <v>2.8675584652095069E-3</v>
      </c>
      <c r="L89" s="240">
        <v>3.6498271272876058E-4</v>
      </c>
      <c r="M89" s="292">
        <v>2.1028762078203057E-3</v>
      </c>
      <c r="N89" s="292">
        <v>2.6765398933442441E-4</v>
      </c>
      <c r="O89" s="207">
        <v>1.9640811405544577E-3</v>
      </c>
      <c r="P89" s="207">
        <v>2.499881594032607E-4</v>
      </c>
      <c r="Q89" s="301">
        <v>0</v>
      </c>
      <c r="R89" s="300" t="s">
        <v>415</v>
      </c>
      <c r="S89" s="9" t="s">
        <v>418</v>
      </c>
      <c r="T89" s="302" t="s">
        <v>122</v>
      </c>
    </row>
    <row r="90" spans="2:20" ht="52" x14ac:dyDescent="0.3">
      <c r="B90" s="306">
        <v>6</v>
      </c>
      <c r="C90" s="293" t="s">
        <v>284</v>
      </c>
      <c r="D90" s="308" t="s">
        <v>73</v>
      </c>
      <c r="E90" s="206" t="s">
        <v>73</v>
      </c>
      <c r="F90" s="300" t="s">
        <v>107</v>
      </c>
      <c r="G90" s="300">
        <v>250</v>
      </c>
      <c r="H90" s="300">
        <v>250</v>
      </c>
      <c r="I90" s="292">
        <v>8.2850350350855031</v>
      </c>
      <c r="J90" s="292">
        <v>1.2430289061495272</v>
      </c>
      <c r="K90" s="296">
        <v>5.6360782551602071</v>
      </c>
      <c r="L90" s="240">
        <v>0.84559789533981444</v>
      </c>
      <c r="M90" s="292">
        <v>4.1331240537841518</v>
      </c>
      <c r="N90" s="292">
        <v>0.62010512324919731</v>
      </c>
      <c r="O90" s="207">
        <v>3.8603275720275398</v>
      </c>
      <c r="P90" s="207">
        <v>0.57917664064370855</v>
      </c>
      <c r="Q90" s="301">
        <v>0</v>
      </c>
      <c r="R90" s="300" t="s">
        <v>415</v>
      </c>
      <c r="S90" s="9" t="s">
        <v>418</v>
      </c>
      <c r="T90" s="302" t="s">
        <v>122</v>
      </c>
    </row>
    <row r="91" spans="2:20" ht="52" x14ac:dyDescent="0.3">
      <c r="B91" s="306">
        <v>6</v>
      </c>
      <c r="C91" s="293" t="s">
        <v>284</v>
      </c>
      <c r="D91" s="308" t="s">
        <v>54</v>
      </c>
      <c r="E91" s="206" t="s">
        <v>54</v>
      </c>
      <c r="F91" s="300" t="s">
        <v>107</v>
      </c>
      <c r="G91" s="300">
        <v>250</v>
      </c>
      <c r="H91" s="300">
        <v>250</v>
      </c>
      <c r="I91" s="292">
        <v>6.259067590426838</v>
      </c>
      <c r="J91" s="292">
        <v>0.70442756669698892</v>
      </c>
      <c r="K91" s="296">
        <v>4.2578691091339032</v>
      </c>
      <c r="L91" s="240">
        <v>0.47920242632448229</v>
      </c>
      <c r="M91" s="292">
        <v>3.1224373466981956</v>
      </c>
      <c r="N91" s="292">
        <v>0.35141511263795366</v>
      </c>
      <c r="O91" s="207">
        <v>2.9163487048862349</v>
      </c>
      <c r="P91" s="207">
        <v>0.32822083994827561</v>
      </c>
      <c r="Q91" s="301">
        <v>0</v>
      </c>
      <c r="R91" s="300" t="s">
        <v>415</v>
      </c>
      <c r="S91" s="9" t="s">
        <v>418</v>
      </c>
      <c r="T91" s="302" t="s">
        <v>122</v>
      </c>
    </row>
    <row r="92" spans="2:20" ht="78" x14ac:dyDescent="0.3">
      <c r="B92" s="306">
        <v>6</v>
      </c>
      <c r="C92" s="293" t="s">
        <v>250</v>
      </c>
      <c r="D92" s="308" t="s">
        <v>73</v>
      </c>
      <c r="E92" s="206" t="s">
        <v>73</v>
      </c>
      <c r="F92" s="300" t="s">
        <v>107</v>
      </c>
      <c r="G92" s="300">
        <v>250</v>
      </c>
      <c r="H92" s="300">
        <v>250</v>
      </c>
      <c r="I92" s="292">
        <v>8.5000000000000006E-2</v>
      </c>
      <c r="J92" s="292">
        <v>5.3999999999999994E-3</v>
      </c>
      <c r="K92" s="296">
        <f>Inhalation_Exp[[#This Row],[TWA_High-End]]*IF(Inhalation_Exp[[#This Row],[Exposure Scenario]]="8-hr",ED_8,IF(Inhalation_Exp[[#This Row],[Exposure Scenario]]="10-hr",ED_10,ED_12))*WorkBreathRate/(WorkRestRate*AT)</f>
        <v>5.7823129251700682E-2</v>
      </c>
      <c r="L92" s="240">
        <f>Inhalation_Exp[[#This Row],[TWA_Central Tendency]]*IF(Inhalation_Exp[[#This Row],[Exposure Scenario]]="8-hr",ED_8,IF(Inhalation_Exp[[#This Row],[Exposure Scenario]]="10-hr",ED_10,ED_12))*WorkBreathRate/(WorkRestRate*AT)</f>
        <v>3.6734693877551014E-3</v>
      </c>
      <c r="M92" s="292">
        <f>IF(EFID&gt;Inhalation_Exp[[#This Row],[ED_High-End]],Inhalation_Exp[[#This Row],[24hr_High-End]]*Inhalation_Exp[[#This Row],[ED_High-End]]/ID,Inhalation_Exp[[#This Row],[24hr_High-End]]*EFID/ID)</f>
        <v>4.2403628117913837E-2</v>
      </c>
      <c r="N92" s="292">
        <f>IF(EFID&gt;Inhalation_Exp[[#This Row],[ED_Central Tendency]],Inhalation_Exp[[#This Row],[24hr_Central Tendency]]*Inhalation_Exp[[#This Row],[ED_Central Tendency]]/ID,Inhalation_Exp[[#This Row],[24hr_Central Tendency]]*EFID/ID)</f>
        <v>2.6938775510204076E-3</v>
      </c>
      <c r="O92" s="207">
        <f>Inhalation_Exp[[#This Row],[24hr_High-End]]*Inhalation_Exp[[#This Row],[ED_High-End]]*WY_high/(AT_ADC_high)</f>
        <v>3.9604883049110057E-2</v>
      </c>
      <c r="P92" s="207">
        <f>Inhalation_Exp[[#This Row],[24hr_Central Tendency]]*Inhalation_Exp[[#This Row],[ED_Central Tendency]]*WY_mid/(AT_ADC_mid)</f>
        <v>2.5160749231199321E-3</v>
      </c>
      <c r="Q92" s="301">
        <v>0</v>
      </c>
      <c r="R92" s="300" t="s">
        <v>415</v>
      </c>
      <c r="S92" s="9" t="s">
        <v>417</v>
      </c>
      <c r="T92" s="302" t="s">
        <v>122</v>
      </c>
    </row>
    <row r="93" spans="2:20" ht="78" x14ac:dyDescent="0.3">
      <c r="B93" s="306">
        <v>6</v>
      </c>
      <c r="C93" s="293" t="s">
        <v>250</v>
      </c>
      <c r="D93" s="308" t="s">
        <v>54</v>
      </c>
      <c r="E93" s="206" t="s">
        <v>54</v>
      </c>
      <c r="F93" s="300" t="s">
        <v>107</v>
      </c>
      <c r="G93" s="300">
        <v>250</v>
      </c>
      <c r="H93" s="300">
        <v>250</v>
      </c>
      <c r="I93" s="292">
        <v>5.3999999999999994E-3</v>
      </c>
      <c r="J93" s="292">
        <v>5.3999999999999994E-3</v>
      </c>
      <c r="K93" s="296">
        <f>Inhalation_Exp[[#This Row],[TWA_High-End]]*IF(Inhalation_Exp[[#This Row],[Exposure Scenario]]="8-hr",ED_8,IF(Inhalation_Exp[[#This Row],[Exposure Scenario]]="10-hr",ED_10,ED_12))*WorkBreathRate/(WorkRestRate*AT)</f>
        <v>3.6734693877551014E-3</v>
      </c>
      <c r="L93" s="240">
        <f>Inhalation_Exp[[#This Row],[TWA_Central Tendency]]*IF(Inhalation_Exp[[#This Row],[Exposure Scenario]]="8-hr",ED_8,IF(Inhalation_Exp[[#This Row],[Exposure Scenario]]="10-hr",ED_10,ED_12))*WorkBreathRate/(WorkRestRate*AT)</f>
        <v>3.6734693877551014E-3</v>
      </c>
      <c r="M93" s="292">
        <f>IF(EFID&gt;Inhalation_Exp[[#This Row],[ED_High-End]],Inhalation_Exp[[#This Row],[24hr_High-End]]*Inhalation_Exp[[#This Row],[ED_High-End]]/ID,Inhalation_Exp[[#This Row],[24hr_High-End]]*EFID/ID)</f>
        <v>2.6938775510204076E-3</v>
      </c>
      <c r="N93" s="292">
        <f>IF(EFID&gt;Inhalation_Exp[[#This Row],[ED_Central Tendency]],Inhalation_Exp[[#This Row],[24hr_Central Tendency]]*Inhalation_Exp[[#This Row],[ED_Central Tendency]]/ID,Inhalation_Exp[[#This Row],[24hr_Central Tendency]]*EFID/ID)</f>
        <v>2.6938775510204076E-3</v>
      </c>
      <c r="O93" s="207">
        <f>Inhalation_Exp[[#This Row],[24hr_High-End]]*Inhalation_Exp[[#This Row],[ED_High-End]]*WY_high/(AT_ADC_high)</f>
        <v>2.5160749231199321E-3</v>
      </c>
      <c r="P93" s="207">
        <f>Inhalation_Exp[[#This Row],[24hr_Central Tendency]]*Inhalation_Exp[[#This Row],[ED_Central Tendency]]*WY_mid/(AT_ADC_mid)</f>
        <v>2.5160749231199321E-3</v>
      </c>
      <c r="Q93" s="301">
        <v>0</v>
      </c>
      <c r="R93" s="300" t="s">
        <v>415</v>
      </c>
      <c r="S93" s="9" t="s">
        <v>417</v>
      </c>
      <c r="T93" s="302" t="s">
        <v>122</v>
      </c>
    </row>
    <row r="94" spans="2:20" ht="39" customHeight="1" x14ac:dyDescent="0.3">
      <c r="B94" s="306">
        <v>7</v>
      </c>
      <c r="C94" s="293" t="s">
        <v>286</v>
      </c>
      <c r="D94" s="308" t="s">
        <v>263</v>
      </c>
      <c r="E94" s="206" t="s">
        <v>54</v>
      </c>
      <c r="F94" s="300" t="s">
        <v>107</v>
      </c>
      <c r="G94" s="300">
        <v>250</v>
      </c>
      <c r="H94" s="300">
        <v>246</v>
      </c>
      <c r="I94" s="292">
        <v>0.30328220858895705</v>
      </c>
      <c r="J94" s="292">
        <v>0.30328220858895705</v>
      </c>
      <c r="K94" s="296">
        <f>Inhalation_Exp[[#This Row],[TWA_High-End]]*IF(Inhalation_Exp[[#This Row],[Exposure Scenario]]="8-hr",ED_8,IF(Inhalation_Exp[[#This Row],[Exposure Scenario]]="10-hr",ED_10,ED_12))*WorkBreathRate/(WorkRestRate*AT)</f>
        <v>0.2063144276115354</v>
      </c>
      <c r="L94" s="240">
        <f>Inhalation_Exp[[#This Row],[TWA_Central Tendency]]*IF(Inhalation_Exp[[#This Row],[Exposure Scenario]]="8-hr",ED_8,IF(Inhalation_Exp[[#This Row],[Exposure Scenario]]="10-hr",ED_10,ED_12))*WorkBreathRate/(WorkRestRate*AT)</f>
        <v>0.2063144276115354</v>
      </c>
      <c r="M94" s="292">
        <f>IF(EFID&gt;Inhalation_Exp[[#This Row],[ED_High-End]],Inhalation_Exp[[#This Row],[24hr_High-End]]*Inhalation_Exp[[#This Row],[ED_High-End]]/ID,Inhalation_Exp[[#This Row],[24hr_High-End]]*EFID/ID)</f>
        <v>0.15129724691512597</v>
      </c>
      <c r="N94" s="292">
        <f>IF(EFID&gt;Inhalation_Exp[[#This Row],[ED_Central Tendency]],Inhalation_Exp[[#This Row],[24hr_Central Tendency]]*Inhalation_Exp[[#This Row],[ED_Central Tendency]]/ID,Inhalation_Exp[[#This Row],[24hr_Central Tendency]]*EFID/ID)</f>
        <v>0.15129724691512597</v>
      </c>
      <c r="O94" s="207">
        <f>Inhalation_Exp[[#This Row],[24hr_High-End]]*Inhalation_Exp[[#This Row],[ED_High-End]]*WY_high/(AT_ADC_high)</f>
        <v>0.14131125178872286</v>
      </c>
      <c r="P94" s="207">
        <f>Inhalation_Exp[[#This Row],[24hr_Central Tendency]]*Inhalation_Exp[[#This Row],[ED_Central Tendency]]*WY_mid/(AT_ADC_mid)</f>
        <v>0.13905027176010332</v>
      </c>
      <c r="Q94" s="301">
        <v>1</v>
      </c>
      <c r="R94" s="300" t="s">
        <v>415</v>
      </c>
      <c r="S94" s="9" t="s">
        <v>423</v>
      </c>
      <c r="T94" s="302" t="s">
        <v>271</v>
      </c>
    </row>
    <row r="95" spans="2:20" ht="39" customHeight="1" x14ac:dyDescent="0.3">
      <c r="B95" s="306">
        <v>7</v>
      </c>
      <c r="C95" s="293" t="s">
        <v>286</v>
      </c>
      <c r="D95" s="308" t="s">
        <v>264</v>
      </c>
      <c r="E95" s="206" t="s">
        <v>73</v>
      </c>
      <c r="F95" s="300" t="s">
        <v>107</v>
      </c>
      <c r="G95" s="300">
        <v>250</v>
      </c>
      <c r="H95" s="300">
        <v>246</v>
      </c>
      <c r="I95" s="292">
        <v>9.705030674846622</v>
      </c>
      <c r="J95" s="292">
        <v>2.9115092024539879</v>
      </c>
      <c r="K95" s="296">
        <f>Inhalation_Exp[[#This Row],[TWA_High-End]]*IF(Inhalation_Exp[[#This Row],[Exposure Scenario]]="8-hr",ED_8,IF(Inhalation_Exp[[#This Row],[Exposure Scenario]]="10-hr",ED_10,ED_12))*WorkBreathRate/(WorkRestRate*AT)</f>
        <v>6.602061683569131</v>
      </c>
      <c r="L95" s="240">
        <f>Inhalation_Exp[[#This Row],[TWA_Central Tendency]]*IF(Inhalation_Exp[[#This Row],[Exposure Scenario]]="8-hr",ED_8,IF(Inhalation_Exp[[#This Row],[Exposure Scenario]]="10-hr",ED_10,ED_12))*WorkBreathRate/(WorkRestRate*AT)</f>
        <v>1.9806185050707401</v>
      </c>
      <c r="M95" s="292">
        <f>IF(EFID&gt;Inhalation_Exp[[#This Row],[ED_High-End]],Inhalation_Exp[[#This Row],[24hr_High-End]]*Inhalation_Exp[[#This Row],[ED_High-End]]/ID,Inhalation_Exp[[#This Row],[24hr_High-End]]*EFID/ID)</f>
        <v>4.8415119012840302</v>
      </c>
      <c r="N95" s="292">
        <f>IF(EFID&gt;Inhalation_Exp[[#This Row],[ED_Central Tendency]],Inhalation_Exp[[#This Row],[24hr_Central Tendency]]*Inhalation_Exp[[#This Row],[ED_Central Tendency]]/ID,Inhalation_Exp[[#This Row],[24hr_Central Tendency]]*EFID/ID)</f>
        <v>1.4524535703852095</v>
      </c>
      <c r="O95" s="207">
        <f>Inhalation_Exp[[#This Row],[24hr_High-End]]*Inhalation_Exp[[#This Row],[ED_High-End]]*WY_high/(AT_ADC_high)</f>
        <v>4.5219600572391307</v>
      </c>
      <c r="P95" s="207">
        <f>Inhalation_Exp[[#This Row],[24hr_Central Tendency]]*Inhalation_Exp[[#This Row],[ED_Central Tendency]]*WY_mid/(AT_ADC_mid)</f>
        <v>1.3348826088969921</v>
      </c>
      <c r="Q95" s="301">
        <v>17</v>
      </c>
      <c r="R95" s="300" t="s">
        <v>415</v>
      </c>
      <c r="S95" s="9" t="s">
        <v>423</v>
      </c>
      <c r="T95" s="302" t="s">
        <v>271</v>
      </c>
    </row>
    <row r="96" spans="2:20" ht="39" customHeight="1" x14ac:dyDescent="0.3">
      <c r="B96" s="306">
        <v>7</v>
      </c>
      <c r="C96" s="293" t="s">
        <v>286</v>
      </c>
      <c r="D96" s="308" t="s">
        <v>265</v>
      </c>
      <c r="E96" s="206" t="s">
        <v>73</v>
      </c>
      <c r="F96" s="300" t="s">
        <v>107</v>
      </c>
      <c r="G96" s="300">
        <v>250</v>
      </c>
      <c r="H96" s="300">
        <v>246</v>
      </c>
      <c r="I96" s="292">
        <v>46.705460122699385</v>
      </c>
      <c r="J96" s="292">
        <v>0.24262576687116569</v>
      </c>
      <c r="K96" s="296">
        <f>Inhalation_Exp[[#This Row],[TWA_High-End]]*IF(Inhalation_Exp[[#This Row],[Exposure Scenario]]="8-hr",ED_8,IF(Inhalation_Exp[[#This Row],[Exposure Scenario]]="10-hr",ED_10,ED_12))*WorkBreathRate/(WorkRestRate*AT)</f>
        <v>31.77242185217645</v>
      </c>
      <c r="L96" s="240">
        <f>Inhalation_Exp[[#This Row],[TWA_Central Tendency]]*IF(Inhalation_Exp[[#This Row],[Exposure Scenario]]="8-hr",ED_8,IF(Inhalation_Exp[[#This Row],[Exposure Scenario]]="10-hr",ED_10,ED_12))*WorkBreathRate/(WorkRestRate*AT)</f>
        <v>0.16505154208922834</v>
      </c>
      <c r="M96" s="292">
        <f>IF(EFID&gt;Inhalation_Exp[[#This Row],[ED_High-End]],Inhalation_Exp[[#This Row],[24hr_High-End]]*Inhalation_Exp[[#This Row],[ED_High-End]]/ID,Inhalation_Exp[[#This Row],[24hr_High-End]]*EFID/ID)</f>
        <v>23.299776024929397</v>
      </c>
      <c r="N96" s="292">
        <f>IF(EFID&gt;Inhalation_Exp[[#This Row],[ED_Central Tendency]],Inhalation_Exp[[#This Row],[24hr_Central Tendency]]*Inhalation_Exp[[#This Row],[ED_Central Tendency]]/ID,Inhalation_Exp[[#This Row],[24hr_Central Tendency]]*EFID/ID)</f>
        <v>0.1210377975321008</v>
      </c>
      <c r="O96" s="207">
        <f>Inhalation_Exp[[#This Row],[24hr_High-End]]*Inhalation_Exp[[#This Row],[ED_High-End]]*WY_high/(AT_ADC_high)</f>
        <v>21.761932775463322</v>
      </c>
      <c r="P96" s="207">
        <f>Inhalation_Exp[[#This Row],[24hr_Central Tendency]]*Inhalation_Exp[[#This Row],[ED_Central Tendency]]*WY_mid/(AT_ADC_mid)</f>
        <v>0.11124021740808267</v>
      </c>
      <c r="Q96" s="301">
        <v>3</v>
      </c>
      <c r="R96" s="300" t="s">
        <v>415</v>
      </c>
      <c r="S96" s="9" t="s">
        <v>423</v>
      </c>
      <c r="T96" s="302" t="s">
        <v>272</v>
      </c>
    </row>
    <row r="97" spans="2:20" ht="39" customHeight="1" x14ac:dyDescent="0.3">
      <c r="B97" s="306">
        <v>7</v>
      </c>
      <c r="C97" s="293" t="s">
        <v>286</v>
      </c>
      <c r="D97" s="308" t="s">
        <v>266</v>
      </c>
      <c r="E97" s="206" t="s">
        <v>73</v>
      </c>
      <c r="F97" s="300" t="s">
        <v>269</v>
      </c>
      <c r="G97" s="300">
        <v>250</v>
      </c>
      <c r="H97" s="300">
        <v>246</v>
      </c>
      <c r="I97" s="292">
        <v>3.42361806066803</v>
      </c>
      <c r="J97" s="292">
        <v>0.33305441206543968</v>
      </c>
      <c r="K97" s="296">
        <f>Inhalation_Exp[[#This Row],[TWA_High-End]]*IF(Inhalation_Exp[[#This Row],[Exposure Scenario]]="8-hr",ED_8,IF(Inhalation_Exp[[#This Row],[Exposure Scenario]]="10-hr",ED_10,ED_12))*WorkBreathRate/(WorkRestRate*AT)</f>
        <v>3.4934878170081936</v>
      </c>
      <c r="L97" s="240">
        <f>Inhalation_Exp[[#This Row],[TWA_Central Tendency]]*IF(Inhalation_Exp[[#This Row],[Exposure Scenario]]="8-hr",ED_8,IF(Inhalation_Exp[[#This Row],[Exposure Scenario]]="10-hr",ED_10,ED_12))*WorkBreathRate/(WorkRestRate*AT)</f>
        <v>0.33985144088310165</v>
      </c>
      <c r="M97" s="292">
        <f>IF(EFID&gt;Inhalation_Exp[[#This Row],[ED_High-End]],Inhalation_Exp[[#This Row],[24hr_High-End]]*Inhalation_Exp[[#This Row],[ED_High-End]]/ID,Inhalation_Exp[[#This Row],[24hr_High-End]]*EFID/ID)</f>
        <v>2.5618910658060088</v>
      </c>
      <c r="N97" s="292">
        <f>IF(EFID&gt;Inhalation_Exp[[#This Row],[ED_Central Tendency]],Inhalation_Exp[[#This Row],[24hr_Central Tendency]]*Inhalation_Exp[[#This Row],[ED_Central Tendency]]/ID,Inhalation_Exp[[#This Row],[24hr_Central Tendency]]*EFID/ID)</f>
        <v>0.24922438998094121</v>
      </c>
      <c r="O97" s="207">
        <f>Inhalation_Exp[[#This Row],[24hr_High-End]]*Inhalation_Exp[[#This Row],[ED_High-End]]*WY_high/(AT_ADC_high)</f>
        <v>2.392799874663146</v>
      </c>
      <c r="P97" s="207">
        <f>Inhalation_Exp[[#This Row],[24hr_Central Tendency]]*Inhalation_Exp[[#This Row],[ED_Central Tendency]]*WY_mid/(AT_ADC_mid)</f>
        <v>0.22905056015683015</v>
      </c>
      <c r="Q97" s="301">
        <v>11</v>
      </c>
      <c r="R97" s="300" t="s">
        <v>415</v>
      </c>
      <c r="S97" s="9" t="s">
        <v>423</v>
      </c>
      <c r="T97" s="302" t="s">
        <v>271</v>
      </c>
    </row>
    <row r="98" spans="2:20" ht="39" customHeight="1" x14ac:dyDescent="0.3">
      <c r="B98" s="306">
        <v>7</v>
      </c>
      <c r="C98" s="293" t="s">
        <v>286</v>
      </c>
      <c r="D98" s="308" t="s">
        <v>267</v>
      </c>
      <c r="E98" s="206" t="s">
        <v>73</v>
      </c>
      <c r="F98" s="300" t="s">
        <v>107</v>
      </c>
      <c r="G98" s="300">
        <v>250</v>
      </c>
      <c r="H98" s="300">
        <v>246</v>
      </c>
      <c r="I98" s="292">
        <v>0.15770674846625768</v>
      </c>
      <c r="J98" s="292">
        <v>0.15770674846625768</v>
      </c>
      <c r="K98" s="296">
        <f>Inhalation_Exp[[#This Row],[TWA_High-End]]*IF(Inhalation_Exp[[#This Row],[Exposure Scenario]]="8-hr",ED_8,IF(Inhalation_Exp[[#This Row],[Exposure Scenario]]="10-hr",ED_10,ED_12))*WorkBreathRate/(WorkRestRate*AT)</f>
        <v>0.10728350235799841</v>
      </c>
      <c r="L98" s="240">
        <f>Inhalation_Exp[[#This Row],[TWA_Central Tendency]]*IF(Inhalation_Exp[[#This Row],[Exposure Scenario]]="8-hr",ED_8,IF(Inhalation_Exp[[#This Row],[Exposure Scenario]]="10-hr",ED_10,ED_12))*WorkBreathRate/(WorkRestRate*AT)</f>
        <v>0.10728350235799841</v>
      </c>
      <c r="M98" s="292">
        <f>IF(EFID&gt;Inhalation_Exp[[#This Row],[ED_High-End]],Inhalation_Exp[[#This Row],[24hr_High-End]]*Inhalation_Exp[[#This Row],[ED_High-End]]/ID,Inhalation_Exp[[#This Row],[24hr_High-End]]*EFID/ID)</f>
        <v>7.8674568395865493E-2</v>
      </c>
      <c r="N98" s="292">
        <f>IF(EFID&gt;Inhalation_Exp[[#This Row],[ED_Central Tendency]],Inhalation_Exp[[#This Row],[24hr_Central Tendency]]*Inhalation_Exp[[#This Row],[ED_Central Tendency]]/ID,Inhalation_Exp[[#This Row],[24hr_Central Tendency]]*EFID/ID)</f>
        <v>7.8674568395865493E-2</v>
      </c>
      <c r="O98" s="207">
        <f>Inhalation_Exp[[#This Row],[24hr_High-End]]*Inhalation_Exp[[#This Row],[ED_High-End]]*WY_high/(AT_ADC_high)</f>
        <v>7.34818509301359E-2</v>
      </c>
      <c r="P98" s="207">
        <f>Inhalation_Exp[[#This Row],[24hr_Central Tendency]]*Inhalation_Exp[[#This Row],[ED_Central Tendency]]*WY_mid/(AT_ADC_mid)</f>
        <v>7.230614131525373E-2</v>
      </c>
      <c r="Q98" s="301">
        <v>1</v>
      </c>
      <c r="R98" s="300" t="s">
        <v>415</v>
      </c>
      <c r="S98" s="9" t="s">
        <v>423</v>
      </c>
      <c r="T98" s="302" t="s">
        <v>271</v>
      </c>
    </row>
    <row r="99" spans="2:20" ht="39" customHeight="1" x14ac:dyDescent="0.3">
      <c r="B99" s="306">
        <v>7</v>
      </c>
      <c r="C99" s="293" t="s">
        <v>286</v>
      </c>
      <c r="D99" s="308" t="s">
        <v>268</v>
      </c>
      <c r="E99" s="206" t="s">
        <v>73</v>
      </c>
      <c r="F99" s="300" t="s">
        <v>107</v>
      </c>
      <c r="G99" s="300">
        <v>250</v>
      </c>
      <c r="H99" s="300">
        <v>246</v>
      </c>
      <c r="I99" s="292">
        <v>8.0491603629856723</v>
      </c>
      <c r="J99" s="292">
        <v>0.51065141871165642</v>
      </c>
      <c r="K99" s="296">
        <f>Inhalation_Exp[[#This Row],[TWA_High-End]]*IF(Inhalation_Exp[[#This Row],[Exposure Scenario]]="8-hr",ED_8,IF(Inhalation_Exp[[#This Row],[Exposure Scenario]]="10-hr",ED_10,ED_12))*WorkBreathRate/(WorkRestRate*AT)</f>
        <v>5.4756192945480766</v>
      </c>
      <c r="L99" s="240">
        <f>Inhalation_Exp[[#This Row],[TWA_Central Tendency]]*IF(Inhalation_Exp[[#This Row],[Exposure Scenario]]="8-hr",ED_8,IF(Inhalation_Exp[[#This Row],[Exposure Scenario]]="10-hr",ED_10,ED_12))*WorkBreathRate/(WorkRestRate*AT)</f>
        <v>0.34738191749092273</v>
      </c>
      <c r="M99" s="292">
        <f>IF(EFID&gt;Inhalation_Exp[[#This Row],[ED_High-End]],Inhalation_Exp[[#This Row],[24hr_High-End]]*Inhalation_Exp[[#This Row],[ED_High-End]]/ID,Inhalation_Exp[[#This Row],[24hr_High-End]]*EFID/ID)</f>
        <v>4.0154541493352562</v>
      </c>
      <c r="N99" s="292">
        <f>IF(EFID&gt;Inhalation_Exp[[#This Row],[ED_Central Tendency]],Inhalation_Exp[[#This Row],[24hr_Central Tendency]]*Inhalation_Exp[[#This Row],[ED_Central Tendency]]/ID,Inhalation_Exp[[#This Row],[24hr_Central Tendency]]*EFID/ID)</f>
        <v>0.25474673949334331</v>
      </c>
      <c r="O99" s="207">
        <f>Inhalation_Exp[[#This Row],[24hr_High-End]]*Inhalation_Exp[[#This Row],[ED_High-End]]*WY_high/(AT_ADC_high)</f>
        <v>3.750424174347998</v>
      </c>
      <c r="P99" s="207">
        <f>Inhalation_Exp[[#This Row],[24hr_Central Tendency]]*Inhalation_Exp[[#This Row],[ED_Central Tendency]]*WY_mid/(AT_ADC_mid)</f>
        <v>0.23412589507607395</v>
      </c>
      <c r="Q99" s="301">
        <v>24</v>
      </c>
      <c r="R99" s="300" t="s">
        <v>415</v>
      </c>
      <c r="S99" s="9" t="s">
        <v>423</v>
      </c>
      <c r="T99" s="302" t="s">
        <v>271</v>
      </c>
    </row>
    <row r="100" spans="2:20" ht="39" customHeight="1" x14ac:dyDescent="0.3">
      <c r="B100" s="306">
        <v>7</v>
      </c>
      <c r="C100" s="293" t="s">
        <v>286</v>
      </c>
      <c r="D100" s="308" t="s">
        <v>268</v>
      </c>
      <c r="E100" s="206" t="s">
        <v>73</v>
      </c>
      <c r="F100" s="300" t="s">
        <v>270</v>
      </c>
      <c r="G100" s="300">
        <v>250</v>
      </c>
      <c r="H100" s="300">
        <v>246</v>
      </c>
      <c r="I100" s="292">
        <v>2.1351067484662578</v>
      </c>
      <c r="J100" s="292">
        <v>0.91227288343558299</v>
      </c>
      <c r="K100" s="296">
        <f>Inhalation_Exp[[#This Row],[TWA_High-End]]*IF(Inhalation_Exp[[#This Row],[Exposure Scenario]]="8-hr",ED_8,IF(Inhalation_Exp[[#This Row],[Exposure Scenario]]="10-hr",ED_10,ED_12))*WorkBreathRate/(WorkRestRate*AT)</f>
        <v>1.8155669629815117</v>
      </c>
      <c r="L100" s="240">
        <f>Inhalation_Exp[[#This Row],[TWA_Central Tendency]]*IF(Inhalation_Exp[[#This Row],[Exposure Scenario]]="8-hr",ED_8,IF(Inhalation_Exp[[#This Row],[Exposure Scenario]]="10-hr",ED_10,ED_12))*WorkBreathRate/(WorkRestRate*AT)</f>
        <v>0.77574224781937307</v>
      </c>
      <c r="M100" s="292">
        <f>IF(EFID&gt;Inhalation_Exp[[#This Row],[ED_High-End]],Inhalation_Exp[[#This Row],[24hr_High-End]]*Inhalation_Exp[[#This Row],[ED_High-End]]/ID,Inhalation_Exp[[#This Row],[24hr_High-End]]*EFID/ID)</f>
        <v>1.3314157728531086</v>
      </c>
      <c r="N100" s="292">
        <f>IF(EFID&gt;Inhalation_Exp[[#This Row],[ED_Central Tendency]],Inhalation_Exp[[#This Row],[24hr_Central Tendency]]*Inhalation_Exp[[#This Row],[ED_Central Tendency]]/ID,Inhalation_Exp[[#This Row],[24hr_Central Tendency]]*EFID/ID)</f>
        <v>0.56887764840087351</v>
      </c>
      <c r="O100" s="207">
        <f>Inhalation_Exp[[#This Row],[24hr_High-End]]*Inhalation_Exp[[#This Row],[ED_High-End]]*WY_high/(AT_ADC_high)</f>
        <v>1.2435390157407613</v>
      </c>
      <c r="P100" s="207">
        <f>Inhalation_Exp[[#This Row],[24hr_Central Tendency]]*Inhalation_Exp[[#This Row],[ED_Central Tendency]]*WY_mid/(AT_ADC_mid)</f>
        <v>0.52282902181798852</v>
      </c>
      <c r="Q100" s="301">
        <v>5</v>
      </c>
      <c r="R100" s="300" t="s">
        <v>415</v>
      </c>
      <c r="S100" s="9" t="s">
        <v>423</v>
      </c>
      <c r="T100" s="302" t="s">
        <v>271</v>
      </c>
    </row>
    <row r="101" spans="2:20" ht="39" customHeight="1" x14ac:dyDescent="0.3">
      <c r="B101" s="306">
        <v>7</v>
      </c>
      <c r="C101" s="293" t="s">
        <v>286</v>
      </c>
      <c r="D101" s="308" t="s">
        <v>268</v>
      </c>
      <c r="E101" s="206" t="s">
        <v>73</v>
      </c>
      <c r="F101" s="300" t="s">
        <v>269</v>
      </c>
      <c r="G101" s="300">
        <v>250</v>
      </c>
      <c r="H101" s="300">
        <v>246</v>
      </c>
      <c r="I101" s="292">
        <v>1.8801003278800263</v>
      </c>
      <c r="J101" s="292">
        <v>0.18459777096114521</v>
      </c>
      <c r="K101" s="296">
        <f>Inhalation_Exp[[#This Row],[TWA_High-End]]*IF(Inhalation_Exp[[#This Row],[Exposure Scenario]]="8-hr",ED_8,IF(Inhalation_Exp[[#This Row],[Exposure Scenario]]="10-hr",ED_10,ED_12))*WorkBreathRate/(WorkRestRate*AT)</f>
        <v>1.9184697223265577</v>
      </c>
      <c r="L101" s="240">
        <f>Inhalation_Exp[[#This Row],[TWA_Central Tendency]]*IF(Inhalation_Exp[[#This Row],[Exposure Scenario]]="8-hr",ED_8,IF(Inhalation_Exp[[#This Row],[Exposure Scenario]]="10-hr",ED_10,ED_12))*WorkBreathRate/(WorkRestRate*AT)</f>
        <v>0.18836507240933181</v>
      </c>
      <c r="M101" s="292">
        <f>IF(EFID&gt;Inhalation_Exp[[#This Row],[ED_High-End]],Inhalation_Exp[[#This Row],[24hr_High-End]]*Inhalation_Exp[[#This Row],[ED_High-End]]/ID,Inhalation_Exp[[#This Row],[24hr_High-End]]*EFID/ID)</f>
        <v>1.406877796372809</v>
      </c>
      <c r="N101" s="292">
        <f>IF(EFID&gt;Inhalation_Exp[[#This Row],[ED_Central Tendency]],Inhalation_Exp[[#This Row],[24hr_Central Tendency]]*Inhalation_Exp[[#This Row],[ED_Central Tendency]]/ID,Inhalation_Exp[[#This Row],[24hr_Central Tendency]]*EFID/ID)</f>
        <v>0.13813438643351</v>
      </c>
      <c r="O101" s="207">
        <f>Inhalation_Exp[[#This Row],[24hr_High-End]]*Inhalation_Exp[[#This Row],[ED_High-End]]*WY_high/(AT_ADC_high)</f>
        <v>1.3140203577579164</v>
      </c>
      <c r="P101" s="207">
        <f>Inhalation_Exp[[#This Row],[24hr_Central Tendency]]*Inhalation_Exp[[#This Row],[ED_Central Tendency]]*WY_mid/(AT_ADC_mid)</f>
        <v>0.1269528981169743</v>
      </c>
      <c r="Q101" s="301">
        <v>8</v>
      </c>
      <c r="R101" s="300" t="s">
        <v>415</v>
      </c>
      <c r="S101" s="9" t="s">
        <v>423</v>
      </c>
      <c r="T101" s="302" t="s">
        <v>271</v>
      </c>
    </row>
    <row r="102" spans="2:20" ht="65" x14ac:dyDescent="0.3">
      <c r="B102" s="306">
        <v>7</v>
      </c>
      <c r="C102" s="293" t="s">
        <v>252</v>
      </c>
      <c r="D102" s="308" t="s">
        <v>73</v>
      </c>
      <c r="E102" s="206" t="s">
        <v>73</v>
      </c>
      <c r="F102" s="300" t="s">
        <v>107</v>
      </c>
      <c r="G102" s="300">
        <v>250</v>
      </c>
      <c r="H102" s="300">
        <v>218</v>
      </c>
      <c r="I102" s="292">
        <v>1.7000000000000001E-2</v>
      </c>
      <c r="J102" s="292">
        <v>9.4950000000000004E-4</v>
      </c>
      <c r="K102" s="296">
        <f>Inhalation_Exp[[#This Row],[TWA_High-End]]*IF(Inhalation_Exp[[#This Row],[Exposure Scenario]]="8-hr",ED_8,IF(Inhalation_Exp[[#This Row],[Exposure Scenario]]="10-hr",ED_10,ED_12))*WorkBreathRate/(WorkRestRate*AT)</f>
        <v>1.1564625850340135E-2</v>
      </c>
      <c r="L102" s="240">
        <f>Inhalation_Exp[[#This Row],[TWA_Central Tendency]]*IF(Inhalation_Exp[[#This Row],[Exposure Scenario]]="8-hr",ED_8,IF(Inhalation_Exp[[#This Row],[Exposure Scenario]]="10-hr",ED_10,ED_12))*WorkBreathRate/(WorkRestRate*AT)</f>
        <v>6.4591836734693877E-4</v>
      </c>
      <c r="M102" s="292">
        <f>IF(EFID&gt;Inhalation_Exp[[#This Row],[ED_High-End]],Inhalation_Exp[[#This Row],[24hr_High-End]]*Inhalation_Exp[[#This Row],[ED_High-End]]/ID,Inhalation_Exp[[#This Row],[24hr_High-End]]*EFID/ID)</f>
        <v>8.480725623582765E-3</v>
      </c>
      <c r="N102" s="292">
        <f>IF(EFID&gt;Inhalation_Exp[[#This Row],[ED_Central Tendency]],Inhalation_Exp[[#This Row],[24hr_Central Tendency]]*Inhalation_Exp[[#This Row],[ED_Central Tendency]]/ID,Inhalation_Exp[[#This Row],[24hr_Central Tendency]]*EFID/ID)</f>
        <v>4.7367346938775509E-4</v>
      </c>
      <c r="O102" s="207">
        <f>Inhalation_Exp[[#This Row],[24hr_High-End]]*Inhalation_Exp[[#This Row],[ED_High-End]]*WY_high/(AT_ADC_high)</f>
        <v>7.9209766098220103E-3</v>
      </c>
      <c r="P102" s="207">
        <f>Inhalation_Exp[[#This Row],[24hr_Central Tendency]]*Inhalation_Exp[[#This Row],[ED_Central Tendency]]*WY_mid/(AT_ADC_mid)</f>
        <v>3.8578138104556888E-4</v>
      </c>
      <c r="Q102" s="301">
        <v>0</v>
      </c>
      <c r="R102" s="300" t="s">
        <v>415</v>
      </c>
      <c r="S102" s="9" t="s">
        <v>420</v>
      </c>
      <c r="T102" s="302" t="s">
        <v>122</v>
      </c>
    </row>
    <row r="103" spans="2:20" ht="65" x14ac:dyDescent="0.3">
      <c r="B103" s="306">
        <v>7</v>
      </c>
      <c r="C103" s="293" t="s">
        <v>252</v>
      </c>
      <c r="D103" s="308" t="s">
        <v>54</v>
      </c>
      <c r="E103" s="206" t="s">
        <v>54</v>
      </c>
      <c r="F103" s="300" t="s">
        <v>107</v>
      </c>
      <c r="G103" s="300">
        <v>250</v>
      </c>
      <c r="H103" s="300">
        <v>218</v>
      </c>
      <c r="I103" s="292">
        <v>9.4950000000000004E-4</v>
      </c>
      <c r="J103" s="292">
        <v>9.4950000000000004E-4</v>
      </c>
      <c r="K103" s="296">
        <f>Inhalation_Exp[[#This Row],[TWA_High-End]]*IF(Inhalation_Exp[[#This Row],[Exposure Scenario]]="8-hr",ED_8,IF(Inhalation_Exp[[#This Row],[Exposure Scenario]]="10-hr",ED_10,ED_12))*WorkBreathRate/(WorkRestRate*AT)</f>
        <v>6.4591836734693877E-4</v>
      </c>
      <c r="L103" s="240">
        <f>Inhalation_Exp[[#This Row],[TWA_Central Tendency]]*IF(Inhalation_Exp[[#This Row],[Exposure Scenario]]="8-hr",ED_8,IF(Inhalation_Exp[[#This Row],[Exposure Scenario]]="10-hr",ED_10,ED_12))*WorkBreathRate/(WorkRestRate*AT)</f>
        <v>6.4591836734693877E-4</v>
      </c>
      <c r="M103" s="292">
        <f>IF(EFID&gt;Inhalation_Exp[[#This Row],[ED_High-End]],Inhalation_Exp[[#This Row],[24hr_High-End]]*Inhalation_Exp[[#This Row],[ED_High-End]]/ID,Inhalation_Exp[[#This Row],[24hr_High-End]]*EFID/ID)</f>
        <v>4.7367346938775509E-4</v>
      </c>
      <c r="N103" s="292">
        <f>IF(EFID&gt;Inhalation_Exp[[#This Row],[ED_Central Tendency]],Inhalation_Exp[[#This Row],[24hr_Central Tendency]]*Inhalation_Exp[[#This Row],[ED_Central Tendency]]/ID,Inhalation_Exp[[#This Row],[24hr_Central Tendency]]*EFID/ID)</f>
        <v>4.7367346938775509E-4</v>
      </c>
      <c r="O103" s="207">
        <f>Inhalation_Exp[[#This Row],[24hr_High-End]]*Inhalation_Exp[[#This Row],[ED_High-End]]*WY_high/(AT_ADC_high)</f>
        <v>4.4240984064858817E-4</v>
      </c>
      <c r="P103" s="207">
        <f>Inhalation_Exp[[#This Row],[24hr_Central Tendency]]*Inhalation_Exp[[#This Row],[ED_Central Tendency]]*WY_mid/(AT_ADC_mid)</f>
        <v>3.8578138104556888E-4</v>
      </c>
      <c r="Q103" s="301">
        <v>0</v>
      </c>
      <c r="R103" s="300" t="s">
        <v>415</v>
      </c>
      <c r="S103" s="9" t="s">
        <v>420</v>
      </c>
      <c r="T103" s="302" t="s">
        <v>122</v>
      </c>
    </row>
    <row r="104" spans="2:20" ht="39" x14ac:dyDescent="0.3">
      <c r="B104" s="306">
        <v>7</v>
      </c>
      <c r="C104" s="293" t="s">
        <v>287</v>
      </c>
      <c r="D104" s="308" t="s">
        <v>73</v>
      </c>
      <c r="E104" s="206" t="s">
        <v>73</v>
      </c>
      <c r="F104" s="300" t="s">
        <v>269</v>
      </c>
      <c r="G104" s="300">
        <v>250</v>
      </c>
      <c r="H104" s="300">
        <v>223</v>
      </c>
      <c r="I104" s="292">
        <v>1.6199999999999999E-2</v>
      </c>
      <c r="J104" s="292">
        <v>4.4000000000000003E-3</v>
      </c>
      <c r="K104" s="296">
        <v>1.66E-2</v>
      </c>
      <c r="L104" s="240">
        <v>4.4900000000000001E-3</v>
      </c>
      <c r="M104" s="292">
        <v>1.21E-2</v>
      </c>
      <c r="N104" s="292">
        <v>3.3E-3</v>
      </c>
      <c r="O104" s="207">
        <v>9.4800000000000006E-3</v>
      </c>
      <c r="P104" s="207">
        <v>2.3999999999999998E-3</v>
      </c>
      <c r="Q104" s="301">
        <v>0</v>
      </c>
      <c r="R104" s="300" t="s">
        <v>415</v>
      </c>
      <c r="S104" s="9" t="s">
        <v>290</v>
      </c>
      <c r="T104" s="302" t="s">
        <v>122</v>
      </c>
    </row>
    <row r="105" spans="2:20" ht="39" x14ac:dyDescent="0.3">
      <c r="B105" s="306">
        <v>7</v>
      </c>
      <c r="C105" s="293" t="s">
        <v>287</v>
      </c>
      <c r="D105" s="308" t="s">
        <v>54</v>
      </c>
      <c r="E105" s="206" t="s">
        <v>54</v>
      </c>
      <c r="F105" s="300" t="s">
        <v>269</v>
      </c>
      <c r="G105" s="300">
        <v>250</v>
      </c>
      <c r="H105" s="300">
        <v>223</v>
      </c>
      <c r="I105" s="292">
        <v>4.4000000000000003E-3</v>
      </c>
      <c r="J105" s="292">
        <v>4.4000000000000003E-3</v>
      </c>
      <c r="K105" s="296">
        <v>4.4900000000000001E-3</v>
      </c>
      <c r="L105" s="240">
        <v>4.4900000000000001E-3</v>
      </c>
      <c r="M105" s="292">
        <v>3.3E-3</v>
      </c>
      <c r="N105" s="292">
        <v>3.3E-3</v>
      </c>
      <c r="O105" s="207">
        <v>2.3999999999999998E-3</v>
      </c>
      <c r="P105" s="207">
        <v>2.3999999999999998E-3</v>
      </c>
      <c r="Q105" s="301">
        <v>0</v>
      </c>
      <c r="R105" s="300" t="s">
        <v>415</v>
      </c>
      <c r="S105" s="9" t="s">
        <v>290</v>
      </c>
      <c r="T105" s="302" t="s">
        <v>122</v>
      </c>
    </row>
    <row r="106" spans="2:20" ht="39" x14ac:dyDescent="0.3">
      <c r="B106" s="306">
        <v>7</v>
      </c>
      <c r="C106" s="293" t="s">
        <v>288</v>
      </c>
      <c r="D106" s="308" t="s">
        <v>73</v>
      </c>
      <c r="E106" s="206" t="s">
        <v>73</v>
      </c>
      <c r="F106" s="300" t="s">
        <v>269</v>
      </c>
      <c r="G106" s="300">
        <v>250</v>
      </c>
      <c r="H106" s="300">
        <v>223</v>
      </c>
      <c r="I106" s="292">
        <v>1.6199999999999999E-2</v>
      </c>
      <c r="J106" s="292">
        <v>4.4000000000000003E-3</v>
      </c>
      <c r="K106" s="296">
        <v>1.6500000000000001E-2</v>
      </c>
      <c r="L106" s="240">
        <v>4.4900000000000001E-3</v>
      </c>
      <c r="M106" s="292">
        <v>1.21E-2</v>
      </c>
      <c r="N106" s="292">
        <v>3.29E-3</v>
      </c>
      <c r="O106" s="207">
        <v>9.5099999999999994E-3</v>
      </c>
      <c r="P106" s="207">
        <v>2.3999999999999998E-3</v>
      </c>
      <c r="Q106" s="301">
        <v>0</v>
      </c>
      <c r="R106" s="300" t="s">
        <v>415</v>
      </c>
      <c r="S106" s="9" t="s">
        <v>290</v>
      </c>
      <c r="T106" s="302" t="s">
        <v>122</v>
      </c>
    </row>
    <row r="107" spans="2:20" ht="39" x14ac:dyDescent="0.3">
      <c r="B107" s="306">
        <v>7</v>
      </c>
      <c r="C107" s="293" t="s">
        <v>288</v>
      </c>
      <c r="D107" s="308" t="s">
        <v>54</v>
      </c>
      <c r="E107" s="206" t="s">
        <v>54</v>
      </c>
      <c r="F107" s="300" t="s">
        <v>269</v>
      </c>
      <c r="G107" s="300">
        <v>250</v>
      </c>
      <c r="H107" s="300">
        <v>223</v>
      </c>
      <c r="I107" s="292">
        <v>4.4000000000000003E-3</v>
      </c>
      <c r="J107" s="292">
        <v>4.4000000000000003E-3</v>
      </c>
      <c r="K107" s="296">
        <v>4.4900000000000001E-3</v>
      </c>
      <c r="L107" s="240">
        <v>4.4900000000000001E-3</v>
      </c>
      <c r="M107" s="292">
        <v>3.29E-3</v>
      </c>
      <c r="N107" s="292">
        <v>3.29E-3</v>
      </c>
      <c r="O107" s="207">
        <v>2.3999999999999998E-3</v>
      </c>
      <c r="P107" s="207">
        <v>2.3999999999999998E-3</v>
      </c>
      <c r="Q107" s="301">
        <v>0</v>
      </c>
      <c r="R107" s="300" t="s">
        <v>415</v>
      </c>
      <c r="S107" s="9" t="s">
        <v>290</v>
      </c>
      <c r="T107" s="302" t="s">
        <v>122</v>
      </c>
    </row>
    <row r="108" spans="2:20" ht="52" x14ac:dyDescent="0.3">
      <c r="B108" s="306">
        <v>8</v>
      </c>
      <c r="C108" s="293" t="s">
        <v>257</v>
      </c>
      <c r="D108" s="308" t="s">
        <v>73</v>
      </c>
      <c r="E108" s="206" t="s">
        <v>73</v>
      </c>
      <c r="F108" s="300" t="s">
        <v>107</v>
      </c>
      <c r="G108" s="300">
        <v>250</v>
      </c>
      <c r="H108" s="300">
        <v>235</v>
      </c>
      <c r="I108" s="292">
        <v>46.705460122699385</v>
      </c>
      <c r="J108" s="292">
        <v>0.24262576687116569</v>
      </c>
      <c r="K108" s="296">
        <f>Inhalation_Exp[[#This Row],[TWA_High-End]]*IF(Inhalation_Exp[[#This Row],[Exposure Scenario]]="8-hr",ED_8,IF(Inhalation_Exp[[#This Row],[Exposure Scenario]]="10-hr",ED_10,ED_12))*WorkBreathRate/(WorkRestRate*AT)</f>
        <v>31.77242185217645</v>
      </c>
      <c r="L108" s="240">
        <f>Inhalation_Exp[[#This Row],[TWA_Central Tendency]]*IF(Inhalation_Exp[[#This Row],[Exposure Scenario]]="8-hr",ED_8,IF(Inhalation_Exp[[#This Row],[Exposure Scenario]]="10-hr",ED_10,ED_12))*WorkBreathRate/(WorkRestRate*AT)</f>
        <v>0.16505154208922834</v>
      </c>
      <c r="M108" s="292">
        <f>IF(EFID&gt;Inhalation_Exp[[#This Row],[ED_High-End]],Inhalation_Exp[[#This Row],[24hr_High-End]]*Inhalation_Exp[[#This Row],[ED_High-End]]/ID,Inhalation_Exp[[#This Row],[24hr_High-End]]*EFID/ID)</f>
        <v>23.299776024929397</v>
      </c>
      <c r="N108" s="292">
        <f>IF(EFID&gt;Inhalation_Exp[[#This Row],[ED_Central Tendency]],Inhalation_Exp[[#This Row],[24hr_Central Tendency]]*Inhalation_Exp[[#This Row],[ED_Central Tendency]]/ID,Inhalation_Exp[[#This Row],[24hr_Central Tendency]]*EFID/ID)</f>
        <v>0.1210377975321008</v>
      </c>
      <c r="O108" s="207">
        <f>Inhalation_Exp[[#This Row],[24hr_High-End]]*Inhalation_Exp[[#This Row],[ED_High-End]]*WY_high/(AT_ADC_high)</f>
        <v>21.761932775463322</v>
      </c>
      <c r="P108" s="207">
        <f>Inhalation_Exp[[#This Row],[24hr_Central Tendency]]*Inhalation_Exp[[#This Row],[ED_Central Tendency]]*WY_mid/(AT_ADC_mid)</f>
        <v>0.10626606134511962</v>
      </c>
      <c r="Q108" s="301">
        <v>3</v>
      </c>
      <c r="R108" s="300" t="s">
        <v>415</v>
      </c>
      <c r="S108" s="9" t="s">
        <v>424</v>
      </c>
      <c r="T108" s="302" t="s">
        <v>272</v>
      </c>
    </row>
    <row r="109" spans="2:20" ht="52" x14ac:dyDescent="0.3">
      <c r="B109" s="306">
        <v>8</v>
      </c>
      <c r="C109" s="293" t="s">
        <v>257</v>
      </c>
      <c r="D109" s="308" t="s">
        <v>54</v>
      </c>
      <c r="E109" s="206" t="s">
        <v>54</v>
      </c>
      <c r="F109" s="300" t="s">
        <v>107</v>
      </c>
      <c r="G109" s="300">
        <v>250</v>
      </c>
      <c r="H109" s="300">
        <v>235</v>
      </c>
      <c r="I109" s="292">
        <v>0.24262576687116569</v>
      </c>
      <c r="J109" s="292">
        <v>0.24262576687116569</v>
      </c>
      <c r="K109" s="296">
        <f>Inhalation_Exp[[#This Row],[TWA_High-End]]*IF(Inhalation_Exp[[#This Row],[Exposure Scenario]]="8-hr",ED_8,IF(Inhalation_Exp[[#This Row],[Exposure Scenario]]="10-hr",ED_10,ED_12))*WorkBreathRate/(WorkRestRate*AT)</f>
        <v>0.16505154208922834</v>
      </c>
      <c r="L109" s="240">
        <f>Inhalation_Exp[[#This Row],[TWA_Central Tendency]]*IF(Inhalation_Exp[[#This Row],[Exposure Scenario]]="8-hr",ED_8,IF(Inhalation_Exp[[#This Row],[Exposure Scenario]]="10-hr",ED_10,ED_12))*WorkBreathRate/(WorkRestRate*AT)</f>
        <v>0.16505154208922834</v>
      </c>
      <c r="M109" s="292">
        <f>IF(EFID&gt;Inhalation_Exp[[#This Row],[ED_High-End]],Inhalation_Exp[[#This Row],[24hr_High-End]]*Inhalation_Exp[[#This Row],[ED_High-End]]/ID,Inhalation_Exp[[#This Row],[24hr_High-End]]*EFID/ID)</f>
        <v>0.1210377975321008</v>
      </c>
      <c r="N109" s="292">
        <f>IF(EFID&gt;Inhalation_Exp[[#This Row],[ED_Central Tendency]],Inhalation_Exp[[#This Row],[24hr_Central Tendency]]*Inhalation_Exp[[#This Row],[ED_Central Tendency]]/ID,Inhalation_Exp[[#This Row],[24hr_Central Tendency]]*EFID/ID)</f>
        <v>0.1210377975321008</v>
      </c>
      <c r="O109" s="207">
        <f>Inhalation_Exp[[#This Row],[24hr_High-End]]*Inhalation_Exp[[#This Row],[ED_High-End]]*WY_high/(AT_ADC_high)</f>
        <v>0.11304900143097833</v>
      </c>
      <c r="P109" s="207">
        <f>Inhalation_Exp[[#This Row],[24hr_Central Tendency]]*Inhalation_Exp[[#This Row],[ED_Central Tendency]]*WY_mid/(AT_ADC_mid)</f>
        <v>0.10626606134511962</v>
      </c>
      <c r="Q109" s="301">
        <v>0</v>
      </c>
      <c r="R109" s="300" t="s">
        <v>415</v>
      </c>
      <c r="S109" s="9" t="s">
        <v>424</v>
      </c>
      <c r="T109" s="302" t="s">
        <v>122</v>
      </c>
    </row>
  </sheetData>
  <sheetProtection algorithmName="SHA-512" hashValue="e2vUuSBY6fW7xWZV+oTEfM6b8JqAwfHsrourSEEIDOKohD1J69TjabTeGmd297w5FHrdfMfZ8H98Osl/F4MWKw==" saltValue="AnbBrGRWQMoCeA1a9G6Sbw==" spinCount="100000" sheet="1"/>
  <mergeCells count="10">
    <mergeCell ref="B2:B3"/>
    <mergeCell ref="O3:P3"/>
    <mergeCell ref="K2:L2"/>
    <mergeCell ref="O2:P2"/>
    <mergeCell ref="G2:H3"/>
    <mergeCell ref="I2:J2"/>
    <mergeCell ref="I3:J3"/>
    <mergeCell ref="M2:N2"/>
    <mergeCell ref="M3:N3"/>
    <mergeCell ref="K3:L3"/>
  </mergeCells>
  <phoneticPr fontId="2" type="noConversion"/>
  <conditionalFormatting sqref="I5:P109">
    <cfRule type="cellIs" dxfId="173" priority="1" operator="greaterThanOrEqual">
      <formula>10000</formula>
    </cfRule>
    <cfRule type="cellIs" dxfId="172" priority="3" operator="between">
      <formula>10</formula>
      <formula>9999.999</formula>
    </cfRule>
    <cfRule type="cellIs" dxfId="171" priority="4" operator="between">
      <formula>1</formula>
      <formula>9.999</formula>
    </cfRule>
    <cfRule type="cellIs" dxfId="170" priority="5" operator="between">
      <formula>0.1</formula>
      <formula>0.999</formula>
    </cfRule>
    <cfRule type="cellIs" dxfId="169" priority="30" operator="lessThan">
      <formula>0.1</formula>
    </cfRule>
  </conditionalFormatting>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6B110-8E01-4638-9919-60D7B952F7F3}">
  <sheetPr codeName="Sheet5">
    <tabColor theme="1"/>
  </sheetPr>
  <dimension ref="A1:Y80"/>
  <sheetViews>
    <sheetView workbookViewId="0">
      <pane xSplit="3" ySplit="3" topLeftCell="D4" activePane="bottomRight" state="frozen"/>
      <selection pane="topRight" activeCell="D1" sqref="D1"/>
      <selection pane="bottomLeft" activeCell="A4" sqref="A4"/>
      <selection pane="bottomRight" activeCell="B3" sqref="B3"/>
    </sheetView>
  </sheetViews>
  <sheetFormatPr defaultColWidth="14.90625" defaultRowHeight="13" x14ac:dyDescent="0.3"/>
  <cols>
    <col min="1" max="1" width="8.54296875" style="1" customWidth="1"/>
    <col min="2" max="2" width="40.90625" style="1" customWidth="1"/>
    <col min="3" max="3" width="27.54296875" style="1" customWidth="1"/>
    <col min="4" max="4" width="23.90625" style="1" customWidth="1"/>
    <col min="5" max="5" width="17.54296875" style="1" bestFit="1" customWidth="1"/>
    <col min="6" max="7" width="12.90625" style="1" customWidth="1"/>
    <col min="8" max="13" width="12.90625" style="10" customWidth="1"/>
    <col min="14" max="14" width="14.453125" style="10" customWidth="1"/>
    <col min="15" max="15" width="19.453125" style="10" customWidth="1"/>
    <col min="16" max="16" width="12.90625" style="10" customWidth="1"/>
    <col min="17" max="17" width="16.54296875" style="10" customWidth="1"/>
    <col min="18" max="16384" width="14.90625" style="1"/>
  </cols>
  <sheetData>
    <row r="1" spans="1:25" ht="21" customHeight="1" x14ac:dyDescent="0.3">
      <c r="A1" s="516"/>
      <c r="B1" s="516"/>
      <c r="C1" s="516"/>
      <c r="D1" s="516"/>
      <c r="E1" s="516"/>
      <c r="F1" s="677" t="s">
        <v>321</v>
      </c>
      <c r="G1" s="677"/>
      <c r="H1" s="677" t="s">
        <v>322</v>
      </c>
      <c r="I1" s="677"/>
      <c r="J1" s="677" t="s">
        <v>325</v>
      </c>
      <c r="K1" s="677"/>
      <c r="L1" s="677" t="s">
        <v>398</v>
      </c>
      <c r="M1" s="677"/>
      <c r="N1" s="688" t="s">
        <v>328</v>
      </c>
      <c r="O1" s="689"/>
      <c r="P1" s="689"/>
      <c r="Q1" s="690"/>
      <c r="R1" s="677" t="s">
        <v>334</v>
      </c>
      <c r="S1" s="677"/>
      <c r="T1" s="677" t="s">
        <v>335</v>
      </c>
      <c r="U1" s="677"/>
      <c r="V1" s="677" t="s">
        <v>357</v>
      </c>
      <c r="W1" s="677"/>
      <c r="X1" s="677" t="s">
        <v>385</v>
      </c>
      <c r="Y1" s="677"/>
    </row>
    <row r="2" spans="1:25" ht="26.4" customHeight="1" x14ac:dyDescent="0.3">
      <c r="A2" s="516"/>
      <c r="B2" s="517"/>
      <c r="C2" s="516"/>
      <c r="D2" s="516"/>
      <c r="E2" s="516"/>
      <c r="F2" s="677"/>
      <c r="G2" s="677"/>
      <c r="H2" s="677"/>
      <c r="I2" s="677"/>
      <c r="J2" s="677"/>
      <c r="K2" s="677"/>
      <c r="L2" s="677"/>
      <c r="M2" s="677"/>
      <c r="N2" s="683"/>
      <c r="O2" s="691"/>
      <c r="P2" s="691"/>
      <c r="Q2" s="684"/>
      <c r="R2" s="677"/>
      <c r="S2" s="677"/>
      <c r="T2" s="677"/>
      <c r="U2" s="677"/>
      <c r="V2" s="677"/>
      <c r="W2" s="677"/>
      <c r="X2" s="677"/>
      <c r="Y2" s="677"/>
    </row>
    <row r="3" spans="1:25" ht="39" x14ac:dyDescent="0.3">
      <c r="A3" s="518" t="s">
        <v>94</v>
      </c>
      <c r="B3" s="236" t="s">
        <v>95</v>
      </c>
      <c r="C3" s="236" t="s">
        <v>261</v>
      </c>
      <c r="D3" s="236" t="s">
        <v>87</v>
      </c>
      <c r="E3" s="236" t="s">
        <v>348</v>
      </c>
      <c r="F3" s="394" t="s">
        <v>356</v>
      </c>
      <c r="G3" s="394" t="s">
        <v>351</v>
      </c>
      <c r="H3" s="394" t="s">
        <v>323</v>
      </c>
      <c r="I3" s="394" t="s">
        <v>324</v>
      </c>
      <c r="J3" s="350" t="s">
        <v>326</v>
      </c>
      <c r="K3" s="350" t="s">
        <v>327</v>
      </c>
      <c r="L3" s="395" t="s">
        <v>399</v>
      </c>
      <c r="M3" s="395" t="s">
        <v>400</v>
      </c>
      <c r="N3" s="231" t="s">
        <v>352</v>
      </c>
      <c r="O3" s="231" t="s">
        <v>353</v>
      </c>
      <c r="P3" s="231" t="s">
        <v>354</v>
      </c>
      <c r="Q3" s="231" t="s">
        <v>355</v>
      </c>
      <c r="R3" s="395" t="s">
        <v>329</v>
      </c>
      <c r="S3" s="397" t="s">
        <v>330</v>
      </c>
      <c r="T3" s="395" t="s">
        <v>332</v>
      </c>
      <c r="U3" s="397" t="s">
        <v>333</v>
      </c>
      <c r="V3" s="395" t="s">
        <v>358</v>
      </c>
      <c r="W3" s="397" t="s">
        <v>359</v>
      </c>
      <c r="X3" s="395" t="s">
        <v>360</v>
      </c>
      <c r="Y3" s="397" t="s">
        <v>361</v>
      </c>
    </row>
    <row r="4" spans="1:25" x14ac:dyDescent="0.3">
      <c r="A4" s="305">
        <v>1</v>
      </c>
      <c r="B4" s="310" t="s">
        <v>33</v>
      </c>
      <c r="C4" s="308" t="s">
        <v>264</v>
      </c>
      <c r="D4" s="206" t="s">
        <v>73</v>
      </c>
      <c r="E4" s="486" t="s">
        <v>349</v>
      </c>
      <c r="F4" s="486">
        <v>1</v>
      </c>
      <c r="G4" s="486">
        <v>0</v>
      </c>
      <c r="H4" s="300">
        <v>250</v>
      </c>
      <c r="I4" s="300">
        <v>250</v>
      </c>
      <c r="J4" s="487">
        <v>1</v>
      </c>
      <c r="K4" s="487">
        <v>1</v>
      </c>
      <c r="L4" s="487">
        <f>IF(Dermal_Exp[[#This Row],[Worker Type]]="ONU",AH1_cm2_F,AH2_cm2_F)</f>
        <v>1070</v>
      </c>
      <c r="M4" s="487">
        <f t="shared" ref="M4:M35" si="0">AH1_cm2_F</f>
        <v>535</v>
      </c>
      <c r="N4" s="487">
        <v>2.1</v>
      </c>
      <c r="O4" s="487">
        <f>IF(Dermal_Exp[[#This Row],[Physical Form]]="Liquid",1.4,IF(Dermal_Exp[[#This Row],[Physical Form]]="Solid",0,IF(Dermal_Exp[[#This Row],[Physical Form]]="Liquid &amp; Solid",1.4,IF(Dermal_Exp[[#This Row],[Similar Exposure Group (SEG)]]="ONU",1.4,3.8))))</f>
        <v>1.4</v>
      </c>
      <c r="P4" s="487">
        <f>IF(Dermal_Exp[[#This Row],[Physical Form]]="Liquid",0,IF(Dermal_Exp[[#This Row],[Physical Form]]="Solid",1100/Dermal_Exp[[#This Row],[SA_High-End (Two hands)]],IF(Dermal_Exp[[#This Row],[Physical Form]]="Liquid &amp; Solid",1100/Dermal_Exp[[#This Row],[SA_High-End (Two hands)]],0)))</f>
        <v>0</v>
      </c>
      <c r="Q4" s="487">
        <f>IF(Dermal_Exp[[#This Row],[Physical Form]]="Liquid",0,IF(Dermal_Exp[[#This Row],[Physical Form]]="Solid",450/Dermal_Exp[[#This Row],[SA_Central Tendency (One hand)]],IF(Dermal_Exp[[#This Row],[Physical Form]]="Liquid &amp; Solid",450/Dermal_Exp[[#This Row],[SA_Central Tendency (One hand)]],0)))</f>
        <v>0</v>
      </c>
      <c r="R4" s="317">
        <f>IFERROR(Dermal_Exp[[#This Row],[SA_High-End (Two hands)]]*(Dermal_Exp[[#This Row],[Qu_High-End (Liquid or Mist)]]*Dermal_Exp[[#This Row],[Liquid or Mist]]+Dermal_Exp[[#This Row],[Qu_High-End (Solid)]]*Dermal_Exp[[#This Row],[Solid]])*Dermal_Exp[[#This Row],[FT_High-End]],"Not Assessed")</f>
        <v>2247</v>
      </c>
      <c r="S4" s="317">
        <f>IFERROR(Dermal_Exp[[#This Row],[SA_Central Tendency (One hand)]]*(Dermal_Exp[[#This Row],[Qu_Central Tendency (Liquid or Mist)]]*Dermal_Exp[[#This Row],[Liquid or Mist]]+Dermal_Exp[[#This Row],[Qu_Central Tendency (Solid)]]*Dermal_Exp[[#This Row],[Solid]])*Dermal_Exp[[#This Row],[FT_Central Tendency]],"Not Assessed")</f>
        <v>749</v>
      </c>
      <c r="T4" s="317">
        <f>IFERROR(Dermal_Exp[[#This Row],[APDR_High-End]]/BW_F,"Not Assessed")</f>
        <v>28.087499999999999</v>
      </c>
      <c r="U4" s="317">
        <f>IFERROR(Dermal_Exp[[#This Row],[APDR_Central Tendency]]/BW_F,"Not Assessed")</f>
        <v>9.3625000000000007</v>
      </c>
      <c r="V4" s="317">
        <f>IFERROR(Dermal_Exp[[#This Row],[AAD_High-End]]*IF(Dermal_Exp[[#This Row],[EF_High-End]]&gt;EFID,EFID,Dermal_Exp[[#This Row],[EF_High-End]])/ID,"Not Assessed")</f>
        <v>20.5975</v>
      </c>
      <c r="W4" s="317">
        <f>IFERROR(Dermal_Exp[[#This Row],[AAD_Central Tendency]]*IF(Dermal_Exp[[#This Row],[EF_Central Tendency]]&gt;EFID,EFID,Dermal_Exp[[#This Row],[EF_Central Tendency]])/ID,"Not Assessed")</f>
        <v>6.8658333333333337</v>
      </c>
      <c r="X4" s="317">
        <f>IFERROR(Dermal_Exp[[#This Row],[AAD_High-End]]*Dermal_Exp[[#This Row],[EF_High-End]]*WY_high/(365*WY_high),"Not Assessed")</f>
        <v>19.238013698630137</v>
      </c>
      <c r="Y4" s="317">
        <f>IFERROR(Dermal_Exp[[#This Row],[AAD_Central Tendency]]*Dermal_Exp[[#This Row],[EF_Central Tendency]]*WY_mid/(365*WY_mid),"Not Assessed")</f>
        <v>6.4126712328767121</v>
      </c>
    </row>
    <row r="5" spans="1:25" x14ac:dyDescent="0.3">
      <c r="A5" s="305">
        <v>1</v>
      </c>
      <c r="B5" s="310" t="s">
        <v>33</v>
      </c>
      <c r="C5" s="308" t="s">
        <v>265</v>
      </c>
      <c r="D5" s="206" t="s">
        <v>73</v>
      </c>
      <c r="E5" s="486" t="s">
        <v>349</v>
      </c>
      <c r="F5" s="486">
        <v>1</v>
      </c>
      <c r="G5" s="486">
        <v>0</v>
      </c>
      <c r="H5" s="300">
        <v>250</v>
      </c>
      <c r="I5" s="300">
        <v>250</v>
      </c>
      <c r="J5" s="487">
        <v>1</v>
      </c>
      <c r="K5" s="487">
        <v>1</v>
      </c>
      <c r="L5" s="487">
        <f>IF(Dermal_Exp[[#This Row],[Worker Type]]="ONU",AH1_cm2_F,AH2_cm2_F)</f>
        <v>1070</v>
      </c>
      <c r="M5" s="487">
        <f t="shared" si="0"/>
        <v>535</v>
      </c>
      <c r="N5" s="487">
        <f>IF(Dermal_Exp[[#This Row],[Physical Form]]="Liquid",2.1,IF(Dermal_Exp[[#This Row],[Physical Form]]="Solid",0,IF(Dermal_Exp[[#This Row],[Physical Form]]="Liquid &amp; Solid",2.1,IF(Dermal_Exp[[#This Row],[Similar Exposure Group (SEG)]]="ONU",1.4,10.3))))</f>
        <v>2.1</v>
      </c>
      <c r="O5" s="487">
        <f>IF(Dermal_Exp[[#This Row],[Physical Form]]="Liquid",1.4,IF(Dermal_Exp[[#This Row],[Physical Form]]="Solid",0,IF(Dermal_Exp[[#This Row],[Physical Form]]="Liquid &amp; Solid",1.4,IF(Dermal_Exp[[#This Row],[Similar Exposure Group (SEG)]]="ONU",1.4,3.8))))</f>
        <v>1.4</v>
      </c>
      <c r="P5" s="487">
        <f>IF(Dermal_Exp[[#This Row],[Physical Form]]="Liquid",0,IF(Dermal_Exp[[#This Row],[Physical Form]]="Solid",1100/Dermal_Exp[[#This Row],[SA_High-End (Two hands)]],IF(Dermal_Exp[[#This Row],[Physical Form]]="Liquid &amp; Solid",1100/Dermal_Exp[[#This Row],[SA_High-End (Two hands)]],0)))</f>
        <v>0</v>
      </c>
      <c r="Q5" s="487">
        <f>IF(Dermal_Exp[[#This Row],[Physical Form]]="Liquid",0,IF(Dermal_Exp[[#This Row],[Physical Form]]="Solid",450/Dermal_Exp[[#This Row],[SA_Central Tendency (One hand)]],IF(Dermal_Exp[[#This Row],[Physical Form]]="Liquid &amp; Solid",450/Dermal_Exp[[#This Row],[SA_Central Tendency (One hand)]],0)))</f>
        <v>0</v>
      </c>
      <c r="R5" s="317">
        <f>IFERROR(Dermal_Exp[[#This Row],[SA_High-End (Two hands)]]*(Dermal_Exp[[#This Row],[Qu_High-End (Liquid or Mist)]]*Dermal_Exp[[#This Row],[Liquid or Mist]]+Dermal_Exp[[#This Row],[Qu_High-End (Solid)]]*Dermal_Exp[[#This Row],[Solid]])*Dermal_Exp[[#This Row],[FT_High-End]],"Not Assessed")</f>
        <v>2247</v>
      </c>
      <c r="S5" s="317">
        <f>IFERROR(Dermal_Exp[[#This Row],[SA_Central Tendency (One hand)]]*(Dermal_Exp[[#This Row],[Qu_Central Tendency (Liquid or Mist)]]*Dermal_Exp[[#This Row],[Liquid or Mist]]+Dermal_Exp[[#This Row],[Qu_Central Tendency (Solid)]]*Dermal_Exp[[#This Row],[Solid]])*Dermal_Exp[[#This Row],[FT_Central Tendency]],"Not Assessed")</f>
        <v>749</v>
      </c>
      <c r="T5" s="317">
        <f>IFERROR(Dermal_Exp[[#This Row],[APDR_High-End]]/BW_F,"Not Assessed")</f>
        <v>28.087499999999999</v>
      </c>
      <c r="U5" s="317">
        <f>IFERROR(Dermal_Exp[[#This Row],[APDR_Central Tendency]]/BW_F,"Not Assessed")</f>
        <v>9.3625000000000007</v>
      </c>
      <c r="V5" s="317">
        <f>IFERROR(Dermal_Exp[[#This Row],[AAD_High-End]]*IF(Dermal_Exp[[#This Row],[EF_High-End]]&gt;EFID,EFID,Dermal_Exp[[#This Row],[EF_High-End]])/ID,"Not Assessed")</f>
        <v>20.5975</v>
      </c>
      <c r="W5" s="317">
        <f>IFERROR(Dermal_Exp[[#This Row],[AAD_Central Tendency]]*IF(Dermal_Exp[[#This Row],[EF_Central Tendency]]&gt;EFID,EFID,Dermal_Exp[[#This Row],[EF_Central Tendency]])/ID,"Not Assessed")</f>
        <v>6.8658333333333337</v>
      </c>
      <c r="X5" s="317">
        <f>IFERROR(Dermal_Exp[[#This Row],[AAD_High-End]]*Dermal_Exp[[#This Row],[EF_High-End]]*WY_high/(365*WY_high),"Not Assessed")</f>
        <v>19.238013698630137</v>
      </c>
      <c r="Y5" s="317">
        <f>IFERROR(Dermal_Exp[[#This Row],[AAD_Central Tendency]]*Dermal_Exp[[#This Row],[EF_Central Tendency]]*WY_mid/(365*WY_mid),"Not Assessed")</f>
        <v>6.4126712328767121</v>
      </c>
    </row>
    <row r="6" spans="1:25" x14ac:dyDescent="0.3">
      <c r="A6" s="306">
        <v>1</v>
      </c>
      <c r="B6" s="310" t="s">
        <v>33</v>
      </c>
      <c r="C6" s="308" t="s">
        <v>266</v>
      </c>
      <c r="D6" s="206" t="s">
        <v>73</v>
      </c>
      <c r="E6" s="486" t="s">
        <v>349</v>
      </c>
      <c r="F6" s="486">
        <v>1</v>
      </c>
      <c r="G6" s="486">
        <v>0</v>
      </c>
      <c r="H6" s="300">
        <v>250</v>
      </c>
      <c r="I6" s="300">
        <v>250</v>
      </c>
      <c r="J6" s="487">
        <v>1</v>
      </c>
      <c r="K6" s="487">
        <v>1</v>
      </c>
      <c r="L6" s="488">
        <f>IF(Dermal_Exp[[#This Row],[Worker Type]]="ONU",AH1_cm2_F,AH2_cm2_F)</f>
        <v>1070</v>
      </c>
      <c r="M6" s="488">
        <f t="shared" si="0"/>
        <v>535</v>
      </c>
      <c r="N6" s="487">
        <f>IF(Dermal_Exp[[#This Row],[Physical Form]]="Liquid",2.1,IF(Dermal_Exp[[#This Row],[Physical Form]]="Solid",0,IF(Dermal_Exp[[#This Row],[Physical Form]]="Liquid &amp; Solid",2.1,IF(Dermal_Exp[[#This Row],[Similar Exposure Group (SEG)]]="ONU",1.4,10.3))))</f>
        <v>2.1</v>
      </c>
      <c r="O6" s="487">
        <f>IF(Dermal_Exp[[#This Row],[Physical Form]]="Liquid",1.4,IF(Dermal_Exp[[#This Row],[Physical Form]]="Solid",0,IF(Dermal_Exp[[#This Row],[Physical Form]]="Liquid &amp; Solid",1.4,IF(Dermal_Exp[[#This Row],[Similar Exposure Group (SEG)]]="ONU",1.4,3.8))))</f>
        <v>1.4</v>
      </c>
      <c r="P6" s="487">
        <f>IF(Dermal_Exp[[#This Row],[Physical Form]]="Liquid",0,IF(Dermal_Exp[[#This Row],[Physical Form]]="Solid",1100/Dermal_Exp[[#This Row],[SA_High-End (Two hands)]],IF(Dermal_Exp[[#This Row],[Physical Form]]="Liquid &amp; Solid",1100/Dermal_Exp[[#This Row],[SA_High-End (Two hands)]],0)))</f>
        <v>0</v>
      </c>
      <c r="Q6" s="487">
        <f>IF(Dermal_Exp[[#This Row],[Physical Form]]="Liquid",0,IF(Dermal_Exp[[#This Row],[Physical Form]]="Solid",450/Dermal_Exp[[#This Row],[SA_Central Tendency (One hand)]],IF(Dermal_Exp[[#This Row],[Physical Form]]="Liquid &amp; Solid",450/Dermal_Exp[[#This Row],[SA_Central Tendency (One hand)]],0)))</f>
        <v>0</v>
      </c>
      <c r="R6" s="317">
        <f>IFERROR(Dermal_Exp[[#This Row],[SA_High-End (Two hands)]]*(Dermal_Exp[[#This Row],[Qu_High-End (Liquid or Mist)]]*Dermal_Exp[[#This Row],[Liquid or Mist]]+Dermal_Exp[[#This Row],[Qu_High-End (Solid)]]*Dermal_Exp[[#This Row],[Solid]])*Dermal_Exp[[#This Row],[FT_High-End]],"Not Assessed")</f>
        <v>2247</v>
      </c>
      <c r="S6" s="317">
        <f>IFERROR(Dermal_Exp[[#This Row],[SA_Central Tendency (One hand)]]*(Dermal_Exp[[#This Row],[Qu_Central Tendency (Liquid or Mist)]]*Dermal_Exp[[#This Row],[Liquid or Mist]]+Dermal_Exp[[#This Row],[Qu_Central Tendency (Solid)]]*Dermal_Exp[[#This Row],[Solid]])*Dermal_Exp[[#This Row],[FT_Central Tendency]],"Not Assessed")</f>
        <v>749</v>
      </c>
      <c r="T6" s="317">
        <f>IFERROR(Dermal_Exp[[#This Row],[APDR_High-End]]/BW_F,"Not Assessed")</f>
        <v>28.087499999999999</v>
      </c>
      <c r="U6" s="317">
        <f>IFERROR(Dermal_Exp[[#This Row],[APDR_Central Tendency]]/BW_F,"Not Assessed")</f>
        <v>9.3625000000000007</v>
      </c>
      <c r="V6" s="317">
        <f>IFERROR(Dermal_Exp[[#This Row],[AAD_High-End]]*IF(Dermal_Exp[[#This Row],[EF_High-End]]&gt;EFID,EFID,Dermal_Exp[[#This Row],[EF_High-End]])/ID,"Not Assessed")</f>
        <v>20.5975</v>
      </c>
      <c r="W6" s="317">
        <f>IFERROR(Dermal_Exp[[#This Row],[AAD_Central Tendency]]*IF(Dermal_Exp[[#This Row],[EF_Central Tendency]]&gt;EFID,EFID,Dermal_Exp[[#This Row],[EF_Central Tendency]])/ID,"Not Assessed")</f>
        <v>6.8658333333333337</v>
      </c>
      <c r="X6" s="317">
        <f>IFERROR(Dermal_Exp[[#This Row],[AAD_High-End]]*Dermal_Exp[[#This Row],[EF_High-End]]*WY_high/(365*WY_high),"Not Assessed")</f>
        <v>19.238013698630137</v>
      </c>
      <c r="Y6" s="317">
        <f>IFERROR(Dermal_Exp[[#This Row],[AAD_Central Tendency]]*Dermal_Exp[[#This Row],[EF_Central Tendency]]*WY_mid/(365*WY_mid),"Not Assessed")</f>
        <v>6.4126712328767121</v>
      </c>
    </row>
    <row r="7" spans="1:25" x14ac:dyDescent="0.3">
      <c r="A7" s="306">
        <v>1</v>
      </c>
      <c r="B7" s="310" t="s">
        <v>33</v>
      </c>
      <c r="C7" s="308" t="s">
        <v>267</v>
      </c>
      <c r="D7" s="206" t="s">
        <v>73</v>
      </c>
      <c r="E7" s="486" t="s">
        <v>349</v>
      </c>
      <c r="F7" s="486">
        <v>1</v>
      </c>
      <c r="G7" s="486">
        <v>0</v>
      </c>
      <c r="H7" s="300">
        <v>250</v>
      </c>
      <c r="I7" s="300">
        <v>250</v>
      </c>
      <c r="J7" s="487">
        <v>1</v>
      </c>
      <c r="K7" s="487">
        <v>1</v>
      </c>
      <c r="L7" s="488">
        <f>IF(Dermal_Exp[[#This Row],[Worker Type]]="ONU",AH1_cm2_F,AH2_cm2_F)</f>
        <v>1070</v>
      </c>
      <c r="M7" s="488">
        <f t="shared" si="0"/>
        <v>535</v>
      </c>
      <c r="N7" s="487">
        <f>IF(Dermal_Exp[[#This Row],[Physical Form]]="Liquid",2.1,IF(Dermal_Exp[[#This Row],[Physical Form]]="Solid",0,IF(Dermal_Exp[[#This Row],[Physical Form]]="Liquid &amp; Solid",2.1,IF(Dermal_Exp[[#This Row],[Similar Exposure Group (SEG)]]="ONU",1.4,10.3))))</f>
        <v>2.1</v>
      </c>
      <c r="O7" s="487">
        <f>IF(Dermal_Exp[[#This Row],[Physical Form]]="Liquid",1.4,IF(Dermal_Exp[[#This Row],[Physical Form]]="Solid",0,IF(Dermal_Exp[[#This Row],[Physical Form]]="Liquid &amp; Solid",1.4,IF(Dermal_Exp[[#This Row],[Similar Exposure Group (SEG)]]="ONU",1.4,3.8))))</f>
        <v>1.4</v>
      </c>
      <c r="P7" s="487">
        <f>IF(Dermal_Exp[[#This Row],[Physical Form]]="Liquid",0,IF(Dermal_Exp[[#This Row],[Physical Form]]="Solid",1100/Dermal_Exp[[#This Row],[SA_High-End (Two hands)]],IF(Dermal_Exp[[#This Row],[Physical Form]]="Liquid &amp; Solid",1100/Dermal_Exp[[#This Row],[SA_High-End (Two hands)]],0)))</f>
        <v>0</v>
      </c>
      <c r="Q7" s="487">
        <f>IF(Dermal_Exp[[#This Row],[Physical Form]]="Liquid",0,IF(Dermal_Exp[[#This Row],[Physical Form]]="Solid",450/Dermal_Exp[[#This Row],[SA_Central Tendency (One hand)]],IF(Dermal_Exp[[#This Row],[Physical Form]]="Liquid &amp; Solid",450/Dermal_Exp[[#This Row],[SA_Central Tendency (One hand)]],0)))</f>
        <v>0</v>
      </c>
      <c r="R7" s="317">
        <f>IFERROR(Dermal_Exp[[#This Row],[SA_High-End (Two hands)]]*(Dermal_Exp[[#This Row],[Qu_High-End (Liquid or Mist)]]*Dermal_Exp[[#This Row],[Liquid or Mist]]+Dermal_Exp[[#This Row],[Qu_High-End (Solid)]]*Dermal_Exp[[#This Row],[Solid]])*Dermal_Exp[[#This Row],[FT_High-End]],"Not Assessed")</f>
        <v>2247</v>
      </c>
      <c r="S7" s="317">
        <f>IFERROR(Dermal_Exp[[#This Row],[SA_Central Tendency (One hand)]]*(Dermal_Exp[[#This Row],[Qu_Central Tendency (Liquid or Mist)]]*Dermal_Exp[[#This Row],[Liquid or Mist]]+Dermal_Exp[[#This Row],[Qu_Central Tendency (Solid)]]*Dermal_Exp[[#This Row],[Solid]])*Dermal_Exp[[#This Row],[FT_Central Tendency]],"Not Assessed")</f>
        <v>749</v>
      </c>
      <c r="T7" s="317">
        <f>IFERROR(Dermal_Exp[[#This Row],[APDR_High-End]]/BW_F,"Not Assessed")</f>
        <v>28.087499999999999</v>
      </c>
      <c r="U7" s="317">
        <f>IFERROR(Dermal_Exp[[#This Row],[APDR_Central Tendency]]/BW_F,"Not Assessed")</f>
        <v>9.3625000000000007</v>
      </c>
      <c r="V7" s="317">
        <f>IFERROR(Dermal_Exp[[#This Row],[AAD_High-End]]*IF(Dermal_Exp[[#This Row],[EF_High-End]]&gt;EFID,EFID,Dermal_Exp[[#This Row],[EF_High-End]])/ID,"Not Assessed")</f>
        <v>20.5975</v>
      </c>
      <c r="W7" s="317">
        <f>IFERROR(Dermal_Exp[[#This Row],[AAD_Central Tendency]]*IF(Dermal_Exp[[#This Row],[EF_Central Tendency]]&gt;EFID,EFID,Dermal_Exp[[#This Row],[EF_Central Tendency]])/ID,"Not Assessed")</f>
        <v>6.8658333333333337</v>
      </c>
      <c r="X7" s="317">
        <f>IFERROR(Dermal_Exp[[#This Row],[AAD_High-End]]*Dermal_Exp[[#This Row],[EF_High-End]]*WY_high/(365*WY_high),"Not Assessed")</f>
        <v>19.238013698630137</v>
      </c>
      <c r="Y7" s="317">
        <f>IFERROR(Dermal_Exp[[#This Row],[AAD_Central Tendency]]*Dermal_Exp[[#This Row],[EF_Central Tendency]]*WY_mid/(365*WY_mid),"Not Assessed")</f>
        <v>6.4126712328767121</v>
      </c>
    </row>
    <row r="8" spans="1:25" x14ac:dyDescent="0.3">
      <c r="A8" s="306">
        <v>1</v>
      </c>
      <c r="B8" s="310" t="s">
        <v>33</v>
      </c>
      <c r="C8" s="308" t="s">
        <v>268</v>
      </c>
      <c r="D8" s="206" t="s">
        <v>73</v>
      </c>
      <c r="E8" s="486" t="s">
        <v>349</v>
      </c>
      <c r="F8" s="486">
        <v>1</v>
      </c>
      <c r="G8" s="486">
        <v>0</v>
      </c>
      <c r="H8" s="300">
        <v>250</v>
      </c>
      <c r="I8" s="300">
        <v>250</v>
      </c>
      <c r="J8" s="487">
        <v>1</v>
      </c>
      <c r="K8" s="487">
        <v>1</v>
      </c>
      <c r="L8" s="487">
        <f>IF(Dermal_Exp[[#This Row],[Worker Type]]="ONU",AH1_cm2_F,AH2_cm2_F)</f>
        <v>1070</v>
      </c>
      <c r="M8" s="487">
        <f t="shared" si="0"/>
        <v>535</v>
      </c>
      <c r="N8" s="487">
        <f>IF(Dermal_Exp[[#This Row],[Physical Form]]="Liquid",2.1,IF(Dermal_Exp[[#This Row],[Physical Form]]="Solid",0,IF(Dermal_Exp[[#This Row],[Physical Form]]="Liquid &amp; Solid",2.1,IF(Dermal_Exp[[#This Row],[Similar Exposure Group (SEG)]]="ONU",1.4,10.3))))</f>
        <v>2.1</v>
      </c>
      <c r="O8" s="487">
        <f>IF(Dermal_Exp[[#This Row],[Physical Form]]="Liquid",1.4,IF(Dermal_Exp[[#This Row],[Physical Form]]="Solid",0,IF(Dermal_Exp[[#This Row],[Physical Form]]="Liquid &amp; Solid",1.4,IF(Dermal_Exp[[#This Row],[Similar Exposure Group (SEG)]]="ONU",1.4,3.8))))</f>
        <v>1.4</v>
      </c>
      <c r="P8" s="487">
        <f>IF(Dermal_Exp[[#This Row],[Physical Form]]="Liquid",0,IF(Dermal_Exp[[#This Row],[Physical Form]]="Solid",1100/Dermal_Exp[[#This Row],[SA_High-End (Two hands)]],IF(Dermal_Exp[[#This Row],[Physical Form]]="Liquid &amp; Solid",1100/Dermal_Exp[[#This Row],[SA_High-End (Two hands)]],0)))</f>
        <v>0</v>
      </c>
      <c r="Q8" s="487">
        <f>IF(Dermal_Exp[[#This Row],[Physical Form]]="Liquid",0,IF(Dermal_Exp[[#This Row],[Physical Form]]="Solid",450/Dermal_Exp[[#This Row],[SA_Central Tendency (One hand)]],IF(Dermal_Exp[[#This Row],[Physical Form]]="Liquid &amp; Solid",450/Dermal_Exp[[#This Row],[SA_Central Tendency (One hand)]],0)))</f>
        <v>0</v>
      </c>
      <c r="R8" s="317">
        <f>IFERROR(Dermal_Exp[[#This Row],[SA_High-End (Two hands)]]*(Dermal_Exp[[#This Row],[Qu_High-End (Liquid or Mist)]]*Dermal_Exp[[#This Row],[Liquid or Mist]]+Dermal_Exp[[#This Row],[Qu_High-End (Solid)]]*Dermal_Exp[[#This Row],[Solid]])*Dermal_Exp[[#This Row],[FT_High-End]],"Not Assessed")</f>
        <v>2247</v>
      </c>
      <c r="S8" s="317">
        <f>IFERROR(Dermal_Exp[[#This Row],[SA_Central Tendency (One hand)]]*(Dermal_Exp[[#This Row],[Qu_Central Tendency (Liquid or Mist)]]*Dermal_Exp[[#This Row],[Liquid or Mist]]+Dermal_Exp[[#This Row],[Qu_Central Tendency (Solid)]]*Dermal_Exp[[#This Row],[Solid]])*Dermal_Exp[[#This Row],[FT_Central Tendency]],"Not Assessed")</f>
        <v>749</v>
      </c>
      <c r="T8" s="317">
        <f>IFERROR(Dermal_Exp[[#This Row],[APDR_High-End]]/BW_F,"Not Assessed")</f>
        <v>28.087499999999999</v>
      </c>
      <c r="U8" s="317">
        <f>IFERROR(Dermal_Exp[[#This Row],[APDR_Central Tendency]]/BW_F,"Not Assessed")</f>
        <v>9.3625000000000007</v>
      </c>
      <c r="V8" s="317">
        <f>IFERROR(Dermal_Exp[[#This Row],[AAD_High-End]]*IF(Dermal_Exp[[#This Row],[EF_High-End]]&gt;EFID,EFID,Dermal_Exp[[#This Row],[EF_High-End]])/ID,"Not Assessed")</f>
        <v>20.5975</v>
      </c>
      <c r="W8" s="317">
        <f>IFERROR(Dermal_Exp[[#This Row],[AAD_Central Tendency]]*IF(Dermal_Exp[[#This Row],[EF_Central Tendency]]&gt;EFID,EFID,Dermal_Exp[[#This Row],[EF_Central Tendency]])/ID,"Not Assessed")</f>
        <v>6.8658333333333337</v>
      </c>
      <c r="X8" s="317">
        <f>IFERROR(Dermal_Exp[[#This Row],[AAD_High-End]]*Dermal_Exp[[#This Row],[EF_High-End]]*WY_high/(365*WY_high),"Not Assessed")</f>
        <v>19.238013698630137</v>
      </c>
      <c r="Y8" s="317">
        <f>IFERROR(Dermal_Exp[[#This Row],[AAD_Central Tendency]]*Dermal_Exp[[#This Row],[EF_Central Tendency]]*WY_mid/(365*WY_mid),"Not Assessed")</f>
        <v>6.4126712328767121</v>
      </c>
    </row>
    <row r="9" spans="1:25" s="497" customFormat="1" x14ac:dyDescent="0.3">
      <c r="A9" s="489">
        <v>1</v>
      </c>
      <c r="B9" s="490" t="s">
        <v>243</v>
      </c>
      <c r="C9" s="491" t="s">
        <v>264</v>
      </c>
      <c r="D9" s="492" t="s">
        <v>73</v>
      </c>
      <c r="E9" s="493" t="s">
        <v>349</v>
      </c>
      <c r="F9" s="493">
        <v>1</v>
      </c>
      <c r="G9" s="493">
        <v>0</v>
      </c>
      <c r="H9" s="494">
        <v>250</v>
      </c>
      <c r="I9" s="494">
        <v>235</v>
      </c>
      <c r="J9" s="495">
        <v>1</v>
      </c>
      <c r="K9" s="495">
        <v>1</v>
      </c>
      <c r="L9" s="494">
        <f>IF(Dermal_Exp[[#This Row],[Worker Type]]="ONU",AH1_cm2_F,AH2_cm2_F)</f>
        <v>1070</v>
      </c>
      <c r="M9" s="494">
        <f t="shared" si="0"/>
        <v>535</v>
      </c>
      <c r="N9" s="495">
        <f>IF(Dermal_Exp[[#This Row],[Physical Form]]="Liquid",2.1,IF(Dermal_Exp[[#This Row],[Physical Form]]="Solid",0,IF(Dermal_Exp[[#This Row],[Physical Form]]="Liquid &amp; Solid",2.1,IF(Dermal_Exp[[#This Row],[Similar Exposure Group (SEG)]]="ONU",1.4,10.3))))</f>
        <v>2.1</v>
      </c>
      <c r="O9" s="495">
        <f>IF(Dermal_Exp[[#This Row],[Physical Form]]="Liquid",1.4,IF(Dermal_Exp[[#This Row],[Physical Form]]="Solid",0,IF(Dermal_Exp[[#This Row],[Physical Form]]="Liquid &amp; Solid",1.4,IF(Dermal_Exp[[#This Row],[Similar Exposure Group (SEG)]]="ONU",1.4,3.8))))</f>
        <v>1.4</v>
      </c>
      <c r="P9" s="495">
        <f>IF(Dermal_Exp[[#This Row],[Physical Form]]="Liquid",0,IF(Dermal_Exp[[#This Row],[Physical Form]]="Solid",1100/Dermal_Exp[[#This Row],[SA_High-End (Two hands)]],IF(Dermal_Exp[[#This Row],[Physical Form]]="Liquid &amp; Solid",1100/Dermal_Exp[[#This Row],[SA_High-End (Two hands)]],0)))</f>
        <v>0</v>
      </c>
      <c r="Q9" s="495">
        <f>IF(Dermal_Exp[[#This Row],[Physical Form]]="Liquid",0,IF(Dermal_Exp[[#This Row],[Physical Form]]="Solid",450/Dermal_Exp[[#This Row],[SA_Central Tendency (One hand)]],IF(Dermal_Exp[[#This Row],[Physical Form]]="Liquid &amp; Solid",450/Dermal_Exp[[#This Row],[SA_Central Tendency (One hand)]],0)))</f>
        <v>0</v>
      </c>
      <c r="R9" s="496">
        <f>IFERROR(Dermal_Exp[[#This Row],[SA_High-End (Two hands)]]*(Dermal_Exp[[#This Row],[Qu_High-End (Liquid or Mist)]]*Dermal_Exp[[#This Row],[Liquid or Mist]]+Dermal_Exp[[#This Row],[Qu_High-End (Solid)]]*Dermal_Exp[[#This Row],[Solid]])*Dermal_Exp[[#This Row],[FT_High-End]],"Not Assessed")</f>
        <v>2247</v>
      </c>
      <c r="S9" s="496">
        <f>IFERROR(Dermal_Exp[[#This Row],[SA_Central Tendency (One hand)]]*(Dermal_Exp[[#This Row],[Qu_Central Tendency (Liquid or Mist)]]*Dermal_Exp[[#This Row],[Liquid or Mist]]+Dermal_Exp[[#This Row],[Qu_Central Tendency (Solid)]]*Dermal_Exp[[#This Row],[Solid]])*Dermal_Exp[[#This Row],[FT_Central Tendency]],"Not Assessed")</f>
        <v>749</v>
      </c>
      <c r="T9" s="496">
        <f>IFERROR(Dermal_Exp[[#This Row],[APDR_High-End]]/BW_F,"Not Assessed")</f>
        <v>28.087499999999999</v>
      </c>
      <c r="U9" s="496">
        <f>IFERROR(Dermal_Exp[[#This Row],[APDR_Central Tendency]]/BW_F,"Not Assessed")</f>
        <v>9.3625000000000007</v>
      </c>
      <c r="V9" s="496">
        <f>IFERROR(Dermal_Exp[[#This Row],[AAD_High-End]]*IF(Dermal_Exp[[#This Row],[EF_High-End]]&gt;EFID,EFID,Dermal_Exp[[#This Row],[EF_High-End]])/ID,"Not Assessed")</f>
        <v>20.5975</v>
      </c>
      <c r="W9" s="496">
        <f>IFERROR(Dermal_Exp[[#This Row],[AAD_Central Tendency]]*IF(Dermal_Exp[[#This Row],[EF_Central Tendency]]&gt;EFID,EFID,Dermal_Exp[[#This Row],[EF_Central Tendency]])/ID,"Not Assessed")</f>
        <v>6.8658333333333337</v>
      </c>
      <c r="X9" s="496">
        <f>IFERROR(Dermal_Exp[[#This Row],[AAD_High-End]]*Dermal_Exp[[#This Row],[EF_High-End]]*WY_high/(365*WY_high),"Not Assessed")</f>
        <v>19.238013698630137</v>
      </c>
      <c r="Y9" s="496">
        <f>IFERROR(Dermal_Exp[[#This Row],[AAD_Central Tendency]]*Dermal_Exp[[#This Row],[EF_Central Tendency]]*WY_mid/(365*WY_mid),"Not Assessed")</f>
        <v>6.0279109589041093</v>
      </c>
    </row>
    <row r="10" spans="1:25" s="497" customFormat="1" x14ac:dyDescent="0.3">
      <c r="A10" s="489">
        <v>1</v>
      </c>
      <c r="B10" s="490" t="s">
        <v>243</v>
      </c>
      <c r="C10" s="491" t="s">
        <v>265</v>
      </c>
      <c r="D10" s="492" t="s">
        <v>73</v>
      </c>
      <c r="E10" s="493" t="s">
        <v>349</v>
      </c>
      <c r="F10" s="493">
        <v>1</v>
      </c>
      <c r="G10" s="493">
        <v>0</v>
      </c>
      <c r="H10" s="494">
        <v>250</v>
      </c>
      <c r="I10" s="494">
        <v>235</v>
      </c>
      <c r="J10" s="495">
        <v>1</v>
      </c>
      <c r="K10" s="495">
        <v>1</v>
      </c>
      <c r="L10" s="494">
        <f>IF(Dermal_Exp[[#This Row],[Worker Type]]="ONU",AH1_cm2_F,AH2_cm2_F)</f>
        <v>1070</v>
      </c>
      <c r="M10" s="494">
        <f t="shared" si="0"/>
        <v>535</v>
      </c>
      <c r="N10" s="495">
        <f>IF(Dermal_Exp[[#This Row],[Physical Form]]="Liquid",2.1,IF(Dermal_Exp[[#This Row],[Physical Form]]="Solid",0,IF(Dermal_Exp[[#This Row],[Physical Form]]="Liquid &amp; Solid",2.1,IF(Dermal_Exp[[#This Row],[Similar Exposure Group (SEG)]]="ONU",1.4,10.3))))</f>
        <v>2.1</v>
      </c>
      <c r="O10" s="495">
        <f>IF(Dermal_Exp[[#This Row],[Physical Form]]="Liquid",1.4,IF(Dermal_Exp[[#This Row],[Physical Form]]="Solid",0,IF(Dermal_Exp[[#This Row],[Physical Form]]="Liquid &amp; Solid",1.4,IF(Dermal_Exp[[#This Row],[Similar Exposure Group (SEG)]]="ONU",1.4,3.8))))</f>
        <v>1.4</v>
      </c>
      <c r="P10" s="495">
        <f>IF(Dermal_Exp[[#This Row],[Physical Form]]="Liquid",0,IF(Dermal_Exp[[#This Row],[Physical Form]]="Solid",1100/Dermal_Exp[[#This Row],[SA_High-End (Two hands)]],IF(Dermal_Exp[[#This Row],[Physical Form]]="Liquid &amp; Solid",1100/Dermal_Exp[[#This Row],[SA_High-End (Two hands)]],0)))</f>
        <v>0</v>
      </c>
      <c r="Q10" s="495">
        <f>IF(Dermal_Exp[[#This Row],[Physical Form]]="Liquid",0,IF(Dermal_Exp[[#This Row],[Physical Form]]="Solid",450/Dermal_Exp[[#This Row],[SA_Central Tendency (One hand)]],IF(Dermal_Exp[[#This Row],[Physical Form]]="Liquid &amp; Solid",450/Dermal_Exp[[#This Row],[SA_Central Tendency (One hand)]],0)))</f>
        <v>0</v>
      </c>
      <c r="R10" s="496">
        <f>IFERROR(Dermal_Exp[[#This Row],[SA_High-End (Two hands)]]*(Dermal_Exp[[#This Row],[Qu_High-End (Liquid or Mist)]]*Dermal_Exp[[#This Row],[Liquid or Mist]]+Dermal_Exp[[#This Row],[Qu_High-End (Solid)]]*Dermal_Exp[[#This Row],[Solid]])*Dermal_Exp[[#This Row],[FT_High-End]],"Not Assessed")</f>
        <v>2247</v>
      </c>
      <c r="S10" s="496">
        <f>IFERROR(Dermal_Exp[[#This Row],[SA_Central Tendency (One hand)]]*(Dermal_Exp[[#This Row],[Qu_Central Tendency (Liquid or Mist)]]*Dermal_Exp[[#This Row],[Liquid or Mist]]+Dermal_Exp[[#This Row],[Qu_Central Tendency (Solid)]]*Dermal_Exp[[#This Row],[Solid]])*Dermal_Exp[[#This Row],[FT_Central Tendency]],"Not Assessed")</f>
        <v>749</v>
      </c>
      <c r="T10" s="496">
        <f>IFERROR(Dermal_Exp[[#This Row],[APDR_High-End]]/BW_F,"Not Assessed")</f>
        <v>28.087499999999999</v>
      </c>
      <c r="U10" s="496">
        <f>IFERROR(Dermal_Exp[[#This Row],[APDR_Central Tendency]]/BW_F,"Not Assessed")</f>
        <v>9.3625000000000007</v>
      </c>
      <c r="V10" s="496">
        <f>IFERROR(Dermal_Exp[[#This Row],[AAD_High-End]]*IF(Dermal_Exp[[#This Row],[EF_High-End]]&gt;EFID,EFID,Dermal_Exp[[#This Row],[EF_High-End]])/ID,"Not Assessed")</f>
        <v>20.5975</v>
      </c>
      <c r="W10" s="496">
        <f>IFERROR(Dermal_Exp[[#This Row],[AAD_Central Tendency]]*IF(Dermal_Exp[[#This Row],[EF_Central Tendency]]&gt;EFID,EFID,Dermal_Exp[[#This Row],[EF_Central Tendency]])/ID,"Not Assessed")</f>
        <v>6.8658333333333337</v>
      </c>
      <c r="X10" s="496">
        <f>IFERROR(Dermal_Exp[[#This Row],[AAD_High-End]]*Dermal_Exp[[#This Row],[EF_High-End]]*WY_high/(365*WY_high),"Not Assessed")</f>
        <v>19.238013698630137</v>
      </c>
      <c r="Y10" s="496">
        <f>IFERROR(Dermal_Exp[[#This Row],[AAD_Central Tendency]]*Dermal_Exp[[#This Row],[EF_Central Tendency]]*WY_mid/(365*WY_mid),"Not Assessed")</f>
        <v>6.0279109589041093</v>
      </c>
    </row>
    <row r="11" spans="1:25" s="497" customFormat="1" x14ac:dyDescent="0.3">
      <c r="A11" s="498">
        <v>1</v>
      </c>
      <c r="B11" s="490" t="s">
        <v>243</v>
      </c>
      <c r="C11" s="491" t="s">
        <v>266</v>
      </c>
      <c r="D11" s="492" t="s">
        <v>73</v>
      </c>
      <c r="E11" s="493" t="s">
        <v>349</v>
      </c>
      <c r="F11" s="493">
        <v>1</v>
      </c>
      <c r="G11" s="493">
        <v>0</v>
      </c>
      <c r="H11" s="494">
        <v>250</v>
      </c>
      <c r="I11" s="494">
        <v>235</v>
      </c>
      <c r="J11" s="495">
        <v>1</v>
      </c>
      <c r="K11" s="495">
        <v>1</v>
      </c>
      <c r="L11" s="495">
        <f>IF(Dermal_Exp[[#This Row],[Worker Type]]="ONU",AH1_cm2_F,AH2_cm2_F)</f>
        <v>1070</v>
      </c>
      <c r="M11" s="495">
        <f t="shared" si="0"/>
        <v>535</v>
      </c>
      <c r="N11" s="495">
        <f>IF(Dermal_Exp[[#This Row],[Physical Form]]="Liquid",2.1,IF(Dermal_Exp[[#This Row],[Physical Form]]="Solid",0,IF(Dermal_Exp[[#This Row],[Physical Form]]="Liquid &amp; Solid",2.1,IF(Dermal_Exp[[#This Row],[Similar Exposure Group (SEG)]]="ONU",1.4,10.3))))</f>
        <v>2.1</v>
      </c>
      <c r="O11" s="495">
        <f>IF(Dermal_Exp[[#This Row],[Physical Form]]="Liquid",1.4,IF(Dermal_Exp[[#This Row],[Physical Form]]="Solid",0,IF(Dermal_Exp[[#This Row],[Physical Form]]="Liquid &amp; Solid",1.4,IF(Dermal_Exp[[#This Row],[Similar Exposure Group (SEG)]]="ONU",1.4,3.8))))</f>
        <v>1.4</v>
      </c>
      <c r="P11" s="495">
        <f>IF(Dermal_Exp[[#This Row],[Physical Form]]="Liquid",0,IF(Dermal_Exp[[#This Row],[Physical Form]]="Solid",1100/Dermal_Exp[[#This Row],[SA_High-End (Two hands)]],IF(Dermal_Exp[[#This Row],[Physical Form]]="Liquid &amp; Solid",1100/Dermal_Exp[[#This Row],[SA_High-End (Two hands)]],0)))</f>
        <v>0</v>
      </c>
      <c r="Q11" s="495">
        <f>IF(Dermal_Exp[[#This Row],[Physical Form]]="Liquid",0,IF(Dermal_Exp[[#This Row],[Physical Form]]="Solid",450/Dermal_Exp[[#This Row],[SA_Central Tendency (One hand)]],IF(Dermal_Exp[[#This Row],[Physical Form]]="Liquid &amp; Solid",450/Dermal_Exp[[#This Row],[SA_Central Tendency (One hand)]],0)))</f>
        <v>0</v>
      </c>
      <c r="R11" s="496">
        <f>IFERROR(Dermal_Exp[[#This Row],[SA_High-End (Two hands)]]*(Dermal_Exp[[#This Row],[Qu_High-End (Liquid or Mist)]]*Dermal_Exp[[#This Row],[Liquid or Mist]]+Dermal_Exp[[#This Row],[Qu_High-End (Solid)]]*Dermal_Exp[[#This Row],[Solid]])*Dermal_Exp[[#This Row],[FT_High-End]],"Not Assessed")</f>
        <v>2247</v>
      </c>
      <c r="S11" s="496">
        <f>IFERROR(Dermal_Exp[[#This Row],[SA_Central Tendency (One hand)]]*(Dermal_Exp[[#This Row],[Qu_Central Tendency (Liquid or Mist)]]*Dermal_Exp[[#This Row],[Liquid or Mist]]+Dermal_Exp[[#This Row],[Qu_Central Tendency (Solid)]]*Dermal_Exp[[#This Row],[Solid]])*Dermal_Exp[[#This Row],[FT_Central Tendency]],"Not Assessed")</f>
        <v>749</v>
      </c>
      <c r="T11" s="496">
        <f>IFERROR(Dermal_Exp[[#This Row],[APDR_High-End]]/BW_F,"Not Assessed")</f>
        <v>28.087499999999999</v>
      </c>
      <c r="U11" s="496">
        <f>IFERROR(Dermal_Exp[[#This Row],[APDR_Central Tendency]]/BW_F,"Not Assessed")</f>
        <v>9.3625000000000007</v>
      </c>
      <c r="V11" s="496">
        <f>IFERROR(Dermal_Exp[[#This Row],[AAD_High-End]]*IF(Dermal_Exp[[#This Row],[EF_High-End]]&gt;EFID,EFID,Dermal_Exp[[#This Row],[EF_High-End]])/ID,"Not Assessed")</f>
        <v>20.5975</v>
      </c>
      <c r="W11" s="496">
        <f>IFERROR(Dermal_Exp[[#This Row],[AAD_Central Tendency]]*IF(Dermal_Exp[[#This Row],[EF_Central Tendency]]&gt;EFID,EFID,Dermal_Exp[[#This Row],[EF_Central Tendency]])/ID,"Not Assessed")</f>
        <v>6.8658333333333337</v>
      </c>
      <c r="X11" s="496">
        <f>IFERROR(Dermal_Exp[[#This Row],[AAD_High-End]]*Dermal_Exp[[#This Row],[EF_High-End]]*WY_high/(365*WY_high),"Not Assessed")</f>
        <v>19.238013698630137</v>
      </c>
      <c r="Y11" s="496">
        <f>IFERROR(Dermal_Exp[[#This Row],[AAD_Central Tendency]]*Dermal_Exp[[#This Row],[EF_Central Tendency]]*WY_mid/(365*WY_mid),"Not Assessed")</f>
        <v>6.0279109589041093</v>
      </c>
    </row>
    <row r="12" spans="1:25" s="497" customFormat="1" x14ac:dyDescent="0.3">
      <c r="A12" s="498">
        <v>1</v>
      </c>
      <c r="B12" s="490" t="s">
        <v>243</v>
      </c>
      <c r="C12" s="491" t="s">
        <v>267</v>
      </c>
      <c r="D12" s="492" t="s">
        <v>73</v>
      </c>
      <c r="E12" s="493" t="s">
        <v>349</v>
      </c>
      <c r="F12" s="493">
        <v>1</v>
      </c>
      <c r="G12" s="493">
        <v>0</v>
      </c>
      <c r="H12" s="494">
        <v>250</v>
      </c>
      <c r="I12" s="494">
        <v>235</v>
      </c>
      <c r="J12" s="495">
        <v>1</v>
      </c>
      <c r="K12" s="495">
        <v>1</v>
      </c>
      <c r="L12" s="494">
        <f>IF(Dermal_Exp[[#This Row],[Worker Type]]="ONU",AH1_cm2_F,AH2_cm2_F)</f>
        <v>1070</v>
      </c>
      <c r="M12" s="494">
        <f t="shared" si="0"/>
        <v>535</v>
      </c>
      <c r="N12" s="495">
        <f>IF(Dermal_Exp[[#This Row],[Physical Form]]="Liquid",2.1,IF(Dermal_Exp[[#This Row],[Physical Form]]="Solid",0,IF(Dermal_Exp[[#This Row],[Physical Form]]="Liquid &amp; Solid",2.1,IF(Dermal_Exp[[#This Row],[Similar Exposure Group (SEG)]]="ONU",1.4,10.3))))</f>
        <v>2.1</v>
      </c>
      <c r="O12" s="495">
        <f>IF(Dermal_Exp[[#This Row],[Physical Form]]="Liquid",1.4,IF(Dermal_Exp[[#This Row],[Physical Form]]="Solid",0,IF(Dermal_Exp[[#This Row],[Physical Form]]="Liquid &amp; Solid",1.4,IF(Dermal_Exp[[#This Row],[Similar Exposure Group (SEG)]]="ONU",1.4,3.8))))</f>
        <v>1.4</v>
      </c>
      <c r="P12" s="495">
        <f>IF(Dermal_Exp[[#This Row],[Physical Form]]="Liquid",0,IF(Dermal_Exp[[#This Row],[Physical Form]]="Solid",1100/Dermal_Exp[[#This Row],[SA_High-End (Two hands)]],IF(Dermal_Exp[[#This Row],[Physical Form]]="Liquid &amp; Solid",1100/Dermal_Exp[[#This Row],[SA_High-End (Two hands)]],0)))</f>
        <v>0</v>
      </c>
      <c r="Q12" s="495">
        <f>IF(Dermal_Exp[[#This Row],[Physical Form]]="Liquid",0,IF(Dermal_Exp[[#This Row],[Physical Form]]="Solid",450/Dermal_Exp[[#This Row],[SA_Central Tendency (One hand)]],IF(Dermal_Exp[[#This Row],[Physical Form]]="Liquid &amp; Solid",450/Dermal_Exp[[#This Row],[SA_Central Tendency (One hand)]],0)))</f>
        <v>0</v>
      </c>
      <c r="R12" s="496">
        <f>IFERROR(Dermal_Exp[[#This Row],[SA_High-End (Two hands)]]*(Dermal_Exp[[#This Row],[Qu_High-End (Liquid or Mist)]]*Dermal_Exp[[#This Row],[Liquid or Mist]]+Dermal_Exp[[#This Row],[Qu_High-End (Solid)]]*Dermal_Exp[[#This Row],[Solid]])*Dermal_Exp[[#This Row],[FT_High-End]],"Not Assessed")</f>
        <v>2247</v>
      </c>
      <c r="S12" s="496">
        <f>IFERROR(Dermal_Exp[[#This Row],[SA_Central Tendency (One hand)]]*(Dermal_Exp[[#This Row],[Qu_Central Tendency (Liquid or Mist)]]*Dermal_Exp[[#This Row],[Liquid or Mist]]+Dermal_Exp[[#This Row],[Qu_Central Tendency (Solid)]]*Dermal_Exp[[#This Row],[Solid]])*Dermal_Exp[[#This Row],[FT_Central Tendency]],"Not Assessed")</f>
        <v>749</v>
      </c>
      <c r="T12" s="496">
        <f>IFERROR(Dermal_Exp[[#This Row],[APDR_High-End]]/BW_F,"Not Assessed")</f>
        <v>28.087499999999999</v>
      </c>
      <c r="U12" s="496">
        <f>IFERROR(Dermal_Exp[[#This Row],[APDR_Central Tendency]]/BW_F,"Not Assessed")</f>
        <v>9.3625000000000007</v>
      </c>
      <c r="V12" s="496">
        <f>IFERROR(Dermal_Exp[[#This Row],[AAD_High-End]]*IF(Dermal_Exp[[#This Row],[EF_High-End]]&gt;EFID,EFID,Dermal_Exp[[#This Row],[EF_High-End]])/ID,"Not Assessed")</f>
        <v>20.5975</v>
      </c>
      <c r="W12" s="496">
        <f>IFERROR(Dermal_Exp[[#This Row],[AAD_Central Tendency]]*IF(Dermal_Exp[[#This Row],[EF_Central Tendency]]&gt;EFID,EFID,Dermal_Exp[[#This Row],[EF_Central Tendency]])/ID,"Not Assessed")</f>
        <v>6.8658333333333337</v>
      </c>
      <c r="X12" s="496">
        <f>IFERROR(Dermal_Exp[[#This Row],[AAD_High-End]]*Dermal_Exp[[#This Row],[EF_High-End]]*WY_high/(365*WY_high),"Not Assessed")</f>
        <v>19.238013698630137</v>
      </c>
      <c r="Y12" s="496">
        <f>IFERROR(Dermal_Exp[[#This Row],[AAD_Central Tendency]]*Dermal_Exp[[#This Row],[EF_Central Tendency]]*WY_mid/(365*WY_mid),"Not Assessed")</f>
        <v>6.0279109589041093</v>
      </c>
    </row>
    <row r="13" spans="1:25" s="497" customFormat="1" x14ac:dyDescent="0.3">
      <c r="A13" s="498">
        <v>1</v>
      </c>
      <c r="B13" s="490" t="s">
        <v>243</v>
      </c>
      <c r="C13" s="491" t="s">
        <v>268</v>
      </c>
      <c r="D13" s="492" t="s">
        <v>73</v>
      </c>
      <c r="E13" s="493" t="s">
        <v>349</v>
      </c>
      <c r="F13" s="493">
        <v>1</v>
      </c>
      <c r="G13" s="493">
        <v>0</v>
      </c>
      <c r="H13" s="494">
        <v>250</v>
      </c>
      <c r="I13" s="494">
        <v>235</v>
      </c>
      <c r="J13" s="495">
        <v>1</v>
      </c>
      <c r="K13" s="495">
        <v>1</v>
      </c>
      <c r="L13" s="494">
        <f>IF(Dermal_Exp[[#This Row],[Worker Type]]="ONU",AH1_cm2_F,AH2_cm2_F)</f>
        <v>1070</v>
      </c>
      <c r="M13" s="494">
        <f t="shared" si="0"/>
        <v>535</v>
      </c>
      <c r="N13" s="495">
        <f>IF(Dermal_Exp[[#This Row],[Physical Form]]="Liquid",2.1,IF(Dermal_Exp[[#This Row],[Physical Form]]="Solid",0,IF(Dermal_Exp[[#This Row],[Physical Form]]="Liquid &amp; Solid",2.1,IF(Dermal_Exp[[#This Row],[Similar Exposure Group (SEG)]]="ONU",1.4,10.3))))</f>
        <v>2.1</v>
      </c>
      <c r="O13" s="495">
        <f>IF(Dermal_Exp[[#This Row],[Physical Form]]="Liquid",1.4,IF(Dermal_Exp[[#This Row],[Physical Form]]="Solid",0,IF(Dermal_Exp[[#This Row],[Physical Form]]="Liquid &amp; Solid",1.4,IF(Dermal_Exp[[#This Row],[Similar Exposure Group (SEG)]]="ONU",1.4,3.8))))</f>
        <v>1.4</v>
      </c>
      <c r="P13" s="495">
        <f>IF(Dermal_Exp[[#This Row],[Physical Form]]="Liquid",0,IF(Dermal_Exp[[#This Row],[Physical Form]]="Solid",1100/Dermal_Exp[[#This Row],[SA_High-End (Two hands)]],IF(Dermal_Exp[[#This Row],[Physical Form]]="Liquid &amp; Solid",1100/Dermal_Exp[[#This Row],[SA_High-End (Two hands)]],0)))</f>
        <v>0</v>
      </c>
      <c r="Q13" s="495">
        <f>IF(Dermal_Exp[[#This Row],[Physical Form]]="Liquid",0,IF(Dermal_Exp[[#This Row],[Physical Form]]="Solid",450/Dermal_Exp[[#This Row],[SA_Central Tendency (One hand)]],IF(Dermal_Exp[[#This Row],[Physical Form]]="Liquid &amp; Solid",450/Dermal_Exp[[#This Row],[SA_Central Tendency (One hand)]],0)))</f>
        <v>0</v>
      </c>
      <c r="R13" s="496">
        <f>IFERROR(Dermal_Exp[[#This Row],[SA_High-End (Two hands)]]*(Dermal_Exp[[#This Row],[Qu_High-End (Liquid or Mist)]]*Dermal_Exp[[#This Row],[Liquid or Mist]]+Dermal_Exp[[#This Row],[Qu_High-End (Solid)]]*Dermal_Exp[[#This Row],[Solid]])*Dermal_Exp[[#This Row],[FT_High-End]],"Not Assessed")</f>
        <v>2247</v>
      </c>
      <c r="S13" s="496">
        <f>IFERROR(Dermal_Exp[[#This Row],[SA_Central Tendency (One hand)]]*(Dermal_Exp[[#This Row],[Qu_Central Tendency (Liquid or Mist)]]*Dermal_Exp[[#This Row],[Liquid or Mist]]+Dermal_Exp[[#This Row],[Qu_Central Tendency (Solid)]]*Dermal_Exp[[#This Row],[Solid]])*Dermal_Exp[[#This Row],[FT_Central Tendency]],"Not Assessed")</f>
        <v>749</v>
      </c>
      <c r="T13" s="496">
        <f>IFERROR(Dermal_Exp[[#This Row],[APDR_High-End]]/BW_F,"Not Assessed")</f>
        <v>28.087499999999999</v>
      </c>
      <c r="U13" s="496">
        <f>IFERROR(Dermal_Exp[[#This Row],[APDR_Central Tendency]]/BW_F,"Not Assessed")</f>
        <v>9.3625000000000007</v>
      </c>
      <c r="V13" s="496">
        <f>IFERROR(Dermal_Exp[[#This Row],[AAD_High-End]]*IF(Dermal_Exp[[#This Row],[EF_High-End]]&gt;EFID,EFID,Dermal_Exp[[#This Row],[EF_High-End]])/ID,"Not Assessed")</f>
        <v>20.5975</v>
      </c>
      <c r="W13" s="496">
        <f>IFERROR(Dermal_Exp[[#This Row],[AAD_Central Tendency]]*IF(Dermal_Exp[[#This Row],[EF_Central Tendency]]&gt;EFID,EFID,Dermal_Exp[[#This Row],[EF_Central Tendency]])/ID,"Not Assessed")</f>
        <v>6.8658333333333337</v>
      </c>
      <c r="X13" s="496">
        <f>IFERROR(Dermal_Exp[[#This Row],[AAD_High-End]]*Dermal_Exp[[#This Row],[EF_High-End]]*WY_high/(365*WY_high),"Not Assessed")</f>
        <v>19.238013698630137</v>
      </c>
      <c r="Y13" s="496">
        <f>IFERROR(Dermal_Exp[[#This Row],[AAD_Central Tendency]]*Dermal_Exp[[#This Row],[EF_Central Tendency]]*WY_mid/(365*WY_mid),"Not Assessed")</f>
        <v>6.0279109589041093</v>
      </c>
    </row>
    <row r="14" spans="1:25" x14ac:dyDescent="0.3">
      <c r="A14" s="305">
        <v>2</v>
      </c>
      <c r="B14" s="310" t="s">
        <v>244</v>
      </c>
      <c r="C14" s="308" t="s">
        <v>275</v>
      </c>
      <c r="D14" s="206" t="s">
        <v>73</v>
      </c>
      <c r="E14" s="486" t="s">
        <v>349</v>
      </c>
      <c r="F14" s="486">
        <v>1</v>
      </c>
      <c r="G14" s="486">
        <v>0</v>
      </c>
      <c r="H14" s="300">
        <v>250</v>
      </c>
      <c r="I14" s="300">
        <v>250</v>
      </c>
      <c r="J14" s="487">
        <v>1</v>
      </c>
      <c r="K14" s="487">
        <v>1</v>
      </c>
      <c r="L14" s="300">
        <f>IF(Dermal_Exp[[#This Row],[Worker Type]]="ONU",AH1_cm2_F,AH2_cm2_F)</f>
        <v>1070</v>
      </c>
      <c r="M14" s="300">
        <f t="shared" si="0"/>
        <v>535</v>
      </c>
      <c r="N14" s="487">
        <f>IF(Dermal_Exp[[#This Row],[Physical Form]]="Liquid",2.1,IF(Dermal_Exp[[#This Row],[Physical Form]]="Solid",0,IF(Dermal_Exp[[#This Row],[Physical Form]]="Liquid &amp; Solid",2.1,IF(Dermal_Exp[[#This Row],[Similar Exposure Group (SEG)]]="ONU",1.4,10.3))))</f>
        <v>2.1</v>
      </c>
      <c r="O14" s="487">
        <f>IF(Dermal_Exp[[#This Row],[Physical Form]]="Liquid",1.4,IF(Dermal_Exp[[#This Row],[Physical Form]]="Solid",0,IF(Dermal_Exp[[#This Row],[Physical Form]]="Liquid &amp; Solid",1.4,IF(Dermal_Exp[[#This Row],[Similar Exposure Group (SEG)]]="ONU",1.4,3.8))))</f>
        <v>1.4</v>
      </c>
      <c r="P14" s="487">
        <f>IF(Dermal_Exp[[#This Row],[Physical Form]]="Liquid",0,IF(Dermal_Exp[[#This Row],[Physical Form]]="Solid",1100/Dermal_Exp[[#This Row],[SA_High-End (Two hands)]],IF(Dermal_Exp[[#This Row],[Physical Form]]="Liquid &amp; Solid",1100/Dermal_Exp[[#This Row],[SA_High-End (Two hands)]],0)))</f>
        <v>0</v>
      </c>
      <c r="Q14" s="487">
        <f>IF(Dermal_Exp[[#This Row],[Physical Form]]="Liquid",0,IF(Dermal_Exp[[#This Row],[Physical Form]]="Solid",450/Dermal_Exp[[#This Row],[SA_Central Tendency (One hand)]],IF(Dermal_Exp[[#This Row],[Physical Form]]="Liquid &amp; Solid",450/Dermal_Exp[[#This Row],[SA_Central Tendency (One hand)]],0)))</f>
        <v>0</v>
      </c>
      <c r="R14" s="317">
        <f>IFERROR(Dermal_Exp[[#This Row],[SA_High-End (Two hands)]]*(Dermal_Exp[[#This Row],[Qu_High-End (Liquid or Mist)]]*Dermal_Exp[[#This Row],[Liquid or Mist]]+Dermal_Exp[[#This Row],[Qu_High-End (Solid)]]*Dermal_Exp[[#This Row],[Solid]])*Dermal_Exp[[#This Row],[FT_High-End]],"Not Assessed")</f>
        <v>2247</v>
      </c>
      <c r="S14" s="317">
        <f>IFERROR(Dermal_Exp[[#This Row],[SA_Central Tendency (One hand)]]*(Dermal_Exp[[#This Row],[Qu_Central Tendency (Liquid or Mist)]]*Dermal_Exp[[#This Row],[Liquid or Mist]]+Dermal_Exp[[#This Row],[Qu_Central Tendency (Solid)]]*Dermal_Exp[[#This Row],[Solid]])*Dermal_Exp[[#This Row],[FT_Central Tendency]],"Not Assessed")</f>
        <v>749</v>
      </c>
      <c r="T14" s="317">
        <f>IFERROR(Dermal_Exp[[#This Row],[APDR_High-End]]/BW_F,"Not Assessed")</f>
        <v>28.087499999999999</v>
      </c>
      <c r="U14" s="317">
        <f>IFERROR(Dermal_Exp[[#This Row],[APDR_Central Tendency]]/BW_F,"Not Assessed")</f>
        <v>9.3625000000000007</v>
      </c>
      <c r="V14" s="317">
        <f>IFERROR(Dermal_Exp[[#This Row],[AAD_High-End]]*IF(Dermal_Exp[[#This Row],[EF_High-End]]&gt;EFID,EFID,Dermal_Exp[[#This Row],[EF_High-End]])/ID,"Not Assessed")</f>
        <v>20.5975</v>
      </c>
      <c r="W14" s="317">
        <f>IFERROR(Dermal_Exp[[#This Row],[AAD_Central Tendency]]*IF(Dermal_Exp[[#This Row],[EF_Central Tendency]]&gt;EFID,EFID,Dermal_Exp[[#This Row],[EF_Central Tendency]])/ID,"Not Assessed")</f>
        <v>6.8658333333333337</v>
      </c>
      <c r="X14" s="317">
        <f>IFERROR(Dermal_Exp[[#This Row],[AAD_High-End]]*Dermal_Exp[[#This Row],[EF_High-End]]*WY_high/(365*WY_high),"Not Assessed")</f>
        <v>19.238013698630137</v>
      </c>
      <c r="Y14" s="317">
        <f>IFERROR(Dermal_Exp[[#This Row],[AAD_Central Tendency]]*Dermal_Exp[[#This Row],[EF_Central Tendency]]*WY_mid/(365*WY_mid),"Not Assessed")</f>
        <v>6.4126712328767121</v>
      </c>
    </row>
    <row r="15" spans="1:25" x14ac:dyDescent="0.3">
      <c r="A15" s="305">
        <v>2</v>
      </c>
      <c r="B15" s="310" t="s">
        <v>244</v>
      </c>
      <c r="C15" s="308" t="s">
        <v>264</v>
      </c>
      <c r="D15" s="206" t="s">
        <v>73</v>
      </c>
      <c r="E15" s="486" t="s">
        <v>349</v>
      </c>
      <c r="F15" s="486">
        <v>1</v>
      </c>
      <c r="G15" s="486">
        <v>0</v>
      </c>
      <c r="H15" s="300">
        <v>250</v>
      </c>
      <c r="I15" s="300">
        <v>250</v>
      </c>
      <c r="J15" s="487">
        <v>1</v>
      </c>
      <c r="K15" s="487">
        <v>1</v>
      </c>
      <c r="L15" s="300">
        <f>IF(Dermal_Exp[[#This Row],[Worker Type]]="ONU",AH1_cm2_F,AH2_cm2_F)</f>
        <v>1070</v>
      </c>
      <c r="M15" s="300">
        <f t="shared" si="0"/>
        <v>535</v>
      </c>
      <c r="N15" s="487">
        <f>IF(Dermal_Exp[[#This Row],[Physical Form]]="Liquid",2.1,IF(Dermal_Exp[[#This Row],[Physical Form]]="Solid",0,IF(Dermal_Exp[[#This Row],[Physical Form]]="Liquid &amp; Solid",2.1,IF(Dermal_Exp[[#This Row],[Similar Exposure Group (SEG)]]="ONU",1.4,10.3))))</f>
        <v>2.1</v>
      </c>
      <c r="O15" s="487">
        <f>IF(Dermal_Exp[[#This Row],[Physical Form]]="Liquid",1.4,IF(Dermal_Exp[[#This Row],[Physical Form]]="Solid",0,IF(Dermal_Exp[[#This Row],[Physical Form]]="Liquid &amp; Solid",1.4,IF(Dermal_Exp[[#This Row],[Similar Exposure Group (SEG)]]="ONU",1.4,3.8))))</f>
        <v>1.4</v>
      </c>
      <c r="P15" s="487">
        <f>IF(Dermal_Exp[[#This Row],[Physical Form]]="Liquid",0,IF(Dermal_Exp[[#This Row],[Physical Form]]="Solid",1100/Dermal_Exp[[#This Row],[SA_High-End (Two hands)]],IF(Dermal_Exp[[#This Row],[Physical Form]]="Liquid &amp; Solid",1100/Dermal_Exp[[#This Row],[SA_High-End (Two hands)]],0)))</f>
        <v>0</v>
      </c>
      <c r="Q15" s="487">
        <f>IF(Dermal_Exp[[#This Row],[Physical Form]]="Liquid",0,IF(Dermal_Exp[[#This Row],[Physical Form]]="Solid",450/Dermal_Exp[[#This Row],[SA_Central Tendency (One hand)]],IF(Dermal_Exp[[#This Row],[Physical Form]]="Liquid &amp; Solid",450/Dermal_Exp[[#This Row],[SA_Central Tendency (One hand)]],0)))</f>
        <v>0</v>
      </c>
      <c r="R15" s="317">
        <f>IFERROR(Dermal_Exp[[#This Row],[SA_High-End (Two hands)]]*(Dermal_Exp[[#This Row],[Qu_High-End (Liquid or Mist)]]*Dermal_Exp[[#This Row],[Liquid or Mist]]+Dermal_Exp[[#This Row],[Qu_High-End (Solid)]]*Dermal_Exp[[#This Row],[Solid]])*Dermal_Exp[[#This Row],[FT_High-End]],"Not Assessed")</f>
        <v>2247</v>
      </c>
      <c r="S15" s="317">
        <f>IFERROR(Dermal_Exp[[#This Row],[SA_Central Tendency (One hand)]]*(Dermal_Exp[[#This Row],[Qu_Central Tendency (Liquid or Mist)]]*Dermal_Exp[[#This Row],[Liquid or Mist]]+Dermal_Exp[[#This Row],[Qu_Central Tendency (Solid)]]*Dermal_Exp[[#This Row],[Solid]])*Dermal_Exp[[#This Row],[FT_Central Tendency]],"Not Assessed")</f>
        <v>749</v>
      </c>
      <c r="T15" s="317">
        <f>IFERROR(Dermal_Exp[[#This Row],[APDR_High-End]]/BW_F,"Not Assessed")</f>
        <v>28.087499999999999</v>
      </c>
      <c r="U15" s="317">
        <f>IFERROR(Dermal_Exp[[#This Row],[APDR_Central Tendency]]/BW_F,"Not Assessed")</f>
        <v>9.3625000000000007</v>
      </c>
      <c r="V15" s="317">
        <f>IFERROR(Dermal_Exp[[#This Row],[AAD_High-End]]*IF(Dermal_Exp[[#This Row],[EF_High-End]]&gt;EFID,EFID,Dermal_Exp[[#This Row],[EF_High-End]])/ID,"Not Assessed")</f>
        <v>20.5975</v>
      </c>
      <c r="W15" s="317">
        <f>IFERROR(Dermal_Exp[[#This Row],[AAD_Central Tendency]]*IF(Dermal_Exp[[#This Row],[EF_Central Tendency]]&gt;EFID,EFID,Dermal_Exp[[#This Row],[EF_Central Tendency]])/ID,"Not Assessed")</f>
        <v>6.8658333333333337</v>
      </c>
      <c r="X15" s="317">
        <f>IFERROR(Dermal_Exp[[#This Row],[AAD_High-End]]*Dermal_Exp[[#This Row],[EF_High-End]]*WY_high/(365*WY_high),"Not Assessed")</f>
        <v>19.238013698630137</v>
      </c>
      <c r="Y15" s="317">
        <f>IFERROR(Dermal_Exp[[#This Row],[AAD_Central Tendency]]*Dermal_Exp[[#This Row],[EF_Central Tendency]]*WY_mid/(365*WY_mid),"Not Assessed")</f>
        <v>6.4126712328767121</v>
      </c>
    </row>
    <row r="16" spans="1:25" x14ac:dyDescent="0.3">
      <c r="A16" s="305">
        <v>2</v>
      </c>
      <c r="B16" s="310" t="s">
        <v>244</v>
      </c>
      <c r="C16" s="308" t="s">
        <v>265</v>
      </c>
      <c r="D16" s="206" t="s">
        <v>73</v>
      </c>
      <c r="E16" s="486" t="s">
        <v>349</v>
      </c>
      <c r="F16" s="486">
        <v>1</v>
      </c>
      <c r="G16" s="486">
        <v>0</v>
      </c>
      <c r="H16" s="300">
        <v>250</v>
      </c>
      <c r="I16" s="300">
        <v>250</v>
      </c>
      <c r="J16" s="487">
        <v>1</v>
      </c>
      <c r="K16" s="487">
        <v>1</v>
      </c>
      <c r="L16" s="294">
        <f>IF(Dermal_Exp[[#This Row],[Worker Type]]="ONU",AH1_cm2_F,AH2_cm2_F)</f>
        <v>1070</v>
      </c>
      <c r="M16" s="294">
        <f t="shared" si="0"/>
        <v>535</v>
      </c>
      <c r="N16" s="487">
        <f>IF(Dermal_Exp[[#This Row],[Physical Form]]="Liquid",2.1,IF(Dermal_Exp[[#This Row],[Physical Form]]="Solid",0,IF(Dermal_Exp[[#This Row],[Physical Form]]="Liquid &amp; Solid",2.1,IF(Dermal_Exp[[#This Row],[Similar Exposure Group (SEG)]]="ONU",1.4,10.3))))</f>
        <v>2.1</v>
      </c>
      <c r="O16" s="487">
        <f>IF(Dermal_Exp[[#This Row],[Physical Form]]="Liquid",1.4,IF(Dermal_Exp[[#This Row],[Physical Form]]="Solid",0,IF(Dermal_Exp[[#This Row],[Physical Form]]="Liquid &amp; Solid",1.4,IF(Dermal_Exp[[#This Row],[Similar Exposure Group (SEG)]]="ONU",1.4,3.8))))</f>
        <v>1.4</v>
      </c>
      <c r="P16" s="487">
        <f>IF(Dermal_Exp[[#This Row],[Physical Form]]="Liquid",0,IF(Dermal_Exp[[#This Row],[Physical Form]]="Solid",1100/Dermal_Exp[[#This Row],[SA_High-End (Two hands)]],IF(Dermal_Exp[[#This Row],[Physical Form]]="Liquid &amp; Solid",1100/Dermal_Exp[[#This Row],[SA_High-End (Two hands)]],0)))</f>
        <v>0</v>
      </c>
      <c r="Q16" s="487">
        <f>IF(Dermal_Exp[[#This Row],[Physical Form]]="Liquid",0,IF(Dermal_Exp[[#This Row],[Physical Form]]="Solid",450/Dermal_Exp[[#This Row],[SA_Central Tendency (One hand)]],IF(Dermal_Exp[[#This Row],[Physical Form]]="Liquid &amp; Solid",450/Dermal_Exp[[#This Row],[SA_Central Tendency (One hand)]],0)))</f>
        <v>0</v>
      </c>
      <c r="R16" s="317">
        <f>IFERROR(Dermal_Exp[[#This Row],[SA_High-End (Two hands)]]*(Dermal_Exp[[#This Row],[Qu_High-End (Liquid or Mist)]]*Dermal_Exp[[#This Row],[Liquid or Mist]]+Dermal_Exp[[#This Row],[Qu_High-End (Solid)]]*Dermal_Exp[[#This Row],[Solid]])*Dermal_Exp[[#This Row],[FT_High-End]],"Not Assessed")</f>
        <v>2247</v>
      </c>
      <c r="S16" s="317">
        <f>IFERROR(Dermal_Exp[[#This Row],[SA_Central Tendency (One hand)]]*(Dermal_Exp[[#This Row],[Qu_Central Tendency (Liquid or Mist)]]*Dermal_Exp[[#This Row],[Liquid or Mist]]+Dermal_Exp[[#This Row],[Qu_Central Tendency (Solid)]]*Dermal_Exp[[#This Row],[Solid]])*Dermal_Exp[[#This Row],[FT_Central Tendency]],"Not Assessed")</f>
        <v>749</v>
      </c>
      <c r="T16" s="317">
        <f>IFERROR(Dermal_Exp[[#This Row],[APDR_High-End]]/BW_F,"Not Assessed")</f>
        <v>28.087499999999999</v>
      </c>
      <c r="U16" s="317">
        <f>IFERROR(Dermal_Exp[[#This Row],[APDR_Central Tendency]]/BW_F,"Not Assessed")</f>
        <v>9.3625000000000007</v>
      </c>
      <c r="V16" s="317">
        <f>IFERROR(Dermal_Exp[[#This Row],[AAD_High-End]]*IF(Dermal_Exp[[#This Row],[EF_High-End]]&gt;EFID,EFID,Dermal_Exp[[#This Row],[EF_High-End]])/ID,"Not Assessed")</f>
        <v>20.5975</v>
      </c>
      <c r="W16" s="317">
        <f>IFERROR(Dermal_Exp[[#This Row],[AAD_Central Tendency]]*IF(Dermal_Exp[[#This Row],[EF_Central Tendency]]&gt;EFID,EFID,Dermal_Exp[[#This Row],[EF_Central Tendency]])/ID,"Not Assessed")</f>
        <v>6.8658333333333337</v>
      </c>
      <c r="X16" s="317">
        <f>IFERROR(Dermal_Exp[[#This Row],[AAD_High-End]]*Dermal_Exp[[#This Row],[EF_High-End]]*WY_high/(365*WY_high),"Not Assessed")</f>
        <v>19.238013698630137</v>
      </c>
      <c r="Y16" s="317">
        <f>IFERROR(Dermal_Exp[[#This Row],[AAD_Central Tendency]]*Dermal_Exp[[#This Row],[EF_Central Tendency]]*WY_mid/(365*WY_mid),"Not Assessed")</f>
        <v>6.4126712328767121</v>
      </c>
    </row>
    <row r="17" spans="1:25" x14ac:dyDescent="0.3">
      <c r="A17" s="305">
        <v>2</v>
      </c>
      <c r="B17" s="310" t="s">
        <v>244</v>
      </c>
      <c r="C17" s="308" t="s">
        <v>266</v>
      </c>
      <c r="D17" s="206" t="s">
        <v>73</v>
      </c>
      <c r="E17" s="486" t="s">
        <v>349</v>
      </c>
      <c r="F17" s="486">
        <v>1</v>
      </c>
      <c r="G17" s="486">
        <v>0</v>
      </c>
      <c r="H17" s="300">
        <v>250</v>
      </c>
      <c r="I17" s="300">
        <v>250</v>
      </c>
      <c r="J17" s="487">
        <v>1</v>
      </c>
      <c r="K17" s="487">
        <v>1</v>
      </c>
      <c r="L17" s="300">
        <f>IF(Dermal_Exp[[#This Row],[Worker Type]]="ONU",AH1_cm2_F,AH2_cm2_F)</f>
        <v>1070</v>
      </c>
      <c r="M17" s="300">
        <f t="shared" si="0"/>
        <v>535</v>
      </c>
      <c r="N17" s="487">
        <f>IF(Dermal_Exp[[#This Row],[Physical Form]]="Liquid",2.1,IF(Dermal_Exp[[#This Row],[Physical Form]]="Solid",0,IF(Dermal_Exp[[#This Row],[Physical Form]]="Liquid &amp; Solid",2.1,IF(Dermal_Exp[[#This Row],[Similar Exposure Group (SEG)]]="ONU",1.4,10.3))))</f>
        <v>2.1</v>
      </c>
      <c r="O17" s="487">
        <f>IF(Dermal_Exp[[#This Row],[Physical Form]]="Liquid",1.4,IF(Dermal_Exp[[#This Row],[Physical Form]]="Solid",0,IF(Dermal_Exp[[#This Row],[Physical Form]]="Liquid &amp; Solid",1.4,IF(Dermal_Exp[[#This Row],[Similar Exposure Group (SEG)]]="ONU",1.4,3.8))))</f>
        <v>1.4</v>
      </c>
      <c r="P17" s="487">
        <f>IF(Dermal_Exp[[#This Row],[Physical Form]]="Liquid",0,IF(Dermal_Exp[[#This Row],[Physical Form]]="Solid",1100/Dermal_Exp[[#This Row],[SA_High-End (Two hands)]],IF(Dermal_Exp[[#This Row],[Physical Form]]="Liquid &amp; Solid",1100/Dermal_Exp[[#This Row],[SA_High-End (Two hands)]],0)))</f>
        <v>0</v>
      </c>
      <c r="Q17" s="487">
        <f>IF(Dermal_Exp[[#This Row],[Physical Form]]="Liquid",0,IF(Dermal_Exp[[#This Row],[Physical Form]]="Solid",450/Dermal_Exp[[#This Row],[SA_Central Tendency (One hand)]],IF(Dermal_Exp[[#This Row],[Physical Form]]="Liquid &amp; Solid",450/Dermal_Exp[[#This Row],[SA_Central Tendency (One hand)]],0)))</f>
        <v>0</v>
      </c>
      <c r="R17" s="317">
        <f>IFERROR(Dermal_Exp[[#This Row],[SA_High-End (Two hands)]]*(Dermal_Exp[[#This Row],[Qu_High-End (Liquid or Mist)]]*Dermal_Exp[[#This Row],[Liquid or Mist]]+Dermal_Exp[[#This Row],[Qu_High-End (Solid)]]*Dermal_Exp[[#This Row],[Solid]])*Dermal_Exp[[#This Row],[FT_High-End]],"Not Assessed")</f>
        <v>2247</v>
      </c>
      <c r="S17" s="317">
        <f>IFERROR(Dermal_Exp[[#This Row],[SA_Central Tendency (One hand)]]*(Dermal_Exp[[#This Row],[Qu_Central Tendency (Liquid or Mist)]]*Dermal_Exp[[#This Row],[Liquid or Mist]]+Dermal_Exp[[#This Row],[Qu_Central Tendency (Solid)]]*Dermal_Exp[[#This Row],[Solid]])*Dermal_Exp[[#This Row],[FT_Central Tendency]],"Not Assessed")</f>
        <v>749</v>
      </c>
      <c r="T17" s="317">
        <f>IFERROR(Dermal_Exp[[#This Row],[APDR_High-End]]/BW_F,"Not Assessed")</f>
        <v>28.087499999999999</v>
      </c>
      <c r="U17" s="317">
        <f>IFERROR(Dermal_Exp[[#This Row],[APDR_Central Tendency]]/BW_F,"Not Assessed")</f>
        <v>9.3625000000000007</v>
      </c>
      <c r="V17" s="317">
        <f>IFERROR(Dermal_Exp[[#This Row],[AAD_High-End]]*IF(Dermal_Exp[[#This Row],[EF_High-End]]&gt;EFID,EFID,Dermal_Exp[[#This Row],[EF_High-End]])/ID,"Not Assessed")</f>
        <v>20.5975</v>
      </c>
      <c r="W17" s="317">
        <f>IFERROR(Dermal_Exp[[#This Row],[AAD_Central Tendency]]*IF(Dermal_Exp[[#This Row],[EF_Central Tendency]]&gt;EFID,EFID,Dermal_Exp[[#This Row],[EF_Central Tendency]])/ID,"Not Assessed")</f>
        <v>6.8658333333333337</v>
      </c>
      <c r="X17" s="317">
        <f>IFERROR(Dermal_Exp[[#This Row],[AAD_High-End]]*Dermal_Exp[[#This Row],[EF_High-End]]*WY_high/(365*WY_high),"Not Assessed")</f>
        <v>19.238013698630137</v>
      </c>
      <c r="Y17" s="317">
        <f>IFERROR(Dermal_Exp[[#This Row],[AAD_Central Tendency]]*Dermal_Exp[[#This Row],[EF_Central Tendency]]*WY_mid/(365*WY_mid),"Not Assessed")</f>
        <v>6.4126712328767121</v>
      </c>
    </row>
    <row r="18" spans="1:25" x14ac:dyDescent="0.3">
      <c r="A18" s="305">
        <v>2</v>
      </c>
      <c r="B18" s="310" t="s">
        <v>244</v>
      </c>
      <c r="C18" s="308" t="s">
        <v>267</v>
      </c>
      <c r="D18" s="206" t="s">
        <v>73</v>
      </c>
      <c r="E18" s="486" t="s">
        <v>349</v>
      </c>
      <c r="F18" s="486">
        <v>1</v>
      </c>
      <c r="G18" s="486">
        <v>0</v>
      </c>
      <c r="H18" s="300">
        <v>250</v>
      </c>
      <c r="I18" s="300">
        <v>250</v>
      </c>
      <c r="J18" s="487">
        <v>1</v>
      </c>
      <c r="K18" s="487">
        <v>1</v>
      </c>
      <c r="L18" s="300">
        <f>IF(Dermal_Exp[[#This Row],[Worker Type]]="ONU",AH1_cm2_F,AH2_cm2_F)</f>
        <v>1070</v>
      </c>
      <c r="M18" s="300">
        <f t="shared" si="0"/>
        <v>535</v>
      </c>
      <c r="N18" s="487">
        <f>IF(Dermal_Exp[[#This Row],[Physical Form]]="Liquid",2.1,IF(Dermal_Exp[[#This Row],[Physical Form]]="Solid",0,IF(Dermal_Exp[[#This Row],[Physical Form]]="Liquid &amp; Solid",2.1,IF(Dermal_Exp[[#This Row],[Similar Exposure Group (SEG)]]="ONU",1.4,10.3))))</f>
        <v>2.1</v>
      </c>
      <c r="O18" s="487">
        <f>IF(Dermal_Exp[[#This Row],[Physical Form]]="Liquid",1.4,IF(Dermal_Exp[[#This Row],[Physical Form]]="Solid",0,IF(Dermal_Exp[[#This Row],[Physical Form]]="Liquid &amp; Solid",1.4,IF(Dermal_Exp[[#This Row],[Similar Exposure Group (SEG)]]="ONU",1.4,3.8))))</f>
        <v>1.4</v>
      </c>
      <c r="P18" s="487">
        <f>IF(Dermal_Exp[[#This Row],[Physical Form]]="Liquid",0,IF(Dermal_Exp[[#This Row],[Physical Form]]="Solid",1100/Dermal_Exp[[#This Row],[SA_High-End (Two hands)]],IF(Dermal_Exp[[#This Row],[Physical Form]]="Liquid &amp; Solid",1100/Dermal_Exp[[#This Row],[SA_High-End (Two hands)]],0)))</f>
        <v>0</v>
      </c>
      <c r="Q18" s="487">
        <f>IF(Dermal_Exp[[#This Row],[Physical Form]]="Liquid",0,IF(Dermal_Exp[[#This Row],[Physical Form]]="Solid",450/Dermal_Exp[[#This Row],[SA_Central Tendency (One hand)]],IF(Dermal_Exp[[#This Row],[Physical Form]]="Liquid &amp; Solid",450/Dermal_Exp[[#This Row],[SA_Central Tendency (One hand)]],0)))</f>
        <v>0</v>
      </c>
      <c r="R18" s="317">
        <f>IFERROR(Dermal_Exp[[#This Row],[SA_High-End (Two hands)]]*(Dermal_Exp[[#This Row],[Qu_High-End (Liquid or Mist)]]*Dermal_Exp[[#This Row],[Liquid or Mist]]+Dermal_Exp[[#This Row],[Qu_High-End (Solid)]]*Dermal_Exp[[#This Row],[Solid]])*Dermal_Exp[[#This Row],[FT_High-End]],"Not Assessed")</f>
        <v>2247</v>
      </c>
      <c r="S18" s="317">
        <f>IFERROR(Dermal_Exp[[#This Row],[SA_Central Tendency (One hand)]]*(Dermal_Exp[[#This Row],[Qu_Central Tendency (Liquid or Mist)]]*Dermal_Exp[[#This Row],[Liquid or Mist]]+Dermal_Exp[[#This Row],[Qu_Central Tendency (Solid)]]*Dermal_Exp[[#This Row],[Solid]])*Dermal_Exp[[#This Row],[FT_Central Tendency]],"Not Assessed")</f>
        <v>749</v>
      </c>
      <c r="T18" s="317">
        <f>IFERROR(Dermal_Exp[[#This Row],[APDR_High-End]]/BW_F,"Not Assessed")</f>
        <v>28.087499999999999</v>
      </c>
      <c r="U18" s="317">
        <f>IFERROR(Dermal_Exp[[#This Row],[APDR_Central Tendency]]/BW_F,"Not Assessed")</f>
        <v>9.3625000000000007</v>
      </c>
      <c r="V18" s="317">
        <f>IFERROR(Dermal_Exp[[#This Row],[AAD_High-End]]*IF(Dermal_Exp[[#This Row],[EF_High-End]]&gt;EFID,EFID,Dermal_Exp[[#This Row],[EF_High-End]])/ID,"Not Assessed")</f>
        <v>20.5975</v>
      </c>
      <c r="W18" s="317">
        <f>IFERROR(Dermal_Exp[[#This Row],[AAD_Central Tendency]]*IF(Dermal_Exp[[#This Row],[EF_Central Tendency]]&gt;EFID,EFID,Dermal_Exp[[#This Row],[EF_Central Tendency]])/ID,"Not Assessed")</f>
        <v>6.8658333333333337</v>
      </c>
      <c r="X18" s="317">
        <f>IFERROR(Dermal_Exp[[#This Row],[AAD_High-End]]*Dermal_Exp[[#This Row],[EF_High-End]]*WY_high/(365*WY_high),"Not Assessed")</f>
        <v>19.238013698630137</v>
      </c>
      <c r="Y18" s="317">
        <f>IFERROR(Dermal_Exp[[#This Row],[AAD_Central Tendency]]*Dermal_Exp[[#This Row],[EF_Central Tendency]]*WY_mid/(365*WY_mid),"Not Assessed")</f>
        <v>6.4126712328767121</v>
      </c>
    </row>
    <row r="19" spans="1:25" x14ac:dyDescent="0.3">
      <c r="A19" s="305">
        <v>2</v>
      </c>
      <c r="B19" s="310" t="s">
        <v>244</v>
      </c>
      <c r="C19" s="308" t="s">
        <v>268</v>
      </c>
      <c r="D19" s="206" t="s">
        <v>73</v>
      </c>
      <c r="E19" s="486" t="s">
        <v>349</v>
      </c>
      <c r="F19" s="486">
        <v>1</v>
      </c>
      <c r="G19" s="486">
        <v>0</v>
      </c>
      <c r="H19" s="300">
        <v>250</v>
      </c>
      <c r="I19" s="300">
        <v>250</v>
      </c>
      <c r="J19" s="487">
        <v>1</v>
      </c>
      <c r="K19" s="487">
        <v>1</v>
      </c>
      <c r="L19" s="300">
        <f>IF(Dermal_Exp[[#This Row],[Worker Type]]="ONU",AH1_cm2_F,AH2_cm2_F)</f>
        <v>1070</v>
      </c>
      <c r="M19" s="300">
        <f t="shared" si="0"/>
        <v>535</v>
      </c>
      <c r="N19" s="487">
        <f>IF(Dermal_Exp[[#This Row],[Physical Form]]="Liquid",2.1,IF(Dermal_Exp[[#This Row],[Physical Form]]="Solid",0,IF(Dermal_Exp[[#This Row],[Physical Form]]="Liquid &amp; Solid",2.1,IF(Dermal_Exp[[#This Row],[Similar Exposure Group (SEG)]]="ONU",1.4,10.3))))</f>
        <v>2.1</v>
      </c>
      <c r="O19" s="487">
        <f>IF(Dermal_Exp[[#This Row],[Physical Form]]="Liquid",1.4,IF(Dermal_Exp[[#This Row],[Physical Form]]="Solid",0,IF(Dermal_Exp[[#This Row],[Physical Form]]="Liquid &amp; Solid",1.4,IF(Dermal_Exp[[#This Row],[Similar Exposure Group (SEG)]]="ONU",1.4,3.8))))</f>
        <v>1.4</v>
      </c>
      <c r="P19" s="487">
        <f>IF(Dermal_Exp[[#This Row],[Physical Form]]="Liquid",0,IF(Dermal_Exp[[#This Row],[Physical Form]]="Solid",1100/Dermal_Exp[[#This Row],[SA_High-End (Two hands)]],IF(Dermal_Exp[[#This Row],[Physical Form]]="Liquid &amp; Solid",1100/Dermal_Exp[[#This Row],[SA_High-End (Two hands)]],0)))</f>
        <v>0</v>
      </c>
      <c r="Q19" s="487">
        <f>IF(Dermal_Exp[[#This Row],[Physical Form]]="Liquid",0,IF(Dermal_Exp[[#This Row],[Physical Form]]="Solid",450/Dermal_Exp[[#This Row],[SA_Central Tendency (One hand)]],IF(Dermal_Exp[[#This Row],[Physical Form]]="Liquid &amp; Solid",450/Dermal_Exp[[#This Row],[SA_Central Tendency (One hand)]],0)))</f>
        <v>0</v>
      </c>
      <c r="R19" s="317">
        <f>IFERROR(Dermal_Exp[[#This Row],[SA_High-End (Two hands)]]*(Dermal_Exp[[#This Row],[Qu_High-End (Liquid or Mist)]]*Dermal_Exp[[#This Row],[Liquid or Mist]]+Dermal_Exp[[#This Row],[Qu_High-End (Solid)]]*Dermal_Exp[[#This Row],[Solid]])*Dermal_Exp[[#This Row],[FT_High-End]],"Not Assessed")</f>
        <v>2247</v>
      </c>
      <c r="S19" s="317">
        <f>IFERROR(Dermal_Exp[[#This Row],[SA_Central Tendency (One hand)]]*(Dermal_Exp[[#This Row],[Qu_Central Tendency (Liquid or Mist)]]*Dermal_Exp[[#This Row],[Liquid or Mist]]+Dermal_Exp[[#This Row],[Qu_Central Tendency (Solid)]]*Dermal_Exp[[#This Row],[Solid]])*Dermal_Exp[[#This Row],[FT_Central Tendency]],"Not Assessed")</f>
        <v>749</v>
      </c>
      <c r="T19" s="317">
        <f>IFERROR(Dermal_Exp[[#This Row],[APDR_High-End]]/BW_F,"Not Assessed")</f>
        <v>28.087499999999999</v>
      </c>
      <c r="U19" s="317">
        <f>IFERROR(Dermal_Exp[[#This Row],[APDR_Central Tendency]]/BW_F,"Not Assessed")</f>
        <v>9.3625000000000007</v>
      </c>
      <c r="V19" s="317">
        <f>IFERROR(Dermal_Exp[[#This Row],[AAD_High-End]]*IF(Dermal_Exp[[#This Row],[EF_High-End]]&gt;EFID,EFID,Dermal_Exp[[#This Row],[EF_High-End]])/ID,"Not Assessed")</f>
        <v>20.5975</v>
      </c>
      <c r="W19" s="317">
        <f>IFERROR(Dermal_Exp[[#This Row],[AAD_Central Tendency]]*IF(Dermal_Exp[[#This Row],[EF_Central Tendency]]&gt;EFID,EFID,Dermal_Exp[[#This Row],[EF_Central Tendency]])/ID,"Not Assessed")</f>
        <v>6.8658333333333337</v>
      </c>
      <c r="X19" s="317">
        <f>IFERROR(Dermal_Exp[[#This Row],[AAD_High-End]]*Dermal_Exp[[#This Row],[EF_High-End]]*WY_high/(365*WY_high),"Not Assessed")</f>
        <v>19.238013698630137</v>
      </c>
      <c r="Y19" s="317">
        <f>IFERROR(Dermal_Exp[[#This Row],[AAD_Central Tendency]]*Dermal_Exp[[#This Row],[EF_Central Tendency]]*WY_mid/(365*WY_mid),"Not Assessed")</f>
        <v>6.4126712328767121</v>
      </c>
    </row>
    <row r="20" spans="1:25" s="497" customFormat="1" x14ac:dyDescent="0.3">
      <c r="A20" s="489">
        <v>3</v>
      </c>
      <c r="B20" s="490" t="s">
        <v>246</v>
      </c>
      <c r="C20" s="491" t="s">
        <v>264</v>
      </c>
      <c r="D20" s="492" t="s">
        <v>73</v>
      </c>
      <c r="E20" s="493" t="s">
        <v>349</v>
      </c>
      <c r="F20" s="493">
        <v>1</v>
      </c>
      <c r="G20" s="493">
        <v>0</v>
      </c>
      <c r="H20" s="494">
        <v>250</v>
      </c>
      <c r="I20" s="494">
        <v>250</v>
      </c>
      <c r="J20" s="495">
        <v>1</v>
      </c>
      <c r="K20" s="495">
        <v>1</v>
      </c>
      <c r="L20" s="494">
        <f>IF(Dermal_Exp[[#This Row],[Worker Type]]="ONU",AH1_cm2_F,AH2_cm2_F)</f>
        <v>1070</v>
      </c>
      <c r="M20" s="494">
        <f t="shared" si="0"/>
        <v>535</v>
      </c>
      <c r="N20" s="495">
        <f>IF(Dermal_Exp[[#This Row],[Physical Form]]="Liquid",2.1,IF(Dermal_Exp[[#This Row],[Physical Form]]="Solid",0,IF(Dermal_Exp[[#This Row],[Physical Form]]="Liquid &amp; Solid",2.1,IF(Dermal_Exp[[#This Row],[Similar Exposure Group (SEG)]]="ONU",1.4,10.3))))</f>
        <v>2.1</v>
      </c>
      <c r="O20" s="495">
        <f>IF(Dermal_Exp[[#This Row],[Physical Form]]="Liquid",1.4,IF(Dermal_Exp[[#This Row],[Physical Form]]="Solid",0,IF(Dermal_Exp[[#This Row],[Physical Form]]="Liquid &amp; Solid",1.4,IF(Dermal_Exp[[#This Row],[Similar Exposure Group (SEG)]]="ONU",1.4,3.8))))</f>
        <v>1.4</v>
      </c>
      <c r="P20" s="495">
        <f>IF(Dermal_Exp[[#This Row],[Physical Form]]="Liquid",0,IF(Dermal_Exp[[#This Row],[Physical Form]]="Solid",1100/Dermal_Exp[[#This Row],[SA_High-End (Two hands)]],IF(Dermal_Exp[[#This Row],[Physical Form]]="Liquid &amp; Solid",1100/Dermal_Exp[[#This Row],[SA_High-End (Two hands)]],0)))</f>
        <v>0</v>
      </c>
      <c r="Q20" s="495">
        <f>IF(Dermal_Exp[[#This Row],[Physical Form]]="Liquid",0,IF(Dermal_Exp[[#This Row],[Physical Form]]="Solid",450/Dermal_Exp[[#This Row],[SA_Central Tendency (One hand)]],IF(Dermal_Exp[[#This Row],[Physical Form]]="Liquid &amp; Solid",450/Dermal_Exp[[#This Row],[SA_Central Tendency (One hand)]],0)))</f>
        <v>0</v>
      </c>
      <c r="R20" s="496">
        <f>IFERROR(Dermal_Exp[[#This Row],[SA_High-End (Two hands)]]*(Dermal_Exp[[#This Row],[Qu_High-End (Liquid or Mist)]]*Dermal_Exp[[#This Row],[Liquid or Mist]]+Dermal_Exp[[#This Row],[Qu_High-End (Solid)]]*Dermal_Exp[[#This Row],[Solid]])*Dermal_Exp[[#This Row],[FT_High-End]],"Not Assessed")</f>
        <v>2247</v>
      </c>
      <c r="S20" s="496">
        <f>IFERROR(Dermal_Exp[[#This Row],[SA_Central Tendency (One hand)]]*(Dermal_Exp[[#This Row],[Qu_Central Tendency (Liquid or Mist)]]*Dermal_Exp[[#This Row],[Liquid or Mist]]+Dermal_Exp[[#This Row],[Qu_Central Tendency (Solid)]]*Dermal_Exp[[#This Row],[Solid]])*Dermal_Exp[[#This Row],[FT_Central Tendency]],"Not Assessed")</f>
        <v>749</v>
      </c>
      <c r="T20" s="496">
        <f>IFERROR(Dermal_Exp[[#This Row],[APDR_High-End]]/BW_F,"Not Assessed")</f>
        <v>28.087499999999999</v>
      </c>
      <c r="U20" s="496">
        <f>IFERROR(Dermal_Exp[[#This Row],[APDR_Central Tendency]]/BW_F,"Not Assessed")</f>
        <v>9.3625000000000007</v>
      </c>
      <c r="V20" s="496">
        <f>IFERROR(Dermal_Exp[[#This Row],[AAD_High-End]]*IF(Dermal_Exp[[#This Row],[EF_High-End]]&gt;EFID,EFID,Dermal_Exp[[#This Row],[EF_High-End]])/ID,"Not Assessed")</f>
        <v>20.5975</v>
      </c>
      <c r="W20" s="496">
        <f>IFERROR(Dermal_Exp[[#This Row],[AAD_Central Tendency]]*IF(Dermal_Exp[[#This Row],[EF_Central Tendency]]&gt;EFID,EFID,Dermal_Exp[[#This Row],[EF_Central Tendency]])/ID,"Not Assessed")</f>
        <v>6.8658333333333337</v>
      </c>
      <c r="X20" s="496">
        <f>IFERROR(Dermal_Exp[[#This Row],[AAD_High-End]]*Dermal_Exp[[#This Row],[EF_High-End]]*WY_high/(365*WY_high),"Not Assessed")</f>
        <v>19.238013698630137</v>
      </c>
      <c r="Y20" s="496">
        <f>IFERROR(Dermal_Exp[[#This Row],[AAD_Central Tendency]]*Dermal_Exp[[#This Row],[EF_Central Tendency]]*WY_mid/(365*WY_mid),"Not Assessed")</f>
        <v>6.4126712328767121</v>
      </c>
    </row>
    <row r="21" spans="1:25" s="497" customFormat="1" x14ac:dyDescent="0.3">
      <c r="A21" s="489">
        <v>3</v>
      </c>
      <c r="B21" s="490" t="s">
        <v>246</v>
      </c>
      <c r="C21" s="491" t="s">
        <v>265</v>
      </c>
      <c r="D21" s="492" t="s">
        <v>73</v>
      </c>
      <c r="E21" s="493" t="s">
        <v>349</v>
      </c>
      <c r="F21" s="493">
        <v>1</v>
      </c>
      <c r="G21" s="493">
        <v>0</v>
      </c>
      <c r="H21" s="494">
        <v>250</v>
      </c>
      <c r="I21" s="494">
        <v>250</v>
      </c>
      <c r="J21" s="495">
        <v>1</v>
      </c>
      <c r="K21" s="495">
        <v>1</v>
      </c>
      <c r="L21" s="494">
        <f>IF(Dermal_Exp[[#This Row],[Worker Type]]="ONU",AH1_cm2_F,AH2_cm2_F)</f>
        <v>1070</v>
      </c>
      <c r="M21" s="494">
        <f t="shared" si="0"/>
        <v>535</v>
      </c>
      <c r="N21" s="495">
        <f>IF(Dermal_Exp[[#This Row],[Physical Form]]="Liquid",2.1,IF(Dermal_Exp[[#This Row],[Physical Form]]="Solid",0,IF(Dermal_Exp[[#This Row],[Physical Form]]="Liquid &amp; Solid",2.1,IF(Dermal_Exp[[#This Row],[Similar Exposure Group (SEG)]]="ONU",1.4,10.3))))</f>
        <v>2.1</v>
      </c>
      <c r="O21" s="495">
        <f>IF(Dermal_Exp[[#This Row],[Physical Form]]="Liquid",1.4,IF(Dermal_Exp[[#This Row],[Physical Form]]="Solid",0,IF(Dermal_Exp[[#This Row],[Physical Form]]="Liquid &amp; Solid",1.4,IF(Dermal_Exp[[#This Row],[Similar Exposure Group (SEG)]]="ONU",1.4,3.8))))</f>
        <v>1.4</v>
      </c>
      <c r="P21" s="495">
        <f>IF(Dermal_Exp[[#This Row],[Physical Form]]="Liquid",0,IF(Dermal_Exp[[#This Row],[Physical Form]]="Solid",1100/Dermal_Exp[[#This Row],[SA_High-End (Two hands)]],IF(Dermal_Exp[[#This Row],[Physical Form]]="Liquid &amp; Solid",1100/Dermal_Exp[[#This Row],[SA_High-End (Two hands)]],0)))</f>
        <v>0</v>
      </c>
      <c r="Q21" s="495">
        <f>IF(Dermal_Exp[[#This Row],[Physical Form]]="Liquid",0,IF(Dermal_Exp[[#This Row],[Physical Form]]="Solid",450/Dermal_Exp[[#This Row],[SA_Central Tendency (One hand)]],IF(Dermal_Exp[[#This Row],[Physical Form]]="Liquid &amp; Solid",450/Dermal_Exp[[#This Row],[SA_Central Tendency (One hand)]],0)))</f>
        <v>0</v>
      </c>
      <c r="R21" s="496">
        <f>IFERROR(Dermal_Exp[[#This Row],[SA_High-End (Two hands)]]*(Dermal_Exp[[#This Row],[Qu_High-End (Liquid or Mist)]]*Dermal_Exp[[#This Row],[Liquid or Mist]]+Dermal_Exp[[#This Row],[Qu_High-End (Solid)]]*Dermal_Exp[[#This Row],[Solid]])*Dermal_Exp[[#This Row],[FT_High-End]],"Not Assessed")</f>
        <v>2247</v>
      </c>
      <c r="S21" s="496">
        <f>IFERROR(Dermal_Exp[[#This Row],[SA_Central Tendency (One hand)]]*(Dermal_Exp[[#This Row],[Qu_Central Tendency (Liquid or Mist)]]*Dermal_Exp[[#This Row],[Liquid or Mist]]+Dermal_Exp[[#This Row],[Qu_Central Tendency (Solid)]]*Dermal_Exp[[#This Row],[Solid]])*Dermal_Exp[[#This Row],[FT_Central Tendency]],"Not Assessed")</f>
        <v>749</v>
      </c>
      <c r="T21" s="496">
        <f>IFERROR(Dermal_Exp[[#This Row],[APDR_High-End]]/BW_F,"Not Assessed")</f>
        <v>28.087499999999999</v>
      </c>
      <c r="U21" s="496">
        <f>IFERROR(Dermal_Exp[[#This Row],[APDR_Central Tendency]]/BW_F,"Not Assessed")</f>
        <v>9.3625000000000007</v>
      </c>
      <c r="V21" s="496">
        <f>IFERROR(Dermal_Exp[[#This Row],[AAD_High-End]]*IF(Dermal_Exp[[#This Row],[EF_High-End]]&gt;EFID,EFID,Dermal_Exp[[#This Row],[EF_High-End]])/ID,"Not Assessed")</f>
        <v>20.5975</v>
      </c>
      <c r="W21" s="496">
        <f>IFERROR(Dermal_Exp[[#This Row],[AAD_Central Tendency]]*IF(Dermal_Exp[[#This Row],[EF_Central Tendency]]&gt;EFID,EFID,Dermal_Exp[[#This Row],[EF_Central Tendency]])/ID,"Not Assessed")</f>
        <v>6.8658333333333337</v>
      </c>
      <c r="X21" s="496">
        <f>IFERROR(Dermal_Exp[[#This Row],[AAD_High-End]]*Dermal_Exp[[#This Row],[EF_High-End]]*WY_high/(365*WY_high),"Not Assessed")</f>
        <v>19.238013698630137</v>
      </c>
      <c r="Y21" s="496">
        <f>IFERROR(Dermal_Exp[[#This Row],[AAD_Central Tendency]]*Dermal_Exp[[#This Row],[EF_Central Tendency]]*WY_mid/(365*WY_mid),"Not Assessed")</f>
        <v>6.4126712328767121</v>
      </c>
    </row>
    <row r="22" spans="1:25" s="497" customFormat="1" x14ac:dyDescent="0.3">
      <c r="A22" s="489">
        <v>3</v>
      </c>
      <c r="B22" s="490" t="s">
        <v>246</v>
      </c>
      <c r="C22" s="491" t="s">
        <v>266</v>
      </c>
      <c r="D22" s="492" t="s">
        <v>73</v>
      </c>
      <c r="E22" s="493" t="s">
        <v>349</v>
      </c>
      <c r="F22" s="493">
        <v>1</v>
      </c>
      <c r="G22" s="493">
        <v>0</v>
      </c>
      <c r="H22" s="494">
        <v>250</v>
      </c>
      <c r="I22" s="494">
        <v>250</v>
      </c>
      <c r="J22" s="495">
        <v>1</v>
      </c>
      <c r="K22" s="495">
        <v>1</v>
      </c>
      <c r="L22" s="495">
        <f>IF(Dermal_Exp[[#This Row],[Worker Type]]="ONU",AH1_cm2_F,AH2_cm2_F)</f>
        <v>1070</v>
      </c>
      <c r="M22" s="495">
        <f t="shared" si="0"/>
        <v>535</v>
      </c>
      <c r="N22" s="495">
        <f>IF(Dermal_Exp[[#This Row],[Physical Form]]="Liquid",2.1,IF(Dermal_Exp[[#This Row],[Physical Form]]="Solid",0,IF(Dermal_Exp[[#This Row],[Physical Form]]="Liquid &amp; Solid",2.1,IF(Dermal_Exp[[#This Row],[Similar Exposure Group (SEG)]]="ONU",1.4,10.3))))</f>
        <v>2.1</v>
      </c>
      <c r="O22" s="495">
        <f>IF(Dermal_Exp[[#This Row],[Physical Form]]="Liquid",1.4,IF(Dermal_Exp[[#This Row],[Physical Form]]="Solid",0,IF(Dermal_Exp[[#This Row],[Physical Form]]="Liquid &amp; Solid",1.4,IF(Dermal_Exp[[#This Row],[Similar Exposure Group (SEG)]]="ONU",1.4,3.8))))</f>
        <v>1.4</v>
      </c>
      <c r="P22" s="495">
        <f>IF(Dermal_Exp[[#This Row],[Physical Form]]="Liquid",0,IF(Dermal_Exp[[#This Row],[Physical Form]]="Solid",1100/Dermal_Exp[[#This Row],[SA_High-End (Two hands)]],IF(Dermal_Exp[[#This Row],[Physical Form]]="Liquid &amp; Solid",1100/Dermal_Exp[[#This Row],[SA_High-End (Two hands)]],0)))</f>
        <v>0</v>
      </c>
      <c r="Q22" s="495">
        <f>IF(Dermal_Exp[[#This Row],[Physical Form]]="Liquid",0,IF(Dermal_Exp[[#This Row],[Physical Form]]="Solid",450/Dermal_Exp[[#This Row],[SA_Central Tendency (One hand)]],IF(Dermal_Exp[[#This Row],[Physical Form]]="Liquid &amp; Solid",450/Dermal_Exp[[#This Row],[SA_Central Tendency (One hand)]],0)))</f>
        <v>0</v>
      </c>
      <c r="R22" s="496">
        <f>IFERROR(Dermal_Exp[[#This Row],[SA_High-End (Two hands)]]*(Dermal_Exp[[#This Row],[Qu_High-End (Liquid or Mist)]]*Dermal_Exp[[#This Row],[Liquid or Mist]]+Dermal_Exp[[#This Row],[Qu_High-End (Solid)]]*Dermal_Exp[[#This Row],[Solid]])*Dermal_Exp[[#This Row],[FT_High-End]],"Not Assessed")</f>
        <v>2247</v>
      </c>
      <c r="S22" s="496">
        <f>IFERROR(Dermal_Exp[[#This Row],[SA_Central Tendency (One hand)]]*(Dermal_Exp[[#This Row],[Qu_Central Tendency (Liquid or Mist)]]*Dermal_Exp[[#This Row],[Liquid or Mist]]+Dermal_Exp[[#This Row],[Qu_Central Tendency (Solid)]]*Dermal_Exp[[#This Row],[Solid]])*Dermal_Exp[[#This Row],[FT_Central Tendency]],"Not Assessed")</f>
        <v>749</v>
      </c>
      <c r="T22" s="496">
        <f>IFERROR(Dermal_Exp[[#This Row],[APDR_High-End]]/BW_F,"Not Assessed")</f>
        <v>28.087499999999999</v>
      </c>
      <c r="U22" s="496">
        <f>IFERROR(Dermal_Exp[[#This Row],[APDR_Central Tendency]]/BW_F,"Not Assessed")</f>
        <v>9.3625000000000007</v>
      </c>
      <c r="V22" s="496">
        <f>IFERROR(Dermal_Exp[[#This Row],[AAD_High-End]]*IF(Dermal_Exp[[#This Row],[EF_High-End]]&gt;EFID,EFID,Dermal_Exp[[#This Row],[EF_High-End]])/ID,"Not Assessed")</f>
        <v>20.5975</v>
      </c>
      <c r="W22" s="496">
        <f>IFERROR(Dermal_Exp[[#This Row],[AAD_Central Tendency]]*IF(Dermal_Exp[[#This Row],[EF_Central Tendency]]&gt;EFID,EFID,Dermal_Exp[[#This Row],[EF_Central Tendency]])/ID,"Not Assessed")</f>
        <v>6.8658333333333337</v>
      </c>
      <c r="X22" s="496">
        <f>IFERROR(Dermal_Exp[[#This Row],[AAD_High-End]]*Dermal_Exp[[#This Row],[EF_High-End]]*WY_high/(365*WY_high),"Not Assessed")</f>
        <v>19.238013698630137</v>
      </c>
      <c r="Y22" s="496">
        <f>IFERROR(Dermal_Exp[[#This Row],[AAD_Central Tendency]]*Dermal_Exp[[#This Row],[EF_Central Tendency]]*WY_mid/(365*WY_mid),"Not Assessed")</f>
        <v>6.4126712328767121</v>
      </c>
    </row>
    <row r="23" spans="1:25" s="497" customFormat="1" x14ac:dyDescent="0.3">
      <c r="A23" s="489">
        <v>3</v>
      </c>
      <c r="B23" s="490" t="s">
        <v>246</v>
      </c>
      <c r="C23" s="491" t="s">
        <v>267</v>
      </c>
      <c r="D23" s="492" t="s">
        <v>73</v>
      </c>
      <c r="E23" s="493" t="s">
        <v>349</v>
      </c>
      <c r="F23" s="493">
        <v>1</v>
      </c>
      <c r="G23" s="493">
        <v>0</v>
      </c>
      <c r="H23" s="494">
        <v>250</v>
      </c>
      <c r="I23" s="494">
        <v>250</v>
      </c>
      <c r="J23" s="495">
        <v>1</v>
      </c>
      <c r="K23" s="495">
        <v>1</v>
      </c>
      <c r="L23" s="494">
        <f>IF(Dermal_Exp[[#This Row],[Worker Type]]="ONU",AH1_cm2_F,AH2_cm2_F)</f>
        <v>1070</v>
      </c>
      <c r="M23" s="494">
        <f t="shared" si="0"/>
        <v>535</v>
      </c>
      <c r="N23" s="495">
        <f>IF(Dermal_Exp[[#This Row],[Physical Form]]="Liquid",2.1,IF(Dermal_Exp[[#This Row],[Physical Form]]="Solid",0,IF(Dermal_Exp[[#This Row],[Physical Form]]="Liquid &amp; Solid",2.1,IF(Dermal_Exp[[#This Row],[Similar Exposure Group (SEG)]]="ONU",1.4,10.3))))</f>
        <v>2.1</v>
      </c>
      <c r="O23" s="495">
        <f>IF(Dermal_Exp[[#This Row],[Physical Form]]="Liquid",1.4,IF(Dermal_Exp[[#This Row],[Physical Form]]="Solid",0,IF(Dermal_Exp[[#This Row],[Physical Form]]="Liquid &amp; Solid",1.4,IF(Dermal_Exp[[#This Row],[Similar Exposure Group (SEG)]]="ONU",1.4,3.8))))</f>
        <v>1.4</v>
      </c>
      <c r="P23" s="495">
        <f>IF(Dermal_Exp[[#This Row],[Physical Form]]="Liquid",0,IF(Dermal_Exp[[#This Row],[Physical Form]]="Solid",1100/Dermal_Exp[[#This Row],[SA_High-End (Two hands)]],IF(Dermal_Exp[[#This Row],[Physical Form]]="Liquid &amp; Solid",1100/Dermal_Exp[[#This Row],[SA_High-End (Two hands)]],0)))</f>
        <v>0</v>
      </c>
      <c r="Q23" s="495">
        <f>IF(Dermal_Exp[[#This Row],[Physical Form]]="Liquid",0,IF(Dermal_Exp[[#This Row],[Physical Form]]="Solid",450/Dermal_Exp[[#This Row],[SA_Central Tendency (One hand)]],IF(Dermal_Exp[[#This Row],[Physical Form]]="Liquid &amp; Solid",450/Dermal_Exp[[#This Row],[SA_Central Tendency (One hand)]],0)))</f>
        <v>0</v>
      </c>
      <c r="R23" s="496">
        <f>IFERROR(Dermal_Exp[[#This Row],[SA_High-End (Two hands)]]*(Dermal_Exp[[#This Row],[Qu_High-End (Liquid or Mist)]]*Dermal_Exp[[#This Row],[Liquid or Mist]]+Dermal_Exp[[#This Row],[Qu_High-End (Solid)]]*Dermal_Exp[[#This Row],[Solid]])*Dermal_Exp[[#This Row],[FT_High-End]],"Not Assessed")</f>
        <v>2247</v>
      </c>
      <c r="S23" s="496">
        <f>IFERROR(Dermal_Exp[[#This Row],[SA_Central Tendency (One hand)]]*(Dermal_Exp[[#This Row],[Qu_Central Tendency (Liquid or Mist)]]*Dermal_Exp[[#This Row],[Liquid or Mist]]+Dermal_Exp[[#This Row],[Qu_Central Tendency (Solid)]]*Dermal_Exp[[#This Row],[Solid]])*Dermal_Exp[[#This Row],[FT_Central Tendency]],"Not Assessed")</f>
        <v>749</v>
      </c>
      <c r="T23" s="496">
        <f>IFERROR(Dermal_Exp[[#This Row],[APDR_High-End]]/BW_F,"Not Assessed")</f>
        <v>28.087499999999999</v>
      </c>
      <c r="U23" s="496">
        <f>IFERROR(Dermal_Exp[[#This Row],[APDR_Central Tendency]]/BW_F,"Not Assessed")</f>
        <v>9.3625000000000007</v>
      </c>
      <c r="V23" s="496">
        <f>IFERROR(Dermal_Exp[[#This Row],[AAD_High-End]]*IF(Dermal_Exp[[#This Row],[EF_High-End]]&gt;EFID,EFID,Dermal_Exp[[#This Row],[EF_High-End]])/ID,"Not Assessed")</f>
        <v>20.5975</v>
      </c>
      <c r="W23" s="496">
        <f>IFERROR(Dermal_Exp[[#This Row],[AAD_Central Tendency]]*IF(Dermal_Exp[[#This Row],[EF_Central Tendency]]&gt;EFID,EFID,Dermal_Exp[[#This Row],[EF_Central Tendency]])/ID,"Not Assessed")</f>
        <v>6.8658333333333337</v>
      </c>
      <c r="X23" s="496">
        <f>IFERROR(Dermal_Exp[[#This Row],[AAD_High-End]]*Dermal_Exp[[#This Row],[EF_High-End]]*WY_high/(365*WY_high),"Not Assessed")</f>
        <v>19.238013698630137</v>
      </c>
      <c r="Y23" s="496">
        <f>IFERROR(Dermal_Exp[[#This Row],[AAD_Central Tendency]]*Dermal_Exp[[#This Row],[EF_Central Tendency]]*WY_mid/(365*WY_mid),"Not Assessed")</f>
        <v>6.4126712328767121</v>
      </c>
    </row>
    <row r="24" spans="1:25" s="497" customFormat="1" x14ac:dyDescent="0.3">
      <c r="A24" s="489">
        <v>3</v>
      </c>
      <c r="B24" s="490" t="s">
        <v>246</v>
      </c>
      <c r="C24" s="491" t="s">
        <v>268</v>
      </c>
      <c r="D24" s="492" t="s">
        <v>73</v>
      </c>
      <c r="E24" s="493" t="s">
        <v>349</v>
      </c>
      <c r="F24" s="493">
        <v>1</v>
      </c>
      <c r="G24" s="493">
        <v>0</v>
      </c>
      <c r="H24" s="494">
        <v>250</v>
      </c>
      <c r="I24" s="494">
        <v>250</v>
      </c>
      <c r="J24" s="495">
        <v>1</v>
      </c>
      <c r="K24" s="495">
        <v>1</v>
      </c>
      <c r="L24" s="494">
        <f>IF(Dermal_Exp[[#This Row],[Worker Type]]="ONU",AH1_cm2_F,AH2_cm2_F)</f>
        <v>1070</v>
      </c>
      <c r="M24" s="494">
        <f t="shared" si="0"/>
        <v>535</v>
      </c>
      <c r="N24" s="495">
        <f>IF(Dermal_Exp[[#This Row],[Physical Form]]="Liquid",2.1,IF(Dermal_Exp[[#This Row],[Physical Form]]="Solid",0,IF(Dermal_Exp[[#This Row],[Physical Form]]="Liquid &amp; Solid",2.1,IF(Dermal_Exp[[#This Row],[Similar Exposure Group (SEG)]]="ONU",1.4,10.3))))</f>
        <v>2.1</v>
      </c>
      <c r="O24" s="495">
        <f>IF(Dermal_Exp[[#This Row],[Physical Form]]="Liquid",1.4,IF(Dermal_Exp[[#This Row],[Physical Form]]="Solid",0,IF(Dermal_Exp[[#This Row],[Physical Form]]="Liquid &amp; Solid",1.4,IF(Dermal_Exp[[#This Row],[Similar Exposure Group (SEG)]]="ONU",1.4,3.8))))</f>
        <v>1.4</v>
      </c>
      <c r="P24" s="495">
        <f>IF(Dermal_Exp[[#This Row],[Physical Form]]="Liquid",0,IF(Dermal_Exp[[#This Row],[Physical Form]]="Solid",1100/Dermal_Exp[[#This Row],[SA_High-End (Two hands)]],IF(Dermal_Exp[[#This Row],[Physical Form]]="Liquid &amp; Solid",1100/Dermal_Exp[[#This Row],[SA_High-End (Two hands)]],0)))</f>
        <v>0</v>
      </c>
      <c r="Q24" s="495">
        <f>IF(Dermal_Exp[[#This Row],[Physical Form]]="Liquid",0,IF(Dermal_Exp[[#This Row],[Physical Form]]="Solid",450/Dermal_Exp[[#This Row],[SA_Central Tendency (One hand)]],IF(Dermal_Exp[[#This Row],[Physical Form]]="Liquid &amp; Solid",450/Dermal_Exp[[#This Row],[SA_Central Tendency (One hand)]],0)))</f>
        <v>0</v>
      </c>
      <c r="R24" s="496">
        <f>IFERROR(Dermal_Exp[[#This Row],[SA_High-End (Two hands)]]*(Dermal_Exp[[#This Row],[Qu_High-End (Liquid or Mist)]]*Dermal_Exp[[#This Row],[Liquid or Mist]]+Dermal_Exp[[#This Row],[Qu_High-End (Solid)]]*Dermal_Exp[[#This Row],[Solid]])*Dermal_Exp[[#This Row],[FT_High-End]],"Not Assessed")</f>
        <v>2247</v>
      </c>
      <c r="S24" s="496">
        <f>IFERROR(Dermal_Exp[[#This Row],[SA_Central Tendency (One hand)]]*(Dermal_Exp[[#This Row],[Qu_Central Tendency (Liquid or Mist)]]*Dermal_Exp[[#This Row],[Liquid or Mist]]+Dermal_Exp[[#This Row],[Qu_Central Tendency (Solid)]]*Dermal_Exp[[#This Row],[Solid]])*Dermal_Exp[[#This Row],[FT_Central Tendency]],"Not Assessed")</f>
        <v>749</v>
      </c>
      <c r="T24" s="496">
        <f>IFERROR(Dermal_Exp[[#This Row],[APDR_High-End]]/BW_F,"Not Assessed")</f>
        <v>28.087499999999999</v>
      </c>
      <c r="U24" s="496">
        <f>IFERROR(Dermal_Exp[[#This Row],[APDR_Central Tendency]]/BW_F,"Not Assessed")</f>
        <v>9.3625000000000007</v>
      </c>
      <c r="V24" s="496">
        <f>IFERROR(Dermal_Exp[[#This Row],[AAD_High-End]]*IF(Dermal_Exp[[#This Row],[EF_High-End]]&gt;EFID,EFID,Dermal_Exp[[#This Row],[EF_High-End]])/ID,"Not Assessed")</f>
        <v>20.5975</v>
      </c>
      <c r="W24" s="496">
        <f>IFERROR(Dermal_Exp[[#This Row],[AAD_Central Tendency]]*IF(Dermal_Exp[[#This Row],[EF_Central Tendency]]&gt;EFID,EFID,Dermal_Exp[[#This Row],[EF_Central Tendency]])/ID,"Not Assessed")</f>
        <v>6.8658333333333337</v>
      </c>
      <c r="X24" s="496">
        <f>IFERROR(Dermal_Exp[[#This Row],[AAD_High-End]]*Dermal_Exp[[#This Row],[EF_High-End]]*WY_high/(365*WY_high),"Not Assessed")</f>
        <v>19.238013698630137</v>
      </c>
      <c r="Y24" s="496">
        <f>IFERROR(Dermal_Exp[[#This Row],[AAD_Central Tendency]]*Dermal_Exp[[#This Row],[EF_Central Tendency]]*WY_mid/(365*WY_mid),"Not Assessed")</f>
        <v>6.4126712328767121</v>
      </c>
    </row>
    <row r="25" spans="1:25" s="405" customFormat="1" ht="26" x14ac:dyDescent="0.3">
      <c r="A25" s="499">
        <v>3</v>
      </c>
      <c r="B25" s="500" t="s">
        <v>277</v>
      </c>
      <c r="C25" s="501" t="s">
        <v>73</v>
      </c>
      <c r="D25" s="502" t="s">
        <v>73</v>
      </c>
      <c r="E25" s="502" t="s">
        <v>349</v>
      </c>
      <c r="F25" s="502">
        <v>0.25</v>
      </c>
      <c r="G25" s="503">
        <v>0</v>
      </c>
      <c r="H25" s="504">
        <v>1</v>
      </c>
      <c r="I25" s="504">
        <v>1</v>
      </c>
      <c r="J25" s="505">
        <v>1</v>
      </c>
      <c r="K25" s="505">
        <v>1</v>
      </c>
      <c r="L25" s="504">
        <f>IF(Dermal_Exp[[#This Row],[Worker Type]]="ONU",AH1_cm2_F,AH2_cm2_F)</f>
        <v>1070</v>
      </c>
      <c r="M25" s="504">
        <f t="shared" si="0"/>
        <v>535</v>
      </c>
      <c r="N25" s="506">
        <v>10</v>
      </c>
      <c r="O25" s="506">
        <v>3.8</v>
      </c>
      <c r="P25" s="505">
        <f>IF(Dermal_Exp[[#This Row],[Physical Form]]="Liquid",0,IF(Dermal_Exp[[#This Row],[Physical Form]]="Solid",1100/Dermal_Exp[[#This Row],[SA_High-End (Two hands)]],IF(Dermal_Exp[[#This Row],[Physical Form]]="Liquid &amp; Solid",1100/Dermal_Exp[[#This Row],[SA_High-End (Two hands)]],0)))</f>
        <v>0</v>
      </c>
      <c r="Q25" s="505">
        <f>IF(Dermal_Exp[[#This Row],[Physical Form]]="Liquid",0,IF(Dermal_Exp[[#This Row],[Physical Form]]="Solid",450/Dermal_Exp[[#This Row],[SA_Central Tendency (One hand)]],IF(Dermal_Exp[[#This Row],[Physical Form]]="Liquid &amp; Solid",450/Dermal_Exp[[#This Row],[SA_Central Tendency (One hand)]],0)))</f>
        <v>0</v>
      </c>
      <c r="R25" s="507">
        <f>IFERROR(Dermal_Exp[[#This Row],[SA_High-End (Two hands)]]*(Dermal_Exp[[#This Row],[Qu_High-End (Liquid or Mist)]]*Dermal_Exp[[#This Row],[Liquid or Mist]]+Dermal_Exp[[#This Row],[Qu_High-End (Solid)]]*Dermal_Exp[[#This Row],[Solid]])*Dermal_Exp[[#This Row],[FT_High-End]],"Not Assessed")</f>
        <v>2675</v>
      </c>
      <c r="S25" s="507">
        <f>IFERROR(Dermal_Exp[[#This Row],[SA_Central Tendency (One hand)]]*(Dermal_Exp[[#This Row],[Qu_Central Tendency (Liquid or Mist)]]*Dermal_Exp[[#This Row],[Liquid or Mist]]+Dermal_Exp[[#This Row],[Qu_Central Tendency (Solid)]]*Dermal_Exp[[#This Row],[Solid]])*Dermal_Exp[[#This Row],[FT_Central Tendency]],"Not Assessed")</f>
        <v>508.25</v>
      </c>
      <c r="T25" s="507">
        <f>IFERROR(Dermal_Exp[[#This Row],[APDR_High-End]]/BW_F,"Not Assessed")</f>
        <v>33.4375</v>
      </c>
      <c r="U25" s="507">
        <f>IFERROR(Dermal_Exp[[#This Row],[APDR_Central Tendency]]/BW_F,"Not Assessed")</f>
        <v>6.3531250000000004</v>
      </c>
      <c r="V25" s="507">
        <f>IFERROR(Dermal_Exp[[#This Row],[AAD_High-End]]*IF(Dermal_Exp[[#This Row],[EF_High-End]]&gt;EFID,EFID,Dermal_Exp[[#This Row],[EF_High-End]])/ID,"Not Assessed")</f>
        <v>1.1145833333333333</v>
      </c>
      <c r="W25" s="507">
        <f>IFERROR(Dermal_Exp[[#This Row],[AAD_Central Tendency]]*IF(Dermal_Exp[[#This Row],[EF_Central Tendency]]&gt;EFID,EFID,Dermal_Exp[[#This Row],[EF_Central Tendency]])/ID,"Not Assessed")</f>
        <v>0.21177083333333335</v>
      </c>
      <c r="X25" s="507">
        <f>IFERROR(Dermal_Exp[[#This Row],[AAD_High-End]]*Dermal_Exp[[#This Row],[EF_High-End]]*WY_high/(365*WY_high),"Not Assessed")</f>
        <v>9.1609589041095896E-2</v>
      </c>
      <c r="Y25" s="507">
        <f>IFERROR(Dermal_Exp[[#This Row],[AAD_Central Tendency]]*Dermal_Exp[[#This Row],[EF_Central Tendency]]*WY_mid/(365*WY_mid),"Not Assessed")</f>
        <v>1.740582191780822E-2</v>
      </c>
    </row>
    <row r="26" spans="1:25" s="405" customFormat="1" ht="26" x14ac:dyDescent="0.3">
      <c r="A26" s="499">
        <v>3</v>
      </c>
      <c r="B26" s="500" t="s">
        <v>277</v>
      </c>
      <c r="C26" s="501" t="s">
        <v>54</v>
      </c>
      <c r="D26" s="502" t="s">
        <v>54</v>
      </c>
      <c r="E26" s="502" t="s">
        <v>421</v>
      </c>
      <c r="F26" s="502">
        <v>0.25</v>
      </c>
      <c r="G26" s="503">
        <v>0</v>
      </c>
      <c r="H26" s="504">
        <v>1</v>
      </c>
      <c r="I26" s="504">
        <v>1</v>
      </c>
      <c r="J26" s="505">
        <v>1</v>
      </c>
      <c r="K26" s="505">
        <v>1</v>
      </c>
      <c r="L26" s="504">
        <f>IF(Dermal_Exp[[#This Row],[Worker Type]]="ONU",AH1_cm2_F,AH2_cm2_F)</f>
        <v>535</v>
      </c>
      <c r="M26" s="504">
        <f t="shared" si="0"/>
        <v>535</v>
      </c>
      <c r="N26" s="505">
        <f>IF(Dermal_Exp[[#This Row],[Physical Form]]="Liquid",2.1,IF(Dermal_Exp[[#This Row],[Physical Form]]="Solid",0,IF(Dermal_Exp[[#This Row],[Physical Form]]="Liquid &amp; Solid",2.1,IF(Dermal_Exp[[#This Row],[Similar Exposure Group (SEG)]]="ONU",1.4,10.3))))</f>
        <v>1.4</v>
      </c>
      <c r="O26" s="505">
        <f>IF(Dermal_Exp[[#This Row],[Physical Form]]="Liquid",1.4,IF(Dermal_Exp[[#This Row],[Physical Form]]="Solid",0,IF(Dermal_Exp[[#This Row],[Physical Form]]="Liquid &amp; Solid",1.4,IF(Dermal_Exp[[#This Row],[Similar Exposure Group (SEG)]]="ONU",1.4,3.8))))</f>
        <v>1.4</v>
      </c>
      <c r="P26" s="505">
        <f>IF(Dermal_Exp[[#This Row],[Physical Form]]="Liquid",0,IF(Dermal_Exp[[#This Row],[Physical Form]]="Solid",1100/Dermal_Exp[[#This Row],[SA_High-End (Two hands)]],IF(Dermal_Exp[[#This Row],[Physical Form]]="Liquid &amp; Solid",1100/Dermal_Exp[[#This Row],[SA_High-End (Two hands)]],0)))</f>
        <v>0</v>
      </c>
      <c r="Q26" s="505">
        <f>IF(Dermal_Exp[[#This Row],[Physical Form]]="Liquid",0,IF(Dermal_Exp[[#This Row],[Physical Form]]="Solid",450/Dermal_Exp[[#This Row],[SA_Central Tendency (One hand)]],IF(Dermal_Exp[[#This Row],[Physical Form]]="Liquid &amp; Solid",450/Dermal_Exp[[#This Row],[SA_Central Tendency (One hand)]],0)))</f>
        <v>0</v>
      </c>
      <c r="R26" s="507">
        <f>IFERROR(Dermal_Exp[[#This Row],[SA_High-End (Two hands)]]*(Dermal_Exp[[#This Row],[Qu_High-End (Liquid or Mist)]]*Dermal_Exp[[#This Row],[Liquid or Mist]]+Dermal_Exp[[#This Row],[Qu_High-End (Solid)]]*Dermal_Exp[[#This Row],[Solid]])*Dermal_Exp[[#This Row],[FT_High-End]],"Not Assessed")</f>
        <v>187.25</v>
      </c>
      <c r="S26" s="507">
        <f>IFERROR(Dermal_Exp[[#This Row],[SA_Central Tendency (One hand)]]*(Dermal_Exp[[#This Row],[Qu_Central Tendency (Liquid or Mist)]]*Dermal_Exp[[#This Row],[Liquid or Mist]]+Dermal_Exp[[#This Row],[Qu_Central Tendency (Solid)]]*Dermal_Exp[[#This Row],[Solid]])*Dermal_Exp[[#This Row],[FT_Central Tendency]],"Not Assessed")</f>
        <v>187.25</v>
      </c>
      <c r="T26" s="507">
        <f>IFERROR(Dermal_Exp[[#This Row],[APDR_High-End]]/BW_F,"Not Assessed")</f>
        <v>2.3406250000000002</v>
      </c>
      <c r="U26" s="507">
        <f>IFERROR(Dermal_Exp[[#This Row],[APDR_Central Tendency]]/BW_F,"Not Assessed")</f>
        <v>2.3406250000000002</v>
      </c>
      <c r="V26" s="507">
        <f>IFERROR(Dermal_Exp[[#This Row],[AAD_High-End]]*IF(Dermal_Exp[[#This Row],[EF_High-End]]&gt;EFID,EFID,Dermal_Exp[[#This Row],[EF_High-End]])/ID,"Not Assessed")</f>
        <v>7.8020833333333345E-2</v>
      </c>
      <c r="W26" s="507">
        <f>IFERROR(Dermal_Exp[[#This Row],[AAD_Central Tendency]]*IF(Dermal_Exp[[#This Row],[EF_Central Tendency]]&gt;EFID,EFID,Dermal_Exp[[#This Row],[EF_Central Tendency]])/ID,"Not Assessed")</f>
        <v>7.8020833333333345E-2</v>
      </c>
      <c r="X26" s="507">
        <f>IFERROR(Dermal_Exp[[#This Row],[AAD_High-End]]*Dermal_Exp[[#This Row],[EF_High-End]]*WY_high/(365*WY_high),"Not Assessed")</f>
        <v>6.4126712328767127E-3</v>
      </c>
      <c r="Y26" s="507">
        <f>IFERROR(Dermal_Exp[[#This Row],[AAD_Central Tendency]]*Dermal_Exp[[#This Row],[EF_Central Tendency]]*WY_mid/(365*WY_mid),"Not Assessed")</f>
        <v>6.4126712328767127E-3</v>
      </c>
    </row>
    <row r="27" spans="1:25" s="497" customFormat="1" ht="26" x14ac:dyDescent="0.3">
      <c r="A27" s="489">
        <v>3</v>
      </c>
      <c r="B27" s="490" t="s">
        <v>278</v>
      </c>
      <c r="C27" s="491" t="s">
        <v>73</v>
      </c>
      <c r="D27" s="492" t="s">
        <v>73</v>
      </c>
      <c r="E27" s="492" t="s">
        <v>349</v>
      </c>
      <c r="F27" s="492">
        <v>0.25</v>
      </c>
      <c r="G27" s="493">
        <v>0</v>
      </c>
      <c r="H27" s="494">
        <v>2</v>
      </c>
      <c r="I27" s="494">
        <v>2</v>
      </c>
      <c r="J27" s="495">
        <v>1</v>
      </c>
      <c r="K27" s="495">
        <v>1</v>
      </c>
      <c r="L27" s="494">
        <f>IF(Dermal_Exp[[#This Row],[Worker Type]]="ONU",AH1_cm2_F,AH2_cm2_F)</f>
        <v>1070</v>
      </c>
      <c r="M27" s="494">
        <f t="shared" si="0"/>
        <v>535</v>
      </c>
      <c r="N27" s="495">
        <v>10</v>
      </c>
      <c r="O27" s="495">
        <v>3.8</v>
      </c>
      <c r="P27" s="495">
        <f>IF(Dermal_Exp[[#This Row],[Physical Form]]="Liquid",0,IF(Dermal_Exp[[#This Row],[Physical Form]]="Solid",1100/Dermal_Exp[[#This Row],[SA_High-End (Two hands)]],IF(Dermal_Exp[[#This Row],[Physical Form]]="Liquid &amp; Solid",1100/Dermal_Exp[[#This Row],[SA_High-End (Two hands)]],0)))</f>
        <v>0</v>
      </c>
      <c r="Q27" s="495">
        <f>IF(Dermal_Exp[[#This Row],[Physical Form]]="Liquid",0,IF(Dermal_Exp[[#This Row],[Physical Form]]="Solid",450/Dermal_Exp[[#This Row],[SA_Central Tendency (One hand)]],IF(Dermal_Exp[[#This Row],[Physical Form]]="Liquid &amp; Solid",450/Dermal_Exp[[#This Row],[SA_Central Tendency (One hand)]],0)))</f>
        <v>0</v>
      </c>
      <c r="R27" s="496">
        <f>IFERROR(Dermal_Exp[[#This Row],[SA_High-End (Two hands)]]*(Dermal_Exp[[#This Row],[Qu_High-End (Liquid or Mist)]]*Dermal_Exp[[#This Row],[Liquid or Mist]]+Dermal_Exp[[#This Row],[Qu_High-End (Solid)]]*Dermal_Exp[[#This Row],[Solid]])*Dermal_Exp[[#This Row],[FT_High-End]],"Not Assessed")</f>
        <v>2675</v>
      </c>
      <c r="S27" s="496">
        <f>IFERROR(Dermal_Exp[[#This Row],[SA_Central Tendency (One hand)]]*(Dermal_Exp[[#This Row],[Qu_Central Tendency (Liquid or Mist)]]*Dermal_Exp[[#This Row],[Liquid or Mist]]+Dermal_Exp[[#This Row],[Qu_Central Tendency (Solid)]]*Dermal_Exp[[#This Row],[Solid]])*Dermal_Exp[[#This Row],[FT_Central Tendency]],"Not Assessed")</f>
        <v>508.25</v>
      </c>
      <c r="T27" s="496">
        <f>IFERROR(Dermal_Exp[[#This Row],[APDR_High-End]]/BW_F,"Not Assessed")</f>
        <v>33.4375</v>
      </c>
      <c r="U27" s="496">
        <f>IFERROR(Dermal_Exp[[#This Row],[APDR_Central Tendency]]/BW_F,"Not Assessed")</f>
        <v>6.3531250000000004</v>
      </c>
      <c r="V27" s="496">
        <f>IFERROR(Dermal_Exp[[#This Row],[AAD_High-End]]*IF(Dermal_Exp[[#This Row],[EF_High-End]]&gt;EFID,EFID,Dermal_Exp[[#This Row],[EF_High-End]])/ID,"Not Assessed")</f>
        <v>2.2291666666666665</v>
      </c>
      <c r="W27" s="496">
        <f>IFERROR(Dermal_Exp[[#This Row],[AAD_Central Tendency]]*IF(Dermal_Exp[[#This Row],[EF_Central Tendency]]&gt;EFID,EFID,Dermal_Exp[[#This Row],[EF_Central Tendency]])/ID,"Not Assessed")</f>
        <v>0.42354166666666671</v>
      </c>
      <c r="X27" s="496">
        <f>IFERROR(Dermal_Exp[[#This Row],[AAD_High-End]]*Dermal_Exp[[#This Row],[EF_High-End]]*WY_high/(365*WY_high),"Not Assessed")</f>
        <v>0.18321917808219179</v>
      </c>
      <c r="Y27" s="496">
        <f>IFERROR(Dermal_Exp[[#This Row],[AAD_Central Tendency]]*Dermal_Exp[[#This Row],[EF_Central Tendency]]*WY_mid/(365*WY_mid),"Not Assessed")</f>
        <v>3.481164383561644E-2</v>
      </c>
    </row>
    <row r="28" spans="1:25" s="497" customFormat="1" ht="26" x14ac:dyDescent="0.3">
      <c r="A28" s="489">
        <v>3</v>
      </c>
      <c r="B28" s="490" t="s">
        <v>278</v>
      </c>
      <c r="C28" s="491" t="s">
        <v>54</v>
      </c>
      <c r="D28" s="492" t="s">
        <v>54</v>
      </c>
      <c r="E28" s="492" t="s">
        <v>421</v>
      </c>
      <c r="F28" s="492">
        <v>0.25</v>
      </c>
      <c r="G28" s="493">
        <v>0</v>
      </c>
      <c r="H28" s="494">
        <v>2</v>
      </c>
      <c r="I28" s="494">
        <v>2</v>
      </c>
      <c r="J28" s="495">
        <v>1</v>
      </c>
      <c r="K28" s="495">
        <v>1</v>
      </c>
      <c r="L28" s="508">
        <f>IF(Dermal_Exp[[#This Row],[Worker Type]]="ONU",AH1_cm2_F,AH2_cm2_F)</f>
        <v>535</v>
      </c>
      <c r="M28" s="508">
        <f t="shared" si="0"/>
        <v>535</v>
      </c>
      <c r="N28" s="495">
        <f>IF(Dermal_Exp[[#This Row],[Physical Form]]="Liquid",2.1,IF(Dermal_Exp[[#This Row],[Physical Form]]="Solid",0,IF(Dermal_Exp[[#This Row],[Physical Form]]="Liquid &amp; Solid",2.1,IF(Dermal_Exp[[#This Row],[Similar Exposure Group (SEG)]]="ONU",1.4,10.3))))</f>
        <v>1.4</v>
      </c>
      <c r="O28" s="495">
        <f>IF(Dermal_Exp[[#This Row],[Physical Form]]="Liquid",1.4,IF(Dermal_Exp[[#This Row],[Physical Form]]="Solid",0,IF(Dermal_Exp[[#This Row],[Physical Form]]="Liquid &amp; Solid",1.4,IF(Dermal_Exp[[#This Row],[Similar Exposure Group (SEG)]]="ONU",1.4,3.8))))</f>
        <v>1.4</v>
      </c>
      <c r="P28" s="495">
        <f>IF(Dermal_Exp[[#This Row],[Physical Form]]="Liquid",0,IF(Dermal_Exp[[#This Row],[Physical Form]]="Solid",1100/Dermal_Exp[[#This Row],[SA_High-End (Two hands)]],IF(Dermal_Exp[[#This Row],[Physical Form]]="Liquid &amp; Solid",1100/Dermal_Exp[[#This Row],[SA_High-End (Two hands)]],0)))</f>
        <v>0</v>
      </c>
      <c r="Q28" s="495">
        <f>IF(Dermal_Exp[[#This Row],[Physical Form]]="Liquid",0,IF(Dermal_Exp[[#This Row],[Physical Form]]="Solid",450/Dermal_Exp[[#This Row],[SA_Central Tendency (One hand)]],IF(Dermal_Exp[[#This Row],[Physical Form]]="Liquid &amp; Solid",450/Dermal_Exp[[#This Row],[SA_Central Tendency (One hand)]],0)))</f>
        <v>0</v>
      </c>
      <c r="R28" s="496">
        <f>IFERROR(Dermal_Exp[[#This Row],[SA_High-End (Two hands)]]*(Dermal_Exp[[#This Row],[Qu_High-End (Liquid or Mist)]]*Dermal_Exp[[#This Row],[Liquid or Mist]]+Dermal_Exp[[#This Row],[Qu_High-End (Solid)]]*Dermal_Exp[[#This Row],[Solid]])*Dermal_Exp[[#This Row],[FT_High-End]],"Not Assessed")</f>
        <v>187.25</v>
      </c>
      <c r="S28" s="496">
        <f>IFERROR(Dermal_Exp[[#This Row],[SA_Central Tendency (One hand)]]*(Dermal_Exp[[#This Row],[Qu_Central Tendency (Liquid or Mist)]]*Dermal_Exp[[#This Row],[Liquid or Mist]]+Dermal_Exp[[#This Row],[Qu_Central Tendency (Solid)]]*Dermal_Exp[[#This Row],[Solid]])*Dermal_Exp[[#This Row],[FT_Central Tendency]],"Not Assessed")</f>
        <v>187.25</v>
      </c>
      <c r="T28" s="496">
        <f>IFERROR(Dermal_Exp[[#This Row],[APDR_High-End]]/BW_F,"Not Assessed")</f>
        <v>2.3406250000000002</v>
      </c>
      <c r="U28" s="496">
        <f>IFERROR(Dermal_Exp[[#This Row],[APDR_Central Tendency]]/BW_F,"Not Assessed")</f>
        <v>2.3406250000000002</v>
      </c>
      <c r="V28" s="496">
        <f>IFERROR(Dermal_Exp[[#This Row],[AAD_High-End]]*IF(Dermal_Exp[[#This Row],[EF_High-End]]&gt;EFID,EFID,Dermal_Exp[[#This Row],[EF_High-End]])/ID,"Not Assessed")</f>
        <v>0.15604166666666669</v>
      </c>
      <c r="W28" s="496">
        <f>IFERROR(Dermal_Exp[[#This Row],[AAD_Central Tendency]]*IF(Dermal_Exp[[#This Row],[EF_Central Tendency]]&gt;EFID,EFID,Dermal_Exp[[#This Row],[EF_Central Tendency]])/ID,"Not Assessed")</f>
        <v>0.15604166666666669</v>
      </c>
      <c r="X28" s="496">
        <f>IFERROR(Dermal_Exp[[#This Row],[AAD_High-End]]*Dermal_Exp[[#This Row],[EF_High-End]]*WY_high/(365*WY_high),"Not Assessed")</f>
        <v>1.2825342465753425E-2</v>
      </c>
      <c r="Y28" s="496">
        <f>IFERROR(Dermal_Exp[[#This Row],[AAD_Central Tendency]]*Dermal_Exp[[#This Row],[EF_Central Tendency]]*WY_mid/(365*WY_mid),"Not Assessed")</f>
        <v>1.2825342465753425E-2</v>
      </c>
    </row>
    <row r="29" spans="1:25" s="405" customFormat="1" ht="26" x14ac:dyDescent="0.3">
      <c r="A29" s="499">
        <v>3</v>
      </c>
      <c r="B29" s="500" t="s">
        <v>279</v>
      </c>
      <c r="C29" s="501" t="s">
        <v>73</v>
      </c>
      <c r="D29" s="502" t="s">
        <v>73</v>
      </c>
      <c r="E29" s="502" t="s">
        <v>349</v>
      </c>
      <c r="F29" s="503">
        <v>0.25</v>
      </c>
      <c r="G29" s="503">
        <v>0</v>
      </c>
      <c r="H29" s="504">
        <v>250</v>
      </c>
      <c r="I29" s="504">
        <v>250</v>
      </c>
      <c r="J29" s="505">
        <v>1</v>
      </c>
      <c r="K29" s="505">
        <v>1</v>
      </c>
      <c r="L29" s="509">
        <f>IF(Dermal_Exp[[#This Row],[Worker Type]]="ONU",AH1_cm2_F,AH2_cm2_F)</f>
        <v>1070</v>
      </c>
      <c r="M29" s="509">
        <f t="shared" si="0"/>
        <v>535</v>
      </c>
      <c r="N29" s="506">
        <v>10</v>
      </c>
      <c r="O29" s="506">
        <v>3.8</v>
      </c>
      <c r="P29" s="505">
        <f>IF(Dermal_Exp[[#This Row],[Physical Form]]="Liquid",0,IF(Dermal_Exp[[#This Row],[Physical Form]]="Solid",1100/Dermal_Exp[[#This Row],[SA_High-End (Two hands)]],IF(Dermal_Exp[[#This Row],[Physical Form]]="Liquid &amp; Solid",1100/Dermal_Exp[[#This Row],[SA_High-End (Two hands)]],0)))</f>
        <v>0</v>
      </c>
      <c r="Q29" s="505">
        <f>IF(Dermal_Exp[[#This Row],[Physical Form]]="Liquid",0,IF(Dermal_Exp[[#This Row],[Physical Form]]="Solid",450/Dermal_Exp[[#This Row],[SA_Central Tendency (One hand)]],IF(Dermal_Exp[[#This Row],[Physical Form]]="Liquid &amp; Solid",450/Dermal_Exp[[#This Row],[SA_Central Tendency (One hand)]],0)))</f>
        <v>0</v>
      </c>
      <c r="R29" s="507">
        <f>IFERROR(Dermal_Exp[[#This Row],[SA_High-End (Two hands)]]*(Dermal_Exp[[#This Row],[Qu_High-End (Liquid or Mist)]]*Dermal_Exp[[#This Row],[Liquid or Mist]]+Dermal_Exp[[#This Row],[Qu_High-End (Solid)]]*Dermal_Exp[[#This Row],[Solid]])*Dermal_Exp[[#This Row],[FT_High-End]],"Not Assessed")</f>
        <v>2675</v>
      </c>
      <c r="S29" s="507">
        <f>IFERROR(Dermal_Exp[[#This Row],[SA_Central Tendency (One hand)]]*(Dermal_Exp[[#This Row],[Qu_Central Tendency (Liquid or Mist)]]*Dermal_Exp[[#This Row],[Liquid or Mist]]+Dermal_Exp[[#This Row],[Qu_Central Tendency (Solid)]]*Dermal_Exp[[#This Row],[Solid]])*Dermal_Exp[[#This Row],[FT_Central Tendency]],"Not Assessed")</f>
        <v>508.25</v>
      </c>
      <c r="T29" s="507">
        <f>IFERROR(Dermal_Exp[[#This Row],[APDR_High-End]]/BW_F,"Not Assessed")</f>
        <v>33.4375</v>
      </c>
      <c r="U29" s="507">
        <f>IFERROR(Dermal_Exp[[#This Row],[APDR_Central Tendency]]/BW_F,"Not Assessed")</f>
        <v>6.3531250000000004</v>
      </c>
      <c r="V29" s="507">
        <f>IFERROR(Dermal_Exp[[#This Row],[AAD_High-End]]*IF(Dermal_Exp[[#This Row],[EF_High-End]]&gt;EFID,EFID,Dermal_Exp[[#This Row],[EF_High-End]])/ID,"Not Assessed")</f>
        <v>24.520833333333332</v>
      </c>
      <c r="W29" s="507">
        <f>IFERROR(Dermal_Exp[[#This Row],[AAD_Central Tendency]]*IF(Dermal_Exp[[#This Row],[EF_Central Tendency]]&gt;EFID,EFID,Dermal_Exp[[#This Row],[EF_Central Tendency]])/ID,"Not Assessed")</f>
        <v>4.6589583333333335</v>
      </c>
      <c r="X29" s="507">
        <f>IFERROR(Dermal_Exp[[#This Row],[AAD_High-End]]*Dermal_Exp[[#This Row],[EF_High-End]]*WY_high/(365*WY_high),"Not Assessed")</f>
        <v>22.902397260273972</v>
      </c>
      <c r="Y29" s="507">
        <f>IFERROR(Dermal_Exp[[#This Row],[AAD_Central Tendency]]*Dermal_Exp[[#This Row],[EF_Central Tendency]]*WY_mid/(365*WY_mid),"Not Assessed")</f>
        <v>4.3514554794520546</v>
      </c>
    </row>
    <row r="30" spans="1:25" s="405" customFormat="1" ht="26" x14ac:dyDescent="0.3">
      <c r="A30" s="499">
        <v>3</v>
      </c>
      <c r="B30" s="500" t="s">
        <v>279</v>
      </c>
      <c r="C30" s="501" t="s">
        <v>54</v>
      </c>
      <c r="D30" s="502" t="s">
        <v>54</v>
      </c>
      <c r="E30" s="502" t="s">
        <v>421</v>
      </c>
      <c r="F30" s="503">
        <v>0.25</v>
      </c>
      <c r="G30" s="503">
        <v>0</v>
      </c>
      <c r="H30" s="504">
        <v>250</v>
      </c>
      <c r="I30" s="504">
        <v>250</v>
      </c>
      <c r="J30" s="505">
        <v>1</v>
      </c>
      <c r="K30" s="505">
        <v>1</v>
      </c>
      <c r="L30" s="509">
        <f>IF(Dermal_Exp[[#This Row],[Worker Type]]="ONU",AH1_cm2_F,AH2_cm2_F)</f>
        <v>535</v>
      </c>
      <c r="M30" s="509">
        <f t="shared" si="0"/>
        <v>535</v>
      </c>
      <c r="N30" s="505">
        <f>IF(Dermal_Exp[[#This Row],[Physical Form]]="Liquid",2.1,IF(Dermal_Exp[[#This Row],[Physical Form]]="Solid",0,IF(Dermal_Exp[[#This Row],[Physical Form]]="Liquid &amp; Solid",2.1,IF(Dermal_Exp[[#This Row],[Similar Exposure Group (SEG)]]="ONU",1.4,10.3))))</f>
        <v>1.4</v>
      </c>
      <c r="O30" s="505">
        <f>IF(Dermal_Exp[[#This Row],[Physical Form]]="Liquid",1.4,IF(Dermal_Exp[[#This Row],[Physical Form]]="Solid",0,IF(Dermal_Exp[[#This Row],[Physical Form]]="Liquid &amp; Solid",1.4,IF(Dermal_Exp[[#This Row],[Similar Exposure Group (SEG)]]="ONU",1.4,3.8))))</f>
        <v>1.4</v>
      </c>
      <c r="P30" s="505">
        <f>IF(Dermal_Exp[[#This Row],[Physical Form]]="Liquid",0,IF(Dermal_Exp[[#This Row],[Physical Form]]="Solid",1100/Dermal_Exp[[#This Row],[SA_High-End (Two hands)]],IF(Dermal_Exp[[#This Row],[Physical Form]]="Liquid &amp; Solid",1100/Dermal_Exp[[#This Row],[SA_High-End (Two hands)]],0)))</f>
        <v>0</v>
      </c>
      <c r="Q30" s="505">
        <f>IF(Dermal_Exp[[#This Row],[Physical Form]]="Liquid",0,IF(Dermal_Exp[[#This Row],[Physical Form]]="Solid",450/Dermal_Exp[[#This Row],[SA_Central Tendency (One hand)]],IF(Dermal_Exp[[#This Row],[Physical Form]]="Liquid &amp; Solid",450/Dermal_Exp[[#This Row],[SA_Central Tendency (One hand)]],0)))</f>
        <v>0</v>
      </c>
      <c r="R30" s="507">
        <f>IFERROR(Dermal_Exp[[#This Row],[SA_High-End (Two hands)]]*(Dermal_Exp[[#This Row],[Qu_High-End (Liquid or Mist)]]*Dermal_Exp[[#This Row],[Liquid or Mist]]+Dermal_Exp[[#This Row],[Qu_High-End (Solid)]]*Dermal_Exp[[#This Row],[Solid]])*Dermal_Exp[[#This Row],[FT_High-End]],"Not Assessed")</f>
        <v>187.25</v>
      </c>
      <c r="S30" s="507">
        <f>IFERROR(Dermal_Exp[[#This Row],[SA_Central Tendency (One hand)]]*(Dermal_Exp[[#This Row],[Qu_Central Tendency (Liquid or Mist)]]*Dermal_Exp[[#This Row],[Liquid or Mist]]+Dermal_Exp[[#This Row],[Qu_Central Tendency (Solid)]]*Dermal_Exp[[#This Row],[Solid]])*Dermal_Exp[[#This Row],[FT_Central Tendency]],"Not Assessed")</f>
        <v>187.25</v>
      </c>
      <c r="T30" s="507">
        <f>IFERROR(Dermal_Exp[[#This Row],[APDR_High-End]]/BW_F,"Not Assessed")</f>
        <v>2.3406250000000002</v>
      </c>
      <c r="U30" s="507">
        <f>IFERROR(Dermal_Exp[[#This Row],[APDR_Central Tendency]]/BW_F,"Not Assessed")</f>
        <v>2.3406250000000002</v>
      </c>
      <c r="V30" s="507">
        <f>IFERROR(Dermal_Exp[[#This Row],[AAD_High-End]]*IF(Dermal_Exp[[#This Row],[EF_High-End]]&gt;EFID,EFID,Dermal_Exp[[#This Row],[EF_High-End]])/ID,"Not Assessed")</f>
        <v>1.7164583333333334</v>
      </c>
      <c r="W30" s="507">
        <f>IFERROR(Dermal_Exp[[#This Row],[AAD_Central Tendency]]*IF(Dermal_Exp[[#This Row],[EF_Central Tendency]]&gt;EFID,EFID,Dermal_Exp[[#This Row],[EF_Central Tendency]])/ID,"Not Assessed")</f>
        <v>1.7164583333333334</v>
      </c>
      <c r="X30" s="507">
        <f>IFERROR(Dermal_Exp[[#This Row],[AAD_High-End]]*Dermal_Exp[[#This Row],[EF_High-End]]*WY_high/(365*WY_high),"Not Assessed")</f>
        <v>1.603167808219178</v>
      </c>
      <c r="Y30" s="507">
        <f>IFERROR(Dermal_Exp[[#This Row],[AAD_Central Tendency]]*Dermal_Exp[[#This Row],[EF_Central Tendency]]*WY_mid/(365*WY_mid),"Not Assessed")</f>
        <v>1.603167808219178</v>
      </c>
    </row>
    <row r="31" spans="1:25" s="497" customFormat="1" x14ac:dyDescent="0.3">
      <c r="A31" s="489">
        <v>4</v>
      </c>
      <c r="B31" s="490" t="s">
        <v>291</v>
      </c>
      <c r="C31" s="491" t="s">
        <v>264</v>
      </c>
      <c r="D31" s="492" t="s">
        <v>73</v>
      </c>
      <c r="E31" s="493" t="s">
        <v>349</v>
      </c>
      <c r="F31" s="493">
        <v>1</v>
      </c>
      <c r="G31" s="493">
        <v>0</v>
      </c>
      <c r="H31" s="494">
        <v>164</v>
      </c>
      <c r="I31" s="494">
        <v>49</v>
      </c>
      <c r="J31" s="495">
        <v>1</v>
      </c>
      <c r="K31" s="495">
        <v>1</v>
      </c>
      <c r="L31" s="510">
        <f>IF(Dermal_Exp[[#This Row],[Worker Type]]="ONU",AH1_cm2_F,AH2_cm2_F)</f>
        <v>1070</v>
      </c>
      <c r="M31" s="510">
        <f t="shared" si="0"/>
        <v>535</v>
      </c>
      <c r="N31" s="495">
        <f>IF(Dermal_Exp[[#This Row],[Physical Form]]="Liquid",2.1,IF(Dermal_Exp[[#This Row],[Physical Form]]="Solid",0,IF(Dermal_Exp[[#This Row],[Physical Form]]="Liquid &amp; Solid",2.1,IF(Dermal_Exp[[#This Row],[Similar Exposure Group (SEG)]]="ONU",1.4,10.3))))</f>
        <v>2.1</v>
      </c>
      <c r="O31" s="495">
        <f>IF(Dermal_Exp[[#This Row],[Physical Form]]="Liquid",1.4,IF(Dermal_Exp[[#This Row],[Physical Form]]="Solid",0,IF(Dermal_Exp[[#This Row],[Physical Form]]="Liquid &amp; Solid",1.4,IF(Dermal_Exp[[#This Row],[Similar Exposure Group (SEG)]]="ONU",1.4,3.8))))</f>
        <v>1.4</v>
      </c>
      <c r="P31" s="495">
        <f>IF(Dermal_Exp[[#This Row],[Physical Form]]="Liquid",0,IF(Dermal_Exp[[#This Row],[Physical Form]]="Solid",1100/Dermal_Exp[[#This Row],[SA_High-End (Two hands)]],IF(Dermal_Exp[[#This Row],[Physical Form]]="Liquid &amp; Solid",1100/Dermal_Exp[[#This Row],[SA_High-End (Two hands)]],0)))</f>
        <v>0</v>
      </c>
      <c r="Q31" s="495">
        <f>IF(Dermal_Exp[[#This Row],[Physical Form]]="Liquid",0,IF(Dermal_Exp[[#This Row],[Physical Form]]="Solid",450/Dermal_Exp[[#This Row],[SA_Central Tendency (One hand)]],IF(Dermal_Exp[[#This Row],[Physical Form]]="Liquid &amp; Solid",450/Dermal_Exp[[#This Row],[SA_Central Tendency (One hand)]],0)))</f>
        <v>0</v>
      </c>
      <c r="R31" s="496">
        <f>IFERROR(Dermal_Exp[[#This Row],[SA_High-End (Two hands)]]*(Dermal_Exp[[#This Row],[Qu_High-End (Liquid or Mist)]]*Dermal_Exp[[#This Row],[Liquid or Mist]]+Dermal_Exp[[#This Row],[Qu_High-End (Solid)]]*Dermal_Exp[[#This Row],[Solid]])*Dermal_Exp[[#This Row],[FT_High-End]],"Not Assessed")</f>
        <v>2247</v>
      </c>
      <c r="S31" s="496">
        <f>IFERROR(Dermal_Exp[[#This Row],[SA_Central Tendency (One hand)]]*(Dermal_Exp[[#This Row],[Qu_Central Tendency (Liquid or Mist)]]*Dermal_Exp[[#This Row],[Liquid or Mist]]+Dermal_Exp[[#This Row],[Qu_Central Tendency (Solid)]]*Dermal_Exp[[#This Row],[Solid]])*Dermal_Exp[[#This Row],[FT_Central Tendency]],"Not Assessed")</f>
        <v>749</v>
      </c>
      <c r="T31" s="496">
        <f>IFERROR(Dermal_Exp[[#This Row],[APDR_High-End]]/BW_F,"Not Assessed")</f>
        <v>28.087499999999999</v>
      </c>
      <c r="U31" s="496">
        <f>IFERROR(Dermal_Exp[[#This Row],[APDR_Central Tendency]]/BW_F,"Not Assessed")</f>
        <v>9.3625000000000007</v>
      </c>
      <c r="V31" s="496">
        <f>IFERROR(Dermal_Exp[[#This Row],[AAD_High-End]]*IF(Dermal_Exp[[#This Row],[EF_High-End]]&gt;EFID,EFID,Dermal_Exp[[#This Row],[EF_High-End]])/ID,"Not Assessed")</f>
        <v>20.5975</v>
      </c>
      <c r="W31" s="496">
        <f>IFERROR(Dermal_Exp[[#This Row],[AAD_Central Tendency]]*IF(Dermal_Exp[[#This Row],[EF_Central Tendency]]&gt;EFID,EFID,Dermal_Exp[[#This Row],[EF_Central Tendency]])/ID,"Not Assessed")</f>
        <v>6.8658333333333337</v>
      </c>
      <c r="X31" s="496">
        <f>IFERROR(Dermal_Exp[[#This Row],[AAD_High-End]]*Dermal_Exp[[#This Row],[EF_High-End]]*WY_high/(365*WY_high),"Not Assessed")</f>
        <v>12.620136986301368</v>
      </c>
      <c r="Y31" s="496">
        <f>IFERROR(Dermal_Exp[[#This Row],[AAD_Central Tendency]]*Dermal_Exp[[#This Row],[EF_Central Tendency]]*WY_mid/(365*WY_mid),"Not Assessed")</f>
        <v>1.2568835616438356</v>
      </c>
    </row>
    <row r="32" spans="1:25" s="497" customFormat="1" x14ac:dyDescent="0.3">
      <c r="A32" s="489">
        <v>4</v>
      </c>
      <c r="B32" s="490" t="s">
        <v>291</v>
      </c>
      <c r="C32" s="491" t="s">
        <v>265</v>
      </c>
      <c r="D32" s="492" t="s">
        <v>73</v>
      </c>
      <c r="E32" s="493" t="s">
        <v>349</v>
      </c>
      <c r="F32" s="493">
        <v>1</v>
      </c>
      <c r="G32" s="493">
        <v>0</v>
      </c>
      <c r="H32" s="494">
        <v>164</v>
      </c>
      <c r="I32" s="494">
        <v>49</v>
      </c>
      <c r="J32" s="495">
        <v>1</v>
      </c>
      <c r="K32" s="495">
        <v>1</v>
      </c>
      <c r="L32" s="511">
        <f>IF(Dermal_Exp[[#This Row],[Worker Type]]="ONU",AH1_cm2_F,AH2_cm2_F)</f>
        <v>1070</v>
      </c>
      <c r="M32" s="511">
        <f t="shared" si="0"/>
        <v>535</v>
      </c>
      <c r="N32" s="495">
        <f>IF(Dermal_Exp[[#This Row],[Physical Form]]="Liquid",2.1,IF(Dermal_Exp[[#This Row],[Physical Form]]="Solid",0,IF(Dermal_Exp[[#This Row],[Physical Form]]="Liquid &amp; Solid",2.1,IF(Dermal_Exp[[#This Row],[Similar Exposure Group (SEG)]]="ONU",1.4,10.3))))</f>
        <v>2.1</v>
      </c>
      <c r="O32" s="495">
        <f>IF(Dermal_Exp[[#This Row],[Physical Form]]="Liquid",1.4,IF(Dermal_Exp[[#This Row],[Physical Form]]="Solid",0,IF(Dermal_Exp[[#This Row],[Physical Form]]="Liquid &amp; Solid",1.4,IF(Dermal_Exp[[#This Row],[Similar Exposure Group (SEG)]]="ONU",1.4,3.8))))</f>
        <v>1.4</v>
      </c>
      <c r="P32" s="495">
        <f>IF(Dermal_Exp[[#This Row],[Physical Form]]="Liquid",0,IF(Dermal_Exp[[#This Row],[Physical Form]]="Solid",1100/Dermal_Exp[[#This Row],[SA_High-End (Two hands)]],IF(Dermal_Exp[[#This Row],[Physical Form]]="Liquid &amp; Solid",1100/Dermal_Exp[[#This Row],[SA_High-End (Two hands)]],0)))</f>
        <v>0</v>
      </c>
      <c r="Q32" s="495">
        <f>IF(Dermal_Exp[[#This Row],[Physical Form]]="Liquid",0,IF(Dermal_Exp[[#This Row],[Physical Form]]="Solid",450/Dermal_Exp[[#This Row],[SA_Central Tendency (One hand)]],IF(Dermal_Exp[[#This Row],[Physical Form]]="Liquid &amp; Solid",450/Dermal_Exp[[#This Row],[SA_Central Tendency (One hand)]],0)))</f>
        <v>0</v>
      </c>
      <c r="R32" s="496">
        <f>IFERROR(Dermal_Exp[[#This Row],[SA_High-End (Two hands)]]*(Dermal_Exp[[#This Row],[Qu_High-End (Liquid or Mist)]]*Dermal_Exp[[#This Row],[Liquid or Mist]]+Dermal_Exp[[#This Row],[Qu_High-End (Solid)]]*Dermal_Exp[[#This Row],[Solid]])*Dermal_Exp[[#This Row],[FT_High-End]],"Not Assessed")</f>
        <v>2247</v>
      </c>
      <c r="S32" s="496">
        <f>IFERROR(Dermal_Exp[[#This Row],[SA_Central Tendency (One hand)]]*(Dermal_Exp[[#This Row],[Qu_Central Tendency (Liquid or Mist)]]*Dermal_Exp[[#This Row],[Liquid or Mist]]+Dermal_Exp[[#This Row],[Qu_Central Tendency (Solid)]]*Dermal_Exp[[#This Row],[Solid]])*Dermal_Exp[[#This Row],[FT_Central Tendency]],"Not Assessed")</f>
        <v>749</v>
      </c>
      <c r="T32" s="496">
        <f>IFERROR(Dermal_Exp[[#This Row],[APDR_High-End]]/BW_F,"Not Assessed")</f>
        <v>28.087499999999999</v>
      </c>
      <c r="U32" s="496">
        <f>IFERROR(Dermal_Exp[[#This Row],[APDR_Central Tendency]]/BW_F,"Not Assessed")</f>
        <v>9.3625000000000007</v>
      </c>
      <c r="V32" s="496">
        <f>IFERROR(Dermal_Exp[[#This Row],[AAD_High-End]]*IF(Dermal_Exp[[#This Row],[EF_High-End]]&gt;EFID,EFID,Dermal_Exp[[#This Row],[EF_High-End]])/ID,"Not Assessed")</f>
        <v>20.5975</v>
      </c>
      <c r="W32" s="496">
        <f>IFERROR(Dermal_Exp[[#This Row],[AAD_Central Tendency]]*IF(Dermal_Exp[[#This Row],[EF_Central Tendency]]&gt;EFID,EFID,Dermal_Exp[[#This Row],[EF_Central Tendency]])/ID,"Not Assessed")</f>
        <v>6.8658333333333337</v>
      </c>
      <c r="X32" s="496">
        <f>IFERROR(Dermal_Exp[[#This Row],[AAD_High-End]]*Dermal_Exp[[#This Row],[EF_High-End]]*WY_high/(365*WY_high),"Not Assessed")</f>
        <v>12.620136986301368</v>
      </c>
      <c r="Y32" s="496">
        <f>IFERROR(Dermal_Exp[[#This Row],[AAD_Central Tendency]]*Dermal_Exp[[#This Row],[EF_Central Tendency]]*WY_mid/(365*WY_mid),"Not Assessed")</f>
        <v>1.2568835616438356</v>
      </c>
    </row>
    <row r="33" spans="1:25" s="497" customFormat="1" x14ac:dyDescent="0.3">
      <c r="A33" s="489">
        <v>4</v>
      </c>
      <c r="B33" s="490" t="s">
        <v>291</v>
      </c>
      <c r="C33" s="491" t="s">
        <v>266</v>
      </c>
      <c r="D33" s="492" t="s">
        <v>73</v>
      </c>
      <c r="E33" s="493" t="s">
        <v>349</v>
      </c>
      <c r="F33" s="493">
        <v>1</v>
      </c>
      <c r="G33" s="493">
        <v>0</v>
      </c>
      <c r="H33" s="494">
        <v>164</v>
      </c>
      <c r="I33" s="494">
        <v>49</v>
      </c>
      <c r="J33" s="495">
        <v>1</v>
      </c>
      <c r="K33" s="495">
        <v>1</v>
      </c>
      <c r="L33" s="512">
        <f>IF(Dermal_Exp[[#This Row],[Worker Type]]="ONU",AH1_cm2_F,AH2_cm2_F)</f>
        <v>1070</v>
      </c>
      <c r="M33" s="512">
        <f t="shared" si="0"/>
        <v>535</v>
      </c>
      <c r="N33" s="495">
        <f>IF(Dermal_Exp[[#This Row],[Physical Form]]="Liquid",2.1,IF(Dermal_Exp[[#This Row],[Physical Form]]="Solid",0,IF(Dermal_Exp[[#This Row],[Physical Form]]="Liquid &amp; Solid",2.1,IF(Dermal_Exp[[#This Row],[Similar Exposure Group (SEG)]]="ONU",1.4,10.3))))</f>
        <v>2.1</v>
      </c>
      <c r="O33" s="495">
        <f>IF(Dermal_Exp[[#This Row],[Physical Form]]="Liquid",1.4,IF(Dermal_Exp[[#This Row],[Physical Form]]="Solid",0,IF(Dermal_Exp[[#This Row],[Physical Form]]="Liquid &amp; Solid",1.4,IF(Dermal_Exp[[#This Row],[Similar Exposure Group (SEG)]]="ONU",1.4,3.8))))</f>
        <v>1.4</v>
      </c>
      <c r="P33" s="495">
        <f>IF(Dermal_Exp[[#This Row],[Physical Form]]="Liquid",0,IF(Dermal_Exp[[#This Row],[Physical Form]]="Solid",1100/Dermal_Exp[[#This Row],[SA_High-End (Two hands)]],IF(Dermal_Exp[[#This Row],[Physical Form]]="Liquid &amp; Solid",1100/Dermal_Exp[[#This Row],[SA_High-End (Two hands)]],0)))</f>
        <v>0</v>
      </c>
      <c r="Q33" s="495">
        <f>IF(Dermal_Exp[[#This Row],[Physical Form]]="Liquid",0,IF(Dermal_Exp[[#This Row],[Physical Form]]="Solid",450/Dermal_Exp[[#This Row],[SA_Central Tendency (One hand)]],IF(Dermal_Exp[[#This Row],[Physical Form]]="Liquid &amp; Solid",450/Dermal_Exp[[#This Row],[SA_Central Tendency (One hand)]],0)))</f>
        <v>0</v>
      </c>
      <c r="R33" s="496">
        <f>IFERROR(Dermal_Exp[[#This Row],[SA_High-End (Two hands)]]*(Dermal_Exp[[#This Row],[Qu_High-End (Liquid or Mist)]]*Dermal_Exp[[#This Row],[Liquid or Mist]]+Dermal_Exp[[#This Row],[Qu_High-End (Solid)]]*Dermal_Exp[[#This Row],[Solid]])*Dermal_Exp[[#This Row],[FT_High-End]],"Not Assessed")</f>
        <v>2247</v>
      </c>
      <c r="S33" s="496">
        <f>IFERROR(Dermal_Exp[[#This Row],[SA_Central Tendency (One hand)]]*(Dermal_Exp[[#This Row],[Qu_Central Tendency (Liquid or Mist)]]*Dermal_Exp[[#This Row],[Liquid or Mist]]+Dermal_Exp[[#This Row],[Qu_Central Tendency (Solid)]]*Dermal_Exp[[#This Row],[Solid]])*Dermal_Exp[[#This Row],[FT_Central Tendency]],"Not Assessed")</f>
        <v>749</v>
      </c>
      <c r="T33" s="496">
        <f>IFERROR(Dermal_Exp[[#This Row],[APDR_High-End]]/BW_F,"Not Assessed")</f>
        <v>28.087499999999999</v>
      </c>
      <c r="U33" s="496">
        <f>IFERROR(Dermal_Exp[[#This Row],[APDR_Central Tendency]]/BW_F,"Not Assessed")</f>
        <v>9.3625000000000007</v>
      </c>
      <c r="V33" s="496">
        <f>IFERROR(Dermal_Exp[[#This Row],[AAD_High-End]]*IF(Dermal_Exp[[#This Row],[EF_High-End]]&gt;EFID,EFID,Dermal_Exp[[#This Row],[EF_High-End]])/ID,"Not Assessed")</f>
        <v>20.5975</v>
      </c>
      <c r="W33" s="496">
        <f>IFERROR(Dermal_Exp[[#This Row],[AAD_Central Tendency]]*IF(Dermal_Exp[[#This Row],[EF_Central Tendency]]&gt;EFID,EFID,Dermal_Exp[[#This Row],[EF_Central Tendency]])/ID,"Not Assessed")</f>
        <v>6.8658333333333337</v>
      </c>
      <c r="X33" s="496">
        <f>IFERROR(Dermal_Exp[[#This Row],[AAD_High-End]]*Dermal_Exp[[#This Row],[EF_High-End]]*WY_high/(365*WY_high),"Not Assessed")</f>
        <v>12.620136986301368</v>
      </c>
      <c r="Y33" s="496">
        <f>IFERROR(Dermal_Exp[[#This Row],[AAD_Central Tendency]]*Dermal_Exp[[#This Row],[EF_Central Tendency]]*WY_mid/(365*WY_mid),"Not Assessed")</f>
        <v>1.2568835616438356</v>
      </c>
    </row>
    <row r="34" spans="1:25" s="497" customFormat="1" x14ac:dyDescent="0.3">
      <c r="A34" s="489">
        <v>4</v>
      </c>
      <c r="B34" s="490" t="s">
        <v>291</v>
      </c>
      <c r="C34" s="491" t="s">
        <v>267</v>
      </c>
      <c r="D34" s="492" t="s">
        <v>73</v>
      </c>
      <c r="E34" s="493" t="s">
        <v>349</v>
      </c>
      <c r="F34" s="493">
        <v>1</v>
      </c>
      <c r="G34" s="493">
        <v>0</v>
      </c>
      <c r="H34" s="494">
        <v>164</v>
      </c>
      <c r="I34" s="494">
        <v>49</v>
      </c>
      <c r="J34" s="495">
        <v>1</v>
      </c>
      <c r="K34" s="495">
        <v>1</v>
      </c>
      <c r="L34" s="510">
        <f>IF(Dermal_Exp[[#This Row],[Worker Type]]="ONU",AH1_cm2_F,AH2_cm2_F)</f>
        <v>1070</v>
      </c>
      <c r="M34" s="510">
        <f t="shared" si="0"/>
        <v>535</v>
      </c>
      <c r="N34" s="495">
        <f>IF(Dermal_Exp[[#This Row],[Physical Form]]="Liquid",2.1,IF(Dermal_Exp[[#This Row],[Physical Form]]="Solid",0,IF(Dermal_Exp[[#This Row],[Physical Form]]="Liquid &amp; Solid",2.1,IF(Dermal_Exp[[#This Row],[Similar Exposure Group (SEG)]]="ONU",1.4,10.3))))</f>
        <v>2.1</v>
      </c>
      <c r="O34" s="495">
        <f>IF(Dermal_Exp[[#This Row],[Physical Form]]="Liquid",1.4,IF(Dermal_Exp[[#This Row],[Physical Form]]="Solid",0,IF(Dermal_Exp[[#This Row],[Physical Form]]="Liquid &amp; Solid",1.4,IF(Dermal_Exp[[#This Row],[Similar Exposure Group (SEG)]]="ONU",1.4,3.8))))</f>
        <v>1.4</v>
      </c>
      <c r="P34" s="495">
        <f>IF(Dermal_Exp[[#This Row],[Physical Form]]="Liquid",0,IF(Dermal_Exp[[#This Row],[Physical Form]]="Solid",1100/Dermal_Exp[[#This Row],[SA_High-End (Two hands)]],IF(Dermal_Exp[[#This Row],[Physical Form]]="Liquid &amp; Solid",1100/Dermal_Exp[[#This Row],[SA_High-End (Two hands)]],0)))</f>
        <v>0</v>
      </c>
      <c r="Q34" s="495">
        <f>IF(Dermal_Exp[[#This Row],[Physical Form]]="Liquid",0,IF(Dermal_Exp[[#This Row],[Physical Form]]="Solid",450/Dermal_Exp[[#This Row],[SA_Central Tendency (One hand)]],IF(Dermal_Exp[[#This Row],[Physical Form]]="Liquid &amp; Solid",450/Dermal_Exp[[#This Row],[SA_Central Tendency (One hand)]],0)))</f>
        <v>0</v>
      </c>
      <c r="R34" s="496">
        <f>IFERROR(Dermal_Exp[[#This Row],[SA_High-End (Two hands)]]*(Dermal_Exp[[#This Row],[Qu_High-End (Liquid or Mist)]]*Dermal_Exp[[#This Row],[Liquid or Mist]]+Dermal_Exp[[#This Row],[Qu_High-End (Solid)]]*Dermal_Exp[[#This Row],[Solid]])*Dermal_Exp[[#This Row],[FT_High-End]],"Not Assessed")</f>
        <v>2247</v>
      </c>
      <c r="S34" s="496">
        <f>IFERROR(Dermal_Exp[[#This Row],[SA_Central Tendency (One hand)]]*(Dermal_Exp[[#This Row],[Qu_Central Tendency (Liquid or Mist)]]*Dermal_Exp[[#This Row],[Liquid or Mist]]+Dermal_Exp[[#This Row],[Qu_Central Tendency (Solid)]]*Dermal_Exp[[#This Row],[Solid]])*Dermal_Exp[[#This Row],[FT_Central Tendency]],"Not Assessed")</f>
        <v>749</v>
      </c>
      <c r="T34" s="496">
        <f>IFERROR(Dermal_Exp[[#This Row],[APDR_High-End]]/BW_F,"Not Assessed")</f>
        <v>28.087499999999999</v>
      </c>
      <c r="U34" s="496">
        <f>IFERROR(Dermal_Exp[[#This Row],[APDR_Central Tendency]]/BW_F,"Not Assessed")</f>
        <v>9.3625000000000007</v>
      </c>
      <c r="V34" s="496">
        <f>IFERROR(Dermal_Exp[[#This Row],[AAD_High-End]]*IF(Dermal_Exp[[#This Row],[EF_High-End]]&gt;EFID,EFID,Dermal_Exp[[#This Row],[EF_High-End]])/ID,"Not Assessed")</f>
        <v>20.5975</v>
      </c>
      <c r="W34" s="496">
        <f>IFERROR(Dermal_Exp[[#This Row],[AAD_Central Tendency]]*IF(Dermal_Exp[[#This Row],[EF_Central Tendency]]&gt;EFID,EFID,Dermal_Exp[[#This Row],[EF_Central Tendency]])/ID,"Not Assessed")</f>
        <v>6.8658333333333337</v>
      </c>
      <c r="X34" s="496">
        <f>IFERROR(Dermal_Exp[[#This Row],[AAD_High-End]]*Dermal_Exp[[#This Row],[EF_High-End]]*WY_high/(365*WY_high),"Not Assessed")</f>
        <v>12.620136986301368</v>
      </c>
      <c r="Y34" s="496">
        <f>IFERROR(Dermal_Exp[[#This Row],[AAD_Central Tendency]]*Dermal_Exp[[#This Row],[EF_Central Tendency]]*WY_mid/(365*WY_mid),"Not Assessed")</f>
        <v>1.2568835616438356</v>
      </c>
    </row>
    <row r="35" spans="1:25" s="497" customFormat="1" x14ac:dyDescent="0.3">
      <c r="A35" s="489">
        <v>4</v>
      </c>
      <c r="B35" s="490" t="s">
        <v>291</v>
      </c>
      <c r="C35" s="491" t="s">
        <v>268</v>
      </c>
      <c r="D35" s="492" t="s">
        <v>73</v>
      </c>
      <c r="E35" s="493" t="s">
        <v>349</v>
      </c>
      <c r="F35" s="493">
        <v>1</v>
      </c>
      <c r="G35" s="493">
        <v>0</v>
      </c>
      <c r="H35" s="494">
        <v>164</v>
      </c>
      <c r="I35" s="494">
        <v>49</v>
      </c>
      <c r="J35" s="495">
        <v>1</v>
      </c>
      <c r="K35" s="495">
        <v>1</v>
      </c>
      <c r="L35" s="510">
        <f>IF(Dermal_Exp[[#This Row],[Worker Type]]="ONU",AH1_cm2_F,AH2_cm2_F)</f>
        <v>1070</v>
      </c>
      <c r="M35" s="510">
        <f t="shared" si="0"/>
        <v>535</v>
      </c>
      <c r="N35" s="495">
        <f>IF(Dermal_Exp[[#This Row],[Physical Form]]="Liquid",2.1,IF(Dermal_Exp[[#This Row],[Physical Form]]="Solid",0,IF(Dermal_Exp[[#This Row],[Physical Form]]="Liquid &amp; Solid",2.1,IF(Dermal_Exp[[#This Row],[Similar Exposure Group (SEG)]]="ONU",1.4,10.3))))</f>
        <v>2.1</v>
      </c>
      <c r="O35" s="495">
        <f>IF(Dermal_Exp[[#This Row],[Physical Form]]="Liquid",1.4,IF(Dermal_Exp[[#This Row],[Physical Form]]="Solid",0,IF(Dermal_Exp[[#This Row],[Physical Form]]="Liquid &amp; Solid",1.4,IF(Dermal_Exp[[#This Row],[Similar Exposure Group (SEG)]]="ONU",1.4,3.8))))</f>
        <v>1.4</v>
      </c>
      <c r="P35" s="495">
        <f>IF(Dermal_Exp[[#This Row],[Physical Form]]="Liquid",0,IF(Dermal_Exp[[#This Row],[Physical Form]]="Solid",1100/Dermal_Exp[[#This Row],[SA_High-End (Two hands)]],IF(Dermal_Exp[[#This Row],[Physical Form]]="Liquid &amp; Solid",1100/Dermal_Exp[[#This Row],[SA_High-End (Two hands)]],0)))</f>
        <v>0</v>
      </c>
      <c r="Q35" s="495">
        <f>IF(Dermal_Exp[[#This Row],[Physical Form]]="Liquid",0,IF(Dermal_Exp[[#This Row],[Physical Form]]="Solid",450/Dermal_Exp[[#This Row],[SA_Central Tendency (One hand)]],IF(Dermal_Exp[[#This Row],[Physical Form]]="Liquid &amp; Solid",450/Dermal_Exp[[#This Row],[SA_Central Tendency (One hand)]],0)))</f>
        <v>0</v>
      </c>
      <c r="R35" s="496">
        <f>IFERROR(Dermal_Exp[[#This Row],[SA_High-End (Two hands)]]*(Dermal_Exp[[#This Row],[Qu_High-End (Liquid or Mist)]]*Dermal_Exp[[#This Row],[Liquid or Mist]]+Dermal_Exp[[#This Row],[Qu_High-End (Solid)]]*Dermal_Exp[[#This Row],[Solid]])*Dermal_Exp[[#This Row],[FT_High-End]],"Not Assessed")</f>
        <v>2247</v>
      </c>
      <c r="S35" s="496">
        <f>IFERROR(Dermal_Exp[[#This Row],[SA_Central Tendency (One hand)]]*(Dermal_Exp[[#This Row],[Qu_Central Tendency (Liquid or Mist)]]*Dermal_Exp[[#This Row],[Liquid or Mist]]+Dermal_Exp[[#This Row],[Qu_Central Tendency (Solid)]]*Dermal_Exp[[#This Row],[Solid]])*Dermal_Exp[[#This Row],[FT_Central Tendency]],"Not Assessed")</f>
        <v>749</v>
      </c>
      <c r="T35" s="496">
        <f>IFERROR(Dermal_Exp[[#This Row],[APDR_High-End]]/BW_F,"Not Assessed")</f>
        <v>28.087499999999999</v>
      </c>
      <c r="U35" s="496">
        <f>IFERROR(Dermal_Exp[[#This Row],[APDR_Central Tendency]]/BW_F,"Not Assessed")</f>
        <v>9.3625000000000007</v>
      </c>
      <c r="V35" s="496">
        <f>IFERROR(Dermal_Exp[[#This Row],[AAD_High-End]]*IF(Dermal_Exp[[#This Row],[EF_High-End]]&gt;EFID,EFID,Dermal_Exp[[#This Row],[EF_High-End]])/ID,"Not Assessed")</f>
        <v>20.5975</v>
      </c>
      <c r="W35" s="496">
        <f>IFERROR(Dermal_Exp[[#This Row],[AAD_Central Tendency]]*IF(Dermal_Exp[[#This Row],[EF_Central Tendency]]&gt;EFID,EFID,Dermal_Exp[[#This Row],[EF_Central Tendency]])/ID,"Not Assessed")</f>
        <v>6.8658333333333337</v>
      </c>
      <c r="X35" s="496">
        <f>IFERROR(Dermal_Exp[[#This Row],[AAD_High-End]]*Dermal_Exp[[#This Row],[EF_High-End]]*WY_high/(365*WY_high),"Not Assessed")</f>
        <v>12.620136986301368</v>
      </c>
      <c r="Y35" s="496">
        <f>IFERROR(Dermal_Exp[[#This Row],[AAD_Central Tendency]]*Dermal_Exp[[#This Row],[EF_Central Tendency]]*WY_mid/(365*WY_mid),"Not Assessed")</f>
        <v>1.2568835616438356</v>
      </c>
    </row>
    <row r="36" spans="1:25" x14ac:dyDescent="0.3">
      <c r="A36" s="305">
        <v>4</v>
      </c>
      <c r="B36" s="310" t="s">
        <v>292</v>
      </c>
      <c r="C36" s="308" t="s">
        <v>264</v>
      </c>
      <c r="D36" s="206" t="s">
        <v>73</v>
      </c>
      <c r="E36" s="486" t="s">
        <v>349</v>
      </c>
      <c r="F36" s="486">
        <v>0.03</v>
      </c>
      <c r="G36" s="486">
        <v>0</v>
      </c>
      <c r="H36" s="300">
        <v>15</v>
      </c>
      <c r="I36" s="300">
        <v>1</v>
      </c>
      <c r="J36" s="487">
        <v>1</v>
      </c>
      <c r="K36" s="487">
        <v>1</v>
      </c>
      <c r="L36" s="487">
        <f>IF(Dermal_Exp[[#This Row],[Worker Type]]="ONU",AH1_cm2_F,AH2_cm2_F)</f>
        <v>1070</v>
      </c>
      <c r="M36" s="487">
        <f t="shared" ref="M36:M63" si="1">AH1_cm2_F</f>
        <v>535</v>
      </c>
      <c r="N36" s="487">
        <f>IF(Dermal_Exp[[#This Row],[Physical Form]]="Liquid",2.1,IF(Dermal_Exp[[#This Row],[Physical Form]]="Solid",0,IF(Dermal_Exp[[#This Row],[Physical Form]]="Liquid &amp; Solid",2.1,IF(Dermal_Exp[[#This Row],[Similar Exposure Group (SEG)]]="ONU",1.4,10.3))))</f>
        <v>2.1</v>
      </c>
      <c r="O36" s="487">
        <f>IF(Dermal_Exp[[#This Row],[Physical Form]]="Liquid",1.4,IF(Dermal_Exp[[#This Row],[Physical Form]]="Solid",0,IF(Dermal_Exp[[#This Row],[Physical Form]]="Liquid &amp; Solid",1.4,IF(Dermal_Exp[[#This Row],[Similar Exposure Group (SEG)]]="ONU",1.4,3.8))))</f>
        <v>1.4</v>
      </c>
      <c r="P36" s="487">
        <f>IF(Dermal_Exp[[#This Row],[Physical Form]]="Liquid",0,IF(Dermal_Exp[[#This Row],[Physical Form]]="Solid",1100/Dermal_Exp[[#This Row],[SA_High-End (Two hands)]],IF(Dermal_Exp[[#This Row],[Physical Form]]="Liquid &amp; Solid",1100/Dermal_Exp[[#This Row],[SA_High-End (Two hands)]],0)))</f>
        <v>0</v>
      </c>
      <c r="Q36" s="487">
        <f>IF(Dermal_Exp[[#This Row],[Physical Form]]="Liquid",0,IF(Dermal_Exp[[#This Row],[Physical Form]]="Solid",450/Dermal_Exp[[#This Row],[SA_Central Tendency (One hand)]],IF(Dermal_Exp[[#This Row],[Physical Form]]="Liquid &amp; Solid",450/Dermal_Exp[[#This Row],[SA_Central Tendency (One hand)]],0)))</f>
        <v>0</v>
      </c>
      <c r="R36" s="317">
        <f>IFERROR(Dermal_Exp[[#This Row],[SA_High-End (Two hands)]]*(Dermal_Exp[[#This Row],[Qu_High-End (Liquid or Mist)]]*Dermal_Exp[[#This Row],[Liquid or Mist]]+Dermal_Exp[[#This Row],[Qu_High-End (Solid)]]*Dermal_Exp[[#This Row],[Solid]])*Dermal_Exp[[#This Row],[FT_High-End]],"Not Assessed")</f>
        <v>67.41</v>
      </c>
      <c r="S36" s="317">
        <f>IFERROR(Dermal_Exp[[#This Row],[SA_Central Tendency (One hand)]]*(Dermal_Exp[[#This Row],[Qu_Central Tendency (Liquid or Mist)]]*Dermal_Exp[[#This Row],[Liquid or Mist]]+Dermal_Exp[[#This Row],[Qu_Central Tendency (Solid)]]*Dermal_Exp[[#This Row],[Solid]])*Dermal_Exp[[#This Row],[FT_Central Tendency]],"Not Assessed")</f>
        <v>22.47</v>
      </c>
      <c r="T36" s="317">
        <f>IFERROR(Dermal_Exp[[#This Row],[APDR_High-End]]/BW_F,"Not Assessed")</f>
        <v>0.84262499999999996</v>
      </c>
      <c r="U36" s="317">
        <f>IFERROR(Dermal_Exp[[#This Row],[APDR_Central Tendency]]/BW_F,"Not Assessed")</f>
        <v>0.28087499999999999</v>
      </c>
      <c r="V36" s="317">
        <f>IFERROR(Dermal_Exp[[#This Row],[AAD_High-End]]*IF(Dermal_Exp[[#This Row],[EF_High-End]]&gt;EFID,EFID,Dermal_Exp[[#This Row],[EF_High-End]])/ID,"Not Assessed")</f>
        <v>0.42131249999999998</v>
      </c>
      <c r="W36" s="317">
        <f>IFERROR(Dermal_Exp[[#This Row],[AAD_Central Tendency]]*IF(Dermal_Exp[[#This Row],[EF_Central Tendency]]&gt;EFID,EFID,Dermal_Exp[[#This Row],[EF_Central Tendency]])/ID,"Not Assessed")</f>
        <v>9.3624999999999993E-3</v>
      </c>
      <c r="X36" s="317">
        <f>IFERROR(Dermal_Exp[[#This Row],[AAD_High-End]]*Dermal_Exp[[#This Row],[EF_High-End]]*WY_high/(365*WY_high),"Not Assessed")</f>
        <v>3.4628424657534247E-2</v>
      </c>
      <c r="Y36" s="317">
        <f>IFERROR(Dermal_Exp[[#This Row],[AAD_Central Tendency]]*Dermal_Exp[[#This Row],[EF_Central Tendency]]*WY_mid/(365*WY_mid),"Not Assessed")</f>
        <v>7.6952054794520548E-4</v>
      </c>
    </row>
    <row r="37" spans="1:25" x14ac:dyDescent="0.3">
      <c r="A37" s="305">
        <v>4</v>
      </c>
      <c r="B37" s="310" t="s">
        <v>292</v>
      </c>
      <c r="C37" s="308" t="s">
        <v>265</v>
      </c>
      <c r="D37" s="206" t="s">
        <v>73</v>
      </c>
      <c r="E37" s="486" t="s">
        <v>349</v>
      </c>
      <c r="F37" s="486">
        <v>0.03</v>
      </c>
      <c r="G37" s="486">
        <v>0</v>
      </c>
      <c r="H37" s="300">
        <v>15</v>
      </c>
      <c r="I37" s="300">
        <v>1</v>
      </c>
      <c r="J37" s="487">
        <v>1</v>
      </c>
      <c r="K37" s="487">
        <v>1</v>
      </c>
      <c r="L37" s="488">
        <f>IF(Dermal_Exp[[#This Row],[Worker Type]]="ONU",AH1_cm2_F,AH2_cm2_F)</f>
        <v>1070</v>
      </c>
      <c r="M37" s="488">
        <f t="shared" si="1"/>
        <v>535</v>
      </c>
      <c r="N37" s="487">
        <f>IF(Dermal_Exp[[#This Row],[Physical Form]]="Liquid",2.1,IF(Dermal_Exp[[#This Row],[Physical Form]]="Solid",0,IF(Dermal_Exp[[#This Row],[Physical Form]]="Liquid &amp; Solid",2.1,IF(Dermal_Exp[[#This Row],[Similar Exposure Group (SEG)]]="ONU",1.4,10.3))))</f>
        <v>2.1</v>
      </c>
      <c r="O37" s="487">
        <f>IF(Dermal_Exp[[#This Row],[Physical Form]]="Liquid",1.4,IF(Dermal_Exp[[#This Row],[Physical Form]]="Solid",0,IF(Dermal_Exp[[#This Row],[Physical Form]]="Liquid &amp; Solid",1.4,IF(Dermal_Exp[[#This Row],[Similar Exposure Group (SEG)]]="ONU",1.4,3.8))))</f>
        <v>1.4</v>
      </c>
      <c r="P37" s="487">
        <f>IF(Dermal_Exp[[#This Row],[Physical Form]]="Liquid",0,IF(Dermal_Exp[[#This Row],[Physical Form]]="Solid",1100/Dermal_Exp[[#This Row],[SA_High-End (Two hands)]],IF(Dermal_Exp[[#This Row],[Physical Form]]="Liquid &amp; Solid",1100/Dermal_Exp[[#This Row],[SA_High-End (Two hands)]],0)))</f>
        <v>0</v>
      </c>
      <c r="Q37" s="487">
        <f>IF(Dermal_Exp[[#This Row],[Physical Form]]="Liquid",0,IF(Dermal_Exp[[#This Row],[Physical Form]]="Solid",450/Dermal_Exp[[#This Row],[SA_Central Tendency (One hand)]],IF(Dermal_Exp[[#This Row],[Physical Form]]="Liquid &amp; Solid",450/Dermal_Exp[[#This Row],[SA_Central Tendency (One hand)]],0)))</f>
        <v>0</v>
      </c>
      <c r="R37" s="317">
        <f>IFERROR(Dermal_Exp[[#This Row],[SA_High-End (Two hands)]]*(Dermal_Exp[[#This Row],[Qu_High-End (Liquid or Mist)]]*Dermal_Exp[[#This Row],[Liquid or Mist]]+Dermal_Exp[[#This Row],[Qu_High-End (Solid)]]*Dermal_Exp[[#This Row],[Solid]])*Dermal_Exp[[#This Row],[FT_High-End]],"Not Assessed")</f>
        <v>67.41</v>
      </c>
      <c r="S37" s="317">
        <f>IFERROR(Dermal_Exp[[#This Row],[SA_Central Tendency (One hand)]]*(Dermal_Exp[[#This Row],[Qu_Central Tendency (Liquid or Mist)]]*Dermal_Exp[[#This Row],[Liquid or Mist]]+Dermal_Exp[[#This Row],[Qu_Central Tendency (Solid)]]*Dermal_Exp[[#This Row],[Solid]])*Dermal_Exp[[#This Row],[FT_Central Tendency]],"Not Assessed")</f>
        <v>22.47</v>
      </c>
      <c r="T37" s="317">
        <f>IFERROR(Dermal_Exp[[#This Row],[APDR_High-End]]/BW_F,"Not Assessed")</f>
        <v>0.84262499999999996</v>
      </c>
      <c r="U37" s="317">
        <f>IFERROR(Dermal_Exp[[#This Row],[APDR_Central Tendency]]/BW_F,"Not Assessed")</f>
        <v>0.28087499999999999</v>
      </c>
      <c r="V37" s="317">
        <f>IFERROR(Dermal_Exp[[#This Row],[AAD_High-End]]*IF(Dermal_Exp[[#This Row],[EF_High-End]]&gt;EFID,EFID,Dermal_Exp[[#This Row],[EF_High-End]])/ID,"Not Assessed")</f>
        <v>0.42131249999999998</v>
      </c>
      <c r="W37" s="317">
        <f>IFERROR(Dermal_Exp[[#This Row],[AAD_Central Tendency]]*IF(Dermal_Exp[[#This Row],[EF_Central Tendency]]&gt;EFID,EFID,Dermal_Exp[[#This Row],[EF_Central Tendency]])/ID,"Not Assessed")</f>
        <v>9.3624999999999993E-3</v>
      </c>
      <c r="X37" s="317">
        <f>IFERROR(Dermal_Exp[[#This Row],[AAD_High-End]]*Dermal_Exp[[#This Row],[EF_High-End]]*WY_high/(365*WY_high),"Not Assessed")</f>
        <v>3.4628424657534247E-2</v>
      </c>
      <c r="Y37" s="317">
        <f>IFERROR(Dermal_Exp[[#This Row],[AAD_Central Tendency]]*Dermal_Exp[[#This Row],[EF_Central Tendency]]*WY_mid/(365*WY_mid),"Not Assessed")</f>
        <v>7.6952054794520548E-4</v>
      </c>
    </row>
    <row r="38" spans="1:25" x14ac:dyDescent="0.3">
      <c r="A38" s="305">
        <v>4</v>
      </c>
      <c r="B38" s="310" t="s">
        <v>292</v>
      </c>
      <c r="C38" s="308" t="s">
        <v>266</v>
      </c>
      <c r="D38" s="206" t="s">
        <v>73</v>
      </c>
      <c r="E38" s="486" t="s">
        <v>349</v>
      </c>
      <c r="F38" s="486">
        <v>0.03</v>
      </c>
      <c r="G38" s="486">
        <v>0</v>
      </c>
      <c r="H38" s="300">
        <v>15</v>
      </c>
      <c r="I38" s="300">
        <v>1</v>
      </c>
      <c r="J38" s="487">
        <v>1</v>
      </c>
      <c r="K38" s="487">
        <v>1</v>
      </c>
      <c r="L38" s="488">
        <f>IF(Dermal_Exp[[#This Row],[Worker Type]]="ONU",AH1_cm2_F,AH2_cm2_F)</f>
        <v>1070</v>
      </c>
      <c r="M38" s="488">
        <f t="shared" si="1"/>
        <v>535</v>
      </c>
      <c r="N38" s="487">
        <f>IF(Dermal_Exp[[#This Row],[Physical Form]]="Liquid",2.1,IF(Dermal_Exp[[#This Row],[Physical Form]]="Solid",0,IF(Dermal_Exp[[#This Row],[Physical Form]]="Liquid &amp; Solid",2.1,IF(Dermal_Exp[[#This Row],[Similar Exposure Group (SEG)]]="ONU",1.4,10.3))))</f>
        <v>2.1</v>
      </c>
      <c r="O38" s="487">
        <f>IF(Dermal_Exp[[#This Row],[Physical Form]]="Liquid",1.4,IF(Dermal_Exp[[#This Row],[Physical Form]]="Solid",0,IF(Dermal_Exp[[#This Row],[Physical Form]]="Liquid &amp; Solid",1.4,IF(Dermal_Exp[[#This Row],[Similar Exposure Group (SEG)]]="ONU",1.4,3.8))))</f>
        <v>1.4</v>
      </c>
      <c r="P38" s="487">
        <f>IF(Dermal_Exp[[#This Row],[Physical Form]]="Liquid",0,IF(Dermal_Exp[[#This Row],[Physical Form]]="Solid",1100/Dermal_Exp[[#This Row],[SA_High-End (Two hands)]],IF(Dermal_Exp[[#This Row],[Physical Form]]="Liquid &amp; Solid",1100/Dermal_Exp[[#This Row],[SA_High-End (Two hands)]],0)))</f>
        <v>0</v>
      </c>
      <c r="Q38" s="487">
        <f>IF(Dermal_Exp[[#This Row],[Physical Form]]="Liquid",0,IF(Dermal_Exp[[#This Row],[Physical Form]]="Solid",450/Dermal_Exp[[#This Row],[SA_Central Tendency (One hand)]],IF(Dermal_Exp[[#This Row],[Physical Form]]="Liquid &amp; Solid",450/Dermal_Exp[[#This Row],[SA_Central Tendency (One hand)]],0)))</f>
        <v>0</v>
      </c>
      <c r="R38" s="317">
        <f>IFERROR(Dermal_Exp[[#This Row],[SA_High-End (Two hands)]]*(Dermal_Exp[[#This Row],[Qu_High-End (Liquid or Mist)]]*Dermal_Exp[[#This Row],[Liquid or Mist]]+Dermal_Exp[[#This Row],[Qu_High-End (Solid)]]*Dermal_Exp[[#This Row],[Solid]])*Dermal_Exp[[#This Row],[FT_High-End]],"Not Assessed")</f>
        <v>67.41</v>
      </c>
      <c r="S38" s="317">
        <f>IFERROR(Dermal_Exp[[#This Row],[SA_Central Tendency (One hand)]]*(Dermal_Exp[[#This Row],[Qu_Central Tendency (Liquid or Mist)]]*Dermal_Exp[[#This Row],[Liquid or Mist]]+Dermal_Exp[[#This Row],[Qu_Central Tendency (Solid)]]*Dermal_Exp[[#This Row],[Solid]])*Dermal_Exp[[#This Row],[FT_Central Tendency]],"Not Assessed")</f>
        <v>22.47</v>
      </c>
      <c r="T38" s="317">
        <f>IFERROR(Dermal_Exp[[#This Row],[APDR_High-End]]/BW_F,"Not Assessed")</f>
        <v>0.84262499999999996</v>
      </c>
      <c r="U38" s="317">
        <f>IFERROR(Dermal_Exp[[#This Row],[APDR_Central Tendency]]/BW_F,"Not Assessed")</f>
        <v>0.28087499999999999</v>
      </c>
      <c r="V38" s="317">
        <f>IFERROR(Dermal_Exp[[#This Row],[AAD_High-End]]*IF(Dermal_Exp[[#This Row],[EF_High-End]]&gt;EFID,EFID,Dermal_Exp[[#This Row],[EF_High-End]])/ID,"Not Assessed")</f>
        <v>0.42131249999999998</v>
      </c>
      <c r="W38" s="317">
        <f>IFERROR(Dermal_Exp[[#This Row],[AAD_Central Tendency]]*IF(Dermal_Exp[[#This Row],[EF_Central Tendency]]&gt;EFID,EFID,Dermal_Exp[[#This Row],[EF_Central Tendency]])/ID,"Not Assessed")</f>
        <v>9.3624999999999993E-3</v>
      </c>
      <c r="X38" s="317">
        <f>IFERROR(Dermal_Exp[[#This Row],[AAD_High-End]]*Dermal_Exp[[#This Row],[EF_High-End]]*WY_high/(365*WY_high),"Not Assessed")</f>
        <v>3.4628424657534247E-2</v>
      </c>
      <c r="Y38" s="317">
        <f>IFERROR(Dermal_Exp[[#This Row],[AAD_Central Tendency]]*Dermal_Exp[[#This Row],[EF_Central Tendency]]*WY_mid/(365*WY_mid),"Not Assessed")</f>
        <v>7.6952054794520548E-4</v>
      </c>
    </row>
    <row r="39" spans="1:25" x14ac:dyDescent="0.3">
      <c r="A39" s="305">
        <v>4</v>
      </c>
      <c r="B39" s="310" t="s">
        <v>292</v>
      </c>
      <c r="C39" s="308" t="s">
        <v>267</v>
      </c>
      <c r="D39" s="206" t="s">
        <v>73</v>
      </c>
      <c r="E39" s="486" t="s">
        <v>349</v>
      </c>
      <c r="F39" s="486">
        <v>0.03</v>
      </c>
      <c r="G39" s="486">
        <v>0</v>
      </c>
      <c r="H39" s="300">
        <v>15</v>
      </c>
      <c r="I39" s="300">
        <v>1</v>
      </c>
      <c r="J39" s="487">
        <v>1</v>
      </c>
      <c r="K39" s="487">
        <v>1</v>
      </c>
      <c r="L39" s="488">
        <f>IF(Dermal_Exp[[#This Row],[Worker Type]]="ONU",AH1_cm2_F,AH2_cm2_F)</f>
        <v>1070</v>
      </c>
      <c r="M39" s="488">
        <f t="shared" si="1"/>
        <v>535</v>
      </c>
      <c r="N39" s="487">
        <f>IF(Dermal_Exp[[#This Row],[Physical Form]]="Liquid",2.1,IF(Dermal_Exp[[#This Row],[Physical Form]]="Solid",0,IF(Dermal_Exp[[#This Row],[Physical Form]]="Liquid &amp; Solid",2.1,IF(Dermal_Exp[[#This Row],[Similar Exposure Group (SEG)]]="ONU",1.4,10.3))))</f>
        <v>2.1</v>
      </c>
      <c r="O39" s="487">
        <f>IF(Dermal_Exp[[#This Row],[Physical Form]]="Liquid",1.4,IF(Dermal_Exp[[#This Row],[Physical Form]]="Solid",0,IF(Dermal_Exp[[#This Row],[Physical Form]]="Liquid &amp; Solid",1.4,IF(Dermal_Exp[[#This Row],[Similar Exposure Group (SEG)]]="ONU",1.4,3.8))))</f>
        <v>1.4</v>
      </c>
      <c r="P39" s="487">
        <f>IF(Dermal_Exp[[#This Row],[Physical Form]]="Liquid",0,IF(Dermal_Exp[[#This Row],[Physical Form]]="Solid",1100/Dermal_Exp[[#This Row],[SA_High-End (Two hands)]],IF(Dermal_Exp[[#This Row],[Physical Form]]="Liquid &amp; Solid",1100/Dermal_Exp[[#This Row],[SA_High-End (Two hands)]],0)))</f>
        <v>0</v>
      </c>
      <c r="Q39" s="487">
        <f>IF(Dermal_Exp[[#This Row],[Physical Form]]="Liquid",0,IF(Dermal_Exp[[#This Row],[Physical Form]]="Solid",450/Dermal_Exp[[#This Row],[SA_Central Tendency (One hand)]],IF(Dermal_Exp[[#This Row],[Physical Form]]="Liquid &amp; Solid",450/Dermal_Exp[[#This Row],[SA_Central Tendency (One hand)]],0)))</f>
        <v>0</v>
      </c>
      <c r="R39" s="317">
        <f>IFERROR(Dermal_Exp[[#This Row],[SA_High-End (Two hands)]]*(Dermal_Exp[[#This Row],[Qu_High-End (Liquid or Mist)]]*Dermal_Exp[[#This Row],[Liquid or Mist]]+Dermal_Exp[[#This Row],[Qu_High-End (Solid)]]*Dermal_Exp[[#This Row],[Solid]])*Dermal_Exp[[#This Row],[FT_High-End]],"Not Assessed")</f>
        <v>67.41</v>
      </c>
      <c r="S39" s="317">
        <f>IFERROR(Dermal_Exp[[#This Row],[SA_Central Tendency (One hand)]]*(Dermal_Exp[[#This Row],[Qu_Central Tendency (Liquid or Mist)]]*Dermal_Exp[[#This Row],[Liquid or Mist]]+Dermal_Exp[[#This Row],[Qu_Central Tendency (Solid)]]*Dermal_Exp[[#This Row],[Solid]])*Dermal_Exp[[#This Row],[FT_Central Tendency]],"Not Assessed")</f>
        <v>22.47</v>
      </c>
      <c r="T39" s="317">
        <f>IFERROR(Dermal_Exp[[#This Row],[APDR_High-End]]/BW_F,"Not Assessed")</f>
        <v>0.84262499999999996</v>
      </c>
      <c r="U39" s="317">
        <f>IFERROR(Dermal_Exp[[#This Row],[APDR_Central Tendency]]/BW_F,"Not Assessed")</f>
        <v>0.28087499999999999</v>
      </c>
      <c r="V39" s="317">
        <f>IFERROR(Dermal_Exp[[#This Row],[AAD_High-End]]*IF(Dermal_Exp[[#This Row],[EF_High-End]]&gt;EFID,EFID,Dermal_Exp[[#This Row],[EF_High-End]])/ID,"Not Assessed")</f>
        <v>0.42131249999999998</v>
      </c>
      <c r="W39" s="317">
        <f>IFERROR(Dermal_Exp[[#This Row],[AAD_Central Tendency]]*IF(Dermal_Exp[[#This Row],[EF_Central Tendency]]&gt;EFID,EFID,Dermal_Exp[[#This Row],[EF_Central Tendency]])/ID,"Not Assessed")</f>
        <v>9.3624999999999993E-3</v>
      </c>
      <c r="X39" s="317">
        <f>IFERROR(Dermal_Exp[[#This Row],[AAD_High-End]]*Dermal_Exp[[#This Row],[EF_High-End]]*WY_high/(365*WY_high),"Not Assessed")</f>
        <v>3.4628424657534247E-2</v>
      </c>
      <c r="Y39" s="317">
        <f>IFERROR(Dermal_Exp[[#This Row],[AAD_Central Tendency]]*Dermal_Exp[[#This Row],[EF_Central Tendency]]*WY_mid/(365*WY_mid),"Not Assessed")</f>
        <v>7.6952054794520548E-4</v>
      </c>
    </row>
    <row r="40" spans="1:25" x14ac:dyDescent="0.3">
      <c r="A40" s="305">
        <v>4</v>
      </c>
      <c r="B40" s="310" t="s">
        <v>292</v>
      </c>
      <c r="C40" s="308" t="s">
        <v>268</v>
      </c>
      <c r="D40" s="206" t="s">
        <v>73</v>
      </c>
      <c r="E40" s="486" t="s">
        <v>349</v>
      </c>
      <c r="F40" s="486">
        <v>0.03</v>
      </c>
      <c r="G40" s="486">
        <v>0</v>
      </c>
      <c r="H40" s="300">
        <v>15</v>
      </c>
      <c r="I40" s="300">
        <v>1</v>
      </c>
      <c r="J40" s="487">
        <v>1</v>
      </c>
      <c r="K40" s="487">
        <v>1</v>
      </c>
      <c r="L40" s="488">
        <f>IF(Dermal_Exp[[#This Row],[Worker Type]]="ONU",AH1_cm2_F,AH2_cm2_F)</f>
        <v>1070</v>
      </c>
      <c r="M40" s="488">
        <f t="shared" si="1"/>
        <v>535</v>
      </c>
      <c r="N40" s="487">
        <f>IF(Dermal_Exp[[#This Row],[Physical Form]]="Liquid",2.1,IF(Dermal_Exp[[#This Row],[Physical Form]]="Solid",0,IF(Dermal_Exp[[#This Row],[Physical Form]]="Liquid &amp; Solid",2.1,IF(Dermal_Exp[[#This Row],[Similar Exposure Group (SEG)]]="ONU",1.4,10.3))))</f>
        <v>2.1</v>
      </c>
      <c r="O40" s="487">
        <f>IF(Dermal_Exp[[#This Row],[Physical Form]]="Liquid",1.4,IF(Dermal_Exp[[#This Row],[Physical Form]]="Solid",0,IF(Dermal_Exp[[#This Row],[Physical Form]]="Liquid &amp; Solid",1.4,IF(Dermal_Exp[[#This Row],[Similar Exposure Group (SEG)]]="ONU",1.4,3.8))))</f>
        <v>1.4</v>
      </c>
      <c r="P40" s="487">
        <f>IF(Dermal_Exp[[#This Row],[Physical Form]]="Liquid",0,IF(Dermal_Exp[[#This Row],[Physical Form]]="Solid",1100/Dermal_Exp[[#This Row],[SA_High-End (Two hands)]],IF(Dermal_Exp[[#This Row],[Physical Form]]="Liquid &amp; Solid",1100/Dermal_Exp[[#This Row],[SA_High-End (Two hands)]],0)))</f>
        <v>0</v>
      </c>
      <c r="Q40" s="487">
        <f>IF(Dermal_Exp[[#This Row],[Physical Form]]="Liquid",0,IF(Dermal_Exp[[#This Row],[Physical Form]]="Solid",450/Dermal_Exp[[#This Row],[SA_Central Tendency (One hand)]],IF(Dermal_Exp[[#This Row],[Physical Form]]="Liquid &amp; Solid",450/Dermal_Exp[[#This Row],[SA_Central Tendency (One hand)]],0)))</f>
        <v>0</v>
      </c>
      <c r="R40" s="317">
        <f>IFERROR(Dermal_Exp[[#This Row],[SA_High-End (Two hands)]]*(Dermal_Exp[[#This Row],[Qu_High-End (Liquid or Mist)]]*Dermal_Exp[[#This Row],[Liquid or Mist]]+Dermal_Exp[[#This Row],[Qu_High-End (Solid)]]*Dermal_Exp[[#This Row],[Solid]])*Dermal_Exp[[#This Row],[FT_High-End]],"Not Assessed")</f>
        <v>67.41</v>
      </c>
      <c r="S40" s="317">
        <f>IFERROR(Dermal_Exp[[#This Row],[SA_Central Tendency (One hand)]]*(Dermal_Exp[[#This Row],[Qu_Central Tendency (Liquid or Mist)]]*Dermal_Exp[[#This Row],[Liquid or Mist]]+Dermal_Exp[[#This Row],[Qu_Central Tendency (Solid)]]*Dermal_Exp[[#This Row],[Solid]])*Dermal_Exp[[#This Row],[FT_Central Tendency]],"Not Assessed")</f>
        <v>22.47</v>
      </c>
      <c r="T40" s="317">
        <f>IFERROR(Dermal_Exp[[#This Row],[APDR_High-End]]/BW_F,"Not Assessed")</f>
        <v>0.84262499999999996</v>
      </c>
      <c r="U40" s="317">
        <f>IFERROR(Dermal_Exp[[#This Row],[APDR_Central Tendency]]/BW_F,"Not Assessed")</f>
        <v>0.28087499999999999</v>
      </c>
      <c r="V40" s="317">
        <f>IFERROR(Dermal_Exp[[#This Row],[AAD_High-End]]*IF(Dermal_Exp[[#This Row],[EF_High-End]]&gt;EFID,EFID,Dermal_Exp[[#This Row],[EF_High-End]])/ID,"Not Assessed")</f>
        <v>0.42131249999999998</v>
      </c>
      <c r="W40" s="317">
        <f>IFERROR(Dermal_Exp[[#This Row],[AAD_Central Tendency]]*IF(Dermal_Exp[[#This Row],[EF_Central Tendency]]&gt;EFID,EFID,Dermal_Exp[[#This Row],[EF_Central Tendency]])/ID,"Not Assessed")</f>
        <v>9.3624999999999993E-3</v>
      </c>
      <c r="X40" s="317">
        <f>IFERROR(Dermal_Exp[[#This Row],[AAD_High-End]]*Dermal_Exp[[#This Row],[EF_High-End]]*WY_high/(365*WY_high),"Not Assessed")</f>
        <v>3.4628424657534247E-2</v>
      </c>
      <c r="Y40" s="317">
        <f>IFERROR(Dermal_Exp[[#This Row],[AAD_Central Tendency]]*Dermal_Exp[[#This Row],[EF_Central Tendency]]*WY_mid/(365*WY_mid),"Not Assessed")</f>
        <v>7.6952054794520548E-4</v>
      </c>
    </row>
    <row r="41" spans="1:25" s="497" customFormat="1" x14ac:dyDescent="0.3">
      <c r="A41" s="489">
        <v>4</v>
      </c>
      <c r="B41" s="490" t="s">
        <v>245</v>
      </c>
      <c r="C41" s="491" t="s">
        <v>73</v>
      </c>
      <c r="D41" s="492" t="s">
        <v>73</v>
      </c>
      <c r="E41" s="493" t="s">
        <v>349</v>
      </c>
      <c r="F41" s="493">
        <v>0.05</v>
      </c>
      <c r="G41" s="493">
        <v>0</v>
      </c>
      <c r="H41" s="494">
        <v>222</v>
      </c>
      <c r="I41" s="494">
        <v>160</v>
      </c>
      <c r="J41" s="495">
        <v>1</v>
      </c>
      <c r="K41" s="495">
        <v>1</v>
      </c>
      <c r="L41" s="510">
        <f>IF(Dermal_Exp[[#This Row],[Worker Type]]="ONU",AH1_cm2_F,AH2_cm2_F)</f>
        <v>1070</v>
      </c>
      <c r="M41" s="510">
        <f t="shared" si="1"/>
        <v>535</v>
      </c>
      <c r="N41" s="495">
        <f>IF(Dermal_Exp[[#This Row],[Physical Form]]="Liquid",2.1,IF(Dermal_Exp[[#This Row],[Physical Form]]="Solid",0,IF(Dermal_Exp[[#This Row],[Physical Form]]="Liquid &amp; Solid",2.1,IF(Dermal_Exp[[#This Row],[Similar Exposure Group (SEG)]]="ONU",1.4,10.3))))</f>
        <v>2.1</v>
      </c>
      <c r="O41" s="495">
        <f>IF(Dermal_Exp[[#This Row],[Physical Form]]="Liquid",1.4,IF(Dermal_Exp[[#This Row],[Physical Form]]="Solid",0,IF(Dermal_Exp[[#This Row],[Physical Form]]="Liquid &amp; Solid",1.4,IF(Dermal_Exp[[#This Row],[Similar Exposure Group (SEG)]]="ONU",1.4,3.8))))</f>
        <v>1.4</v>
      </c>
      <c r="P41" s="495">
        <f>IF(Dermal_Exp[[#This Row],[Physical Form]]="Liquid",0,IF(Dermal_Exp[[#This Row],[Physical Form]]="Solid",1100/Dermal_Exp[[#This Row],[SA_High-End (Two hands)]],IF(Dermal_Exp[[#This Row],[Physical Form]]="Liquid &amp; Solid",1100/Dermal_Exp[[#This Row],[SA_High-End (Two hands)]],0)))</f>
        <v>0</v>
      </c>
      <c r="Q41" s="495">
        <f>IF(Dermal_Exp[[#This Row],[Physical Form]]="Liquid",0,IF(Dermal_Exp[[#This Row],[Physical Form]]="Solid",450/Dermal_Exp[[#This Row],[SA_Central Tendency (One hand)]],IF(Dermal_Exp[[#This Row],[Physical Form]]="Liquid &amp; Solid",450/Dermal_Exp[[#This Row],[SA_Central Tendency (One hand)]],0)))</f>
        <v>0</v>
      </c>
      <c r="R41" s="496">
        <f>IFERROR(Dermal_Exp[[#This Row],[SA_High-End (Two hands)]]*(Dermal_Exp[[#This Row],[Qu_High-End (Liquid or Mist)]]*Dermal_Exp[[#This Row],[Liquid or Mist]]+Dermal_Exp[[#This Row],[Qu_High-End (Solid)]]*Dermal_Exp[[#This Row],[Solid]])*Dermal_Exp[[#This Row],[FT_High-End]],"Not Assessed")</f>
        <v>112.35000000000001</v>
      </c>
      <c r="S41" s="496">
        <f>IFERROR(Dermal_Exp[[#This Row],[SA_Central Tendency (One hand)]]*(Dermal_Exp[[#This Row],[Qu_Central Tendency (Liquid or Mist)]]*Dermal_Exp[[#This Row],[Liquid or Mist]]+Dermal_Exp[[#This Row],[Qu_Central Tendency (Solid)]]*Dermal_Exp[[#This Row],[Solid]])*Dermal_Exp[[#This Row],[FT_Central Tendency]],"Not Assessed")</f>
        <v>37.449999999999996</v>
      </c>
      <c r="T41" s="496">
        <f>IFERROR(Dermal_Exp[[#This Row],[APDR_High-End]]/BW_F,"Not Assessed")</f>
        <v>1.4043750000000002</v>
      </c>
      <c r="U41" s="496">
        <f>IFERROR(Dermal_Exp[[#This Row],[APDR_Central Tendency]]/BW_F,"Not Assessed")</f>
        <v>0.46812499999999996</v>
      </c>
      <c r="V41" s="496">
        <f>IFERROR(Dermal_Exp[[#This Row],[AAD_High-End]]*IF(Dermal_Exp[[#This Row],[EF_High-End]]&gt;EFID,EFID,Dermal_Exp[[#This Row],[EF_High-End]])/ID,"Not Assessed")</f>
        <v>1.0298750000000001</v>
      </c>
      <c r="W41" s="496">
        <f>IFERROR(Dermal_Exp[[#This Row],[AAD_Central Tendency]]*IF(Dermal_Exp[[#This Row],[EF_Central Tendency]]&gt;EFID,EFID,Dermal_Exp[[#This Row],[EF_Central Tendency]])/ID,"Not Assessed")</f>
        <v>0.34329166666666661</v>
      </c>
      <c r="X41" s="496">
        <f>IFERROR(Dermal_Exp[[#This Row],[AAD_High-End]]*Dermal_Exp[[#This Row],[EF_High-End]]*WY_high/(365*WY_high),"Not Assessed")</f>
        <v>0.85416780821917815</v>
      </c>
      <c r="Y41" s="496">
        <f>IFERROR(Dermal_Exp[[#This Row],[AAD_Central Tendency]]*Dermal_Exp[[#This Row],[EF_Central Tendency]]*WY_mid/(365*WY_mid),"Not Assessed")</f>
        <v>0.20520547945205475</v>
      </c>
    </row>
    <row r="42" spans="1:25" x14ac:dyDescent="0.3">
      <c r="A42" s="305">
        <v>5</v>
      </c>
      <c r="B42" s="310" t="s">
        <v>247</v>
      </c>
      <c r="C42" s="308" t="s">
        <v>264</v>
      </c>
      <c r="D42" s="206" t="s">
        <v>73</v>
      </c>
      <c r="E42" s="513" t="s">
        <v>350</v>
      </c>
      <c r="F42" s="486">
        <v>1</v>
      </c>
      <c r="G42" s="206">
        <v>0.05</v>
      </c>
      <c r="H42" s="300">
        <v>250</v>
      </c>
      <c r="I42" s="300">
        <v>234</v>
      </c>
      <c r="J42" s="487">
        <v>1</v>
      </c>
      <c r="K42" s="487">
        <v>1</v>
      </c>
      <c r="L42" s="488">
        <f>IF(Dermal_Exp[[#This Row],[Worker Type]]="ONU",AH1_cm2_F,AH2_cm2_F)</f>
        <v>1070</v>
      </c>
      <c r="M42" s="488">
        <f t="shared" si="1"/>
        <v>535</v>
      </c>
      <c r="N42" s="487">
        <f>IF(Dermal_Exp[[#This Row],[Physical Form]]="Liquid",2.1,IF(Dermal_Exp[[#This Row],[Physical Form]]="Solid",0,IF(Dermal_Exp[[#This Row],[Physical Form]]="Liquid &amp; Solid",2.1,IF(Dermal_Exp[[#This Row],[Similar Exposure Group (SEG)]]="ONU",1.4,10.3))))</f>
        <v>2.1</v>
      </c>
      <c r="O42" s="487">
        <f>IF(Dermal_Exp[[#This Row],[Physical Form]]="Liquid",1.4,IF(Dermal_Exp[[#This Row],[Physical Form]]="Solid",0,IF(Dermal_Exp[[#This Row],[Physical Form]]="Liquid &amp; Solid",1.4,IF(Dermal_Exp[[#This Row],[Similar Exposure Group (SEG)]]="ONU",1.4,3.8))))</f>
        <v>1.4</v>
      </c>
      <c r="P42" s="487">
        <f>IF(Dermal_Exp[[#This Row],[Physical Form]]="Liquid",0,IF(Dermal_Exp[[#This Row],[Physical Form]]="Solid",1100/Dermal_Exp[[#This Row],[SA_High-End (Two hands)]],IF(Dermal_Exp[[#This Row],[Physical Form]]="Liquid &amp; Solid",1100/Dermal_Exp[[#This Row],[SA_High-End (Two hands)]],0)))</f>
        <v>1.02803738317757</v>
      </c>
      <c r="Q42" s="487">
        <f>IF(Dermal_Exp[[#This Row],[Physical Form]]="Liquid",0,IF(Dermal_Exp[[#This Row],[Physical Form]]="Solid",450/Dermal_Exp[[#This Row],[SA_Central Tendency (One hand)]],IF(Dermal_Exp[[#This Row],[Physical Form]]="Liquid &amp; Solid",450/Dermal_Exp[[#This Row],[SA_Central Tendency (One hand)]],0)))</f>
        <v>0.84112149532710279</v>
      </c>
      <c r="R42" s="317">
        <f>IFERROR(Dermal_Exp[[#This Row],[SA_High-End (Two hands)]]*(Dermal_Exp[[#This Row],[Qu_High-End (Liquid or Mist)]]*Dermal_Exp[[#This Row],[Liquid or Mist]]+Dermal_Exp[[#This Row],[Qu_High-End (Solid)]]*Dermal_Exp[[#This Row],[Solid]])*Dermal_Exp[[#This Row],[FT_High-End]],"Not Assessed")</f>
        <v>2302</v>
      </c>
      <c r="S42" s="317">
        <f>IFERROR(Dermal_Exp[[#This Row],[SA_Central Tendency (One hand)]]*(Dermal_Exp[[#This Row],[Qu_Central Tendency (Liquid or Mist)]]*Dermal_Exp[[#This Row],[Liquid or Mist]]+Dermal_Exp[[#This Row],[Qu_Central Tendency (Solid)]]*Dermal_Exp[[#This Row],[Solid]])*Dermal_Exp[[#This Row],[FT_Central Tendency]],"Not Assessed")</f>
        <v>771.5</v>
      </c>
      <c r="T42" s="317">
        <f>IFERROR(Dermal_Exp[[#This Row],[APDR_High-End]]/BW_F,"Not Assessed")</f>
        <v>28.774999999999999</v>
      </c>
      <c r="U42" s="317">
        <f>IFERROR(Dermal_Exp[[#This Row],[APDR_Central Tendency]]/BW_F,"Not Assessed")</f>
        <v>9.6437500000000007</v>
      </c>
      <c r="V42" s="317">
        <f>IFERROR(Dermal_Exp[[#This Row],[AAD_High-End]]*IF(Dermal_Exp[[#This Row],[EF_High-End]]&gt;EFID,EFID,Dermal_Exp[[#This Row],[EF_High-End]])/ID,"Not Assessed")</f>
        <v>21.101666666666667</v>
      </c>
      <c r="W42" s="317">
        <f>IFERROR(Dermal_Exp[[#This Row],[AAD_Central Tendency]]*IF(Dermal_Exp[[#This Row],[EF_Central Tendency]]&gt;EFID,EFID,Dermal_Exp[[#This Row],[EF_Central Tendency]])/ID,"Not Assessed")</f>
        <v>7.0720833333333344</v>
      </c>
      <c r="X42" s="317">
        <f>IFERROR(Dermal_Exp[[#This Row],[AAD_High-End]]*Dermal_Exp[[#This Row],[EF_High-End]]*WY_high/(365*WY_high),"Not Assessed")</f>
        <v>19.708904109589042</v>
      </c>
      <c r="Y42" s="317">
        <f>IFERROR(Dermal_Exp[[#This Row],[AAD_Central Tendency]]*Dermal_Exp[[#This Row],[EF_Central Tendency]]*WY_mid/(365*WY_mid),"Not Assessed")</f>
        <v>6.1825684931506864</v>
      </c>
    </row>
    <row r="43" spans="1:25" x14ac:dyDescent="0.3">
      <c r="A43" s="305">
        <v>5</v>
      </c>
      <c r="B43" s="310" t="s">
        <v>247</v>
      </c>
      <c r="C43" s="308" t="s">
        <v>265</v>
      </c>
      <c r="D43" s="206" t="s">
        <v>73</v>
      </c>
      <c r="E43" s="513" t="s">
        <v>350</v>
      </c>
      <c r="F43" s="486">
        <v>1</v>
      </c>
      <c r="G43" s="206">
        <v>0.05</v>
      </c>
      <c r="H43" s="300">
        <v>250</v>
      </c>
      <c r="I43" s="300">
        <v>234</v>
      </c>
      <c r="J43" s="487">
        <v>1</v>
      </c>
      <c r="K43" s="487">
        <v>1</v>
      </c>
      <c r="L43" s="488">
        <f>IF(Dermal_Exp[[#This Row],[Worker Type]]="ONU",AH1_cm2_F,AH2_cm2_F)</f>
        <v>1070</v>
      </c>
      <c r="M43" s="488">
        <f t="shared" si="1"/>
        <v>535</v>
      </c>
      <c r="N43" s="487">
        <f>IF(Dermal_Exp[[#This Row],[Physical Form]]="Liquid",2.1,IF(Dermal_Exp[[#This Row],[Physical Form]]="Solid",0,IF(Dermal_Exp[[#This Row],[Physical Form]]="Liquid &amp; Solid",2.1,IF(Dermal_Exp[[#This Row],[Similar Exposure Group (SEG)]]="ONU",1.4,10.3))))</f>
        <v>2.1</v>
      </c>
      <c r="O43" s="487">
        <f>IF(Dermal_Exp[[#This Row],[Physical Form]]="Liquid",1.4,IF(Dermal_Exp[[#This Row],[Physical Form]]="Solid",0,IF(Dermal_Exp[[#This Row],[Physical Form]]="Liquid &amp; Solid",1.4,IF(Dermal_Exp[[#This Row],[Similar Exposure Group (SEG)]]="ONU",1.4,3.8))))</f>
        <v>1.4</v>
      </c>
      <c r="P43" s="487">
        <f>IF(Dermal_Exp[[#This Row],[Physical Form]]="Liquid",0,IF(Dermal_Exp[[#This Row],[Physical Form]]="Solid",1100/Dermal_Exp[[#This Row],[SA_High-End (Two hands)]],IF(Dermal_Exp[[#This Row],[Physical Form]]="Liquid &amp; Solid",1100/Dermal_Exp[[#This Row],[SA_High-End (Two hands)]],0)))</f>
        <v>1.02803738317757</v>
      </c>
      <c r="Q43" s="487">
        <f>IF(Dermal_Exp[[#This Row],[Physical Form]]="Liquid",0,IF(Dermal_Exp[[#This Row],[Physical Form]]="Solid",450/Dermal_Exp[[#This Row],[SA_Central Tendency (One hand)]],IF(Dermal_Exp[[#This Row],[Physical Form]]="Liquid &amp; Solid",450/Dermal_Exp[[#This Row],[SA_Central Tendency (One hand)]],0)))</f>
        <v>0.84112149532710279</v>
      </c>
      <c r="R43" s="317">
        <f>IFERROR(Dermal_Exp[[#This Row],[SA_High-End (Two hands)]]*(Dermal_Exp[[#This Row],[Qu_High-End (Liquid or Mist)]]*Dermal_Exp[[#This Row],[Liquid or Mist]]+Dermal_Exp[[#This Row],[Qu_High-End (Solid)]]*Dermal_Exp[[#This Row],[Solid]])*Dermal_Exp[[#This Row],[FT_High-End]],"Not Assessed")</f>
        <v>2302</v>
      </c>
      <c r="S43" s="317">
        <f>IFERROR(Dermal_Exp[[#This Row],[SA_Central Tendency (One hand)]]*(Dermal_Exp[[#This Row],[Qu_Central Tendency (Liquid or Mist)]]*Dermal_Exp[[#This Row],[Liquid or Mist]]+Dermal_Exp[[#This Row],[Qu_Central Tendency (Solid)]]*Dermal_Exp[[#This Row],[Solid]])*Dermal_Exp[[#This Row],[FT_Central Tendency]],"Not Assessed")</f>
        <v>771.5</v>
      </c>
      <c r="T43" s="317">
        <f>IFERROR(Dermal_Exp[[#This Row],[APDR_High-End]]/BW_F,"Not Assessed")</f>
        <v>28.774999999999999</v>
      </c>
      <c r="U43" s="317">
        <f>IFERROR(Dermal_Exp[[#This Row],[APDR_Central Tendency]]/BW_F,"Not Assessed")</f>
        <v>9.6437500000000007</v>
      </c>
      <c r="V43" s="317">
        <f>IFERROR(Dermal_Exp[[#This Row],[AAD_High-End]]*IF(Dermal_Exp[[#This Row],[EF_High-End]]&gt;EFID,EFID,Dermal_Exp[[#This Row],[EF_High-End]])/ID,"Not Assessed")</f>
        <v>21.101666666666667</v>
      </c>
      <c r="W43" s="317">
        <f>IFERROR(Dermal_Exp[[#This Row],[AAD_Central Tendency]]*IF(Dermal_Exp[[#This Row],[EF_Central Tendency]]&gt;EFID,EFID,Dermal_Exp[[#This Row],[EF_Central Tendency]])/ID,"Not Assessed")</f>
        <v>7.0720833333333344</v>
      </c>
      <c r="X43" s="317">
        <f>IFERROR(Dermal_Exp[[#This Row],[AAD_High-End]]*Dermal_Exp[[#This Row],[EF_High-End]]*WY_high/(365*WY_high),"Not Assessed")</f>
        <v>19.708904109589042</v>
      </c>
      <c r="Y43" s="317">
        <f>IFERROR(Dermal_Exp[[#This Row],[AAD_Central Tendency]]*Dermal_Exp[[#This Row],[EF_Central Tendency]]*WY_mid/(365*WY_mid),"Not Assessed")</f>
        <v>6.1825684931506864</v>
      </c>
    </row>
    <row r="44" spans="1:25" x14ac:dyDescent="0.3">
      <c r="A44" s="305">
        <v>5</v>
      </c>
      <c r="B44" s="310" t="s">
        <v>247</v>
      </c>
      <c r="C44" s="308" t="s">
        <v>266</v>
      </c>
      <c r="D44" s="206" t="s">
        <v>73</v>
      </c>
      <c r="E44" s="513" t="s">
        <v>350</v>
      </c>
      <c r="F44" s="486">
        <v>1</v>
      </c>
      <c r="G44" s="206">
        <v>0.05</v>
      </c>
      <c r="H44" s="300">
        <v>250</v>
      </c>
      <c r="I44" s="300">
        <v>234</v>
      </c>
      <c r="J44" s="487">
        <v>1</v>
      </c>
      <c r="K44" s="487">
        <v>1</v>
      </c>
      <c r="L44" s="488">
        <f>IF(Dermal_Exp[[#This Row],[Worker Type]]="ONU",AH1_cm2_F,AH2_cm2_F)</f>
        <v>1070</v>
      </c>
      <c r="M44" s="488">
        <f t="shared" si="1"/>
        <v>535</v>
      </c>
      <c r="N44" s="487">
        <f>IF(Dermal_Exp[[#This Row],[Physical Form]]="Liquid",2.1,IF(Dermal_Exp[[#This Row],[Physical Form]]="Solid",0,IF(Dermal_Exp[[#This Row],[Physical Form]]="Liquid &amp; Solid",2.1,IF(Dermal_Exp[[#This Row],[Similar Exposure Group (SEG)]]="ONU",1.4,10.3))))</f>
        <v>2.1</v>
      </c>
      <c r="O44" s="487">
        <f>IF(Dermal_Exp[[#This Row],[Physical Form]]="Liquid",1.4,IF(Dermal_Exp[[#This Row],[Physical Form]]="Solid",0,IF(Dermal_Exp[[#This Row],[Physical Form]]="Liquid &amp; Solid",1.4,IF(Dermal_Exp[[#This Row],[Similar Exposure Group (SEG)]]="ONU",1.4,3.8))))</f>
        <v>1.4</v>
      </c>
      <c r="P44" s="487">
        <f>IF(Dermal_Exp[[#This Row],[Physical Form]]="Liquid",0,IF(Dermal_Exp[[#This Row],[Physical Form]]="Solid",1100/Dermal_Exp[[#This Row],[SA_High-End (Two hands)]],IF(Dermal_Exp[[#This Row],[Physical Form]]="Liquid &amp; Solid",1100/Dermal_Exp[[#This Row],[SA_High-End (Two hands)]],0)))</f>
        <v>1.02803738317757</v>
      </c>
      <c r="Q44" s="487">
        <f>IF(Dermal_Exp[[#This Row],[Physical Form]]="Liquid",0,IF(Dermal_Exp[[#This Row],[Physical Form]]="Solid",450/Dermal_Exp[[#This Row],[SA_Central Tendency (One hand)]],IF(Dermal_Exp[[#This Row],[Physical Form]]="Liquid &amp; Solid",450/Dermal_Exp[[#This Row],[SA_Central Tendency (One hand)]],0)))</f>
        <v>0.84112149532710279</v>
      </c>
      <c r="R44" s="317">
        <f>IFERROR(Dermal_Exp[[#This Row],[SA_High-End (Two hands)]]*(Dermal_Exp[[#This Row],[Qu_High-End (Liquid or Mist)]]*Dermal_Exp[[#This Row],[Liquid or Mist]]+Dermal_Exp[[#This Row],[Qu_High-End (Solid)]]*Dermal_Exp[[#This Row],[Solid]])*Dermal_Exp[[#This Row],[FT_High-End]],"Not Assessed")</f>
        <v>2302</v>
      </c>
      <c r="S44" s="317">
        <f>IFERROR(Dermal_Exp[[#This Row],[SA_Central Tendency (One hand)]]*(Dermal_Exp[[#This Row],[Qu_Central Tendency (Liquid or Mist)]]*Dermal_Exp[[#This Row],[Liquid or Mist]]+Dermal_Exp[[#This Row],[Qu_Central Tendency (Solid)]]*Dermal_Exp[[#This Row],[Solid]])*Dermal_Exp[[#This Row],[FT_Central Tendency]],"Not Assessed")</f>
        <v>771.5</v>
      </c>
      <c r="T44" s="317">
        <f>IFERROR(Dermal_Exp[[#This Row],[APDR_High-End]]/BW_F,"Not Assessed")</f>
        <v>28.774999999999999</v>
      </c>
      <c r="U44" s="317">
        <f>IFERROR(Dermal_Exp[[#This Row],[APDR_Central Tendency]]/BW_F,"Not Assessed")</f>
        <v>9.6437500000000007</v>
      </c>
      <c r="V44" s="317">
        <f>IFERROR(Dermal_Exp[[#This Row],[AAD_High-End]]*IF(Dermal_Exp[[#This Row],[EF_High-End]]&gt;EFID,EFID,Dermal_Exp[[#This Row],[EF_High-End]])/ID,"Not Assessed")</f>
        <v>21.101666666666667</v>
      </c>
      <c r="W44" s="317">
        <f>IFERROR(Dermal_Exp[[#This Row],[AAD_Central Tendency]]*IF(Dermal_Exp[[#This Row],[EF_Central Tendency]]&gt;EFID,EFID,Dermal_Exp[[#This Row],[EF_Central Tendency]])/ID,"Not Assessed")</f>
        <v>7.0720833333333344</v>
      </c>
      <c r="X44" s="317">
        <f>IFERROR(Dermal_Exp[[#This Row],[AAD_High-End]]*Dermal_Exp[[#This Row],[EF_High-End]]*WY_high/(365*WY_high),"Not Assessed")</f>
        <v>19.708904109589042</v>
      </c>
      <c r="Y44" s="317">
        <f>IFERROR(Dermal_Exp[[#This Row],[AAD_Central Tendency]]*Dermal_Exp[[#This Row],[EF_Central Tendency]]*WY_mid/(365*WY_mid),"Not Assessed")</f>
        <v>6.1825684931506864</v>
      </c>
    </row>
    <row r="45" spans="1:25" x14ac:dyDescent="0.3">
      <c r="A45" s="305">
        <v>5</v>
      </c>
      <c r="B45" s="310" t="s">
        <v>247</v>
      </c>
      <c r="C45" s="308" t="s">
        <v>267</v>
      </c>
      <c r="D45" s="206" t="s">
        <v>73</v>
      </c>
      <c r="E45" s="513" t="s">
        <v>350</v>
      </c>
      <c r="F45" s="486">
        <v>1</v>
      </c>
      <c r="G45" s="206">
        <v>0.05</v>
      </c>
      <c r="H45" s="300">
        <v>250</v>
      </c>
      <c r="I45" s="300">
        <v>234</v>
      </c>
      <c r="J45" s="487">
        <v>1</v>
      </c>
      <c r="K45" s="487">
        <v>1</v>
      </c>
      <c r="L45" s="488">
        <f>IF(Dermal_Exp[[#This Row],[Worker Type]]="ONU",AH1_cm2_F,AH2_cm2_F)</f>
        <v>1070</v>
      </c>
      <c r="M45" s="488">
        <f t="shared" si="1"/>
        <v>535</v>
      </c>
      <c r="N45" s="487">
        <f>IF(Dermal_Exp[[#This Row],[Physical Form]]="Liquid",2.1,IF(Dermal_Exp[[#This Row],[Physical Form]]="Solid",0,IF(Dermal_Exp[[#This Row],[Physical Form]]="Liquid &amp; Solid",2.1,IF(Dermal_Exp[[#This Row],[Similar Exposure Group (SEG)]]="ONU",1.4,10.3))))</f>
        <v>2.1</v>
      </c>
      <c r="O45" s="487">
        <f>IF(Dermal_Exp[[#This Row],[Physical Form]]="Liquid",1.4,IF(Dermal_Exp[[#This Row],[Physical Form]]="Solid",0,IF(Dermal_Exp[[#This Row],[Physical Form]]="Liquid &amp; Solid",1.4,IF(Dermal_Exp[[#This Row],[Similar Exposure Group (SEG)]]="ONU",1.4,3.8))))</f>
        <v>1.4</v>
      </c>
      <c r="P45" s="487">
        <f>IF(Dermal_Exp[[#This Row],[Physical Form]]="Liquid",0,IF(Dermal_Exp[[#This Row],[Physical Form]]="Solid",1100/Dermal_Exp[[#This Row],[SA_High-End (Two hands)]],IF(Dermal_Exp[[#This Row],[Physical Form]]="Liquid &amp; Solid",1100/Dermal_Exp[[#This Row],[SA_High-End (Two hands)]],0)))</f>
        <v>1.02803738317757</v>
      </c>
      <c r="Q45" s="487">
        <f>IF(Dermal_Exp[[#This Row],[Physical Form]]="Liquid",0,IF(Dermal_Exp[[#This Row],[Physical Form]]="Solid",450/Dermal_Exp[[#This Row],[SA_Central Tendency (One hand)]],IF(Dermal_Exp[[#This Row],[Physical Form]]="Liquid &amp; Solid",450/Dermal_Exp[[#This Row],[SA_Central Tendency (One hand)]],0)))</f>
        <v>0.84112149532710279</v>
      </c>
      <c r="R45" s="317">
        <f>IFERROR(Dermal_Exp[[#This Row],[SA_High-End (Two hands)]]*(Dermal_Exp[[#This Row],[Qu_High-End (Liquid or Mist)]]*Dermal_Exp[[#This Row],[Liquid or Mist]]+Dermal_Exp[[#This Row],[Qu_High-End (Solid)]]*Dermal_Exp[[#This Row],[Solid]])*Dermal_Exp[[#This Row],[FT_High-End]],"Not Assessed")</f>
        <v>2302</v>
      </c>
      <c r="S45" s="317">
        <f>IFERROR(Dermal_Exp[[#This Row],[SA_Central Tendency (One hand)]]*(Dermal_Exp[[#This Row],[Qu_Central Tendency (Liquid or Mist)]]*Dermal_Exp[[#This Row],[Liquid or Mist]]+Dermal_Exp[[#This Row],[Qu_Central Tendency (Solid)]]*Dermal_Exp[[#This Row],[Solid]])*Dermal_Exp[[#This Row],[FT_Central Tendency]],"Not Assessed")</f>
        <v>771.5</v>
      </c>
      <c r="T45" s="317">
        <f>IFERROR(Dermal_Exp[[#This Row],[APDR_High-End]]/BW_F,"Not Assessed")</f>
        <v>28.774999999999999</v>
      </c>
      <c r="U45" s="317">
        <f>IFERROR(Dermal_Exp[[#This Row],[APDR_Central Tendency]]/BW_F,"Not Assessed")</f>
        <v>9.6437500000000007</v>
      </c>
      <c r="V45" s="317">
        <f>IFERROR(Dermal_Exp[[#This Row],[AAD_High-End]]*IF(Dermal_Exp[[#This Row],[EF_High-End]]&gt;EFID,EFID,Dermal_Exp[[#This Row],[EF_High-End]])/ID,"Not Assessed")</f>
        <v>21.101666666666667</v>
      </c>
      <c r="W45" s="317">
        <f>IFERROR(Dermal_Exp[[#This Row],[AAD_Central Tendency]]*IF(Dermal_Exp[[#This Row],[EF_Central Tendency]]&gt;EFID,EFID,Dermal_Exp[[#This Row],[EF_Central Tendency]])/ID,"Not Assessed")</f>
        <v>7.0720833333333344</v>
      </c>
      <c r="X45" s="317">
        <f>IFERROR(Dermal_Exp[[#This Row],[AAD_High-End]]*Dermal_Exp[[#This Row],[EF_High-End]]*WY_high/(365*WY_high),"Not Assessed")</f>
        <v>19.708904109589042</v>
      </c>
      <c r="Y45" s="317">
        <f>IFERROR(Dermal_Exp[[#This Row],[AAD_Central Tendency]]*Dermal_Exp[[#This Row],[EF_Central Tendency]]*WY_mid/(365*WY_mid),"Not Assessed")</f>
        <v>6.1825684931506864</v>
      </c>
    </row>
    <row r="46" spans="1:25" x14ac:dyDescent="0.3">
      <c r="A46" s="305">
        <v>5</v>
      </c>
      <c r="B46" s="310" t="s">
        <v>247</v>
      </c>
      <c r="C46" s="308" t="s">
        <v>268</v>
      </c>
      <c r="D46" s="206" t="s">
        <v>73</v>
      </c>
      <c r="E46" s="513" t="s">
        <v>350</v>
      </c>
      <c r="F46" s="486">
        <v>1</v>
      </c>
      <c r="G46" s="206">
        <v>0.05</v>
      </c>
      <c r="H46" s="300">
        <v>250</v>
      </c>
      <c r="I46" s="300">
        <v>234</v>
      </c>
      <c r="J46" s="487">
        <v>1</v>
      </c>
      <c r="K46" s="487">
        <v>1</v>
      </c>
      <c r="L46" s="488">
        <f>IF(Dermal_Exp[[#This Row],[Worker Type]]="ONU",AH1_cm2_F,AH2_cm2_F)</f>
        <v>1070</v>
      </c>
      <c r="M46" s="488">
        <f t="shared" si="1"/>
        <v>535</v>
      </c>
      <c r="N46" s="487">
        <f>IF(Dermal_Exp[[#This Row],[Physical Form]]="Liquid",2.1,IF(Dermal_Exp[[#This Row],[Physical Form]]="Solid",0,IF(Dermal_Exp[[#This Row],[Physical Form]]="Liquid &amp; Solid",2.1,IF(Dermal_Exp[[#This Row],[Similar Exposure Group (SEG)]]="ONU",1.4,10.3))))</f>
        <v>2.1</v>
      </c>
      <c r="O46" s="487">
        <f>IF(Dermal_Exp[[#This Row],[Physical Form]]="Liquid",1.4,IF(Dermal_Exp[[#This Row],[Physical Form]]="Solid",0,IF(Dermal_Exp[[#This Row],[Physical Form]]="Liquid &amp; Solid",1.4,IF(Dermal_Exp[[#This Row],[Similar Exposure Group (SEG)]]="ONU",1.4,3.8))))</f>
        <v>1.4</v>
      </c>
      <c r="P46" s="487">
        <f>IF(Dermal_Exp[[#This Row],[Physical Form]]="Liquid",0,IF(Dermal_Exp[[#This Row],[Physical Form]]="Solid",1100/Dermal_Exp[[#This Row],[SA_High-End (Two hands)]],IF(Dermal_Exp[[#This Row],[Physical Form]]="Liquid &amp; Solid",1100/Dermal_Exp[[#This Row],[SA_High-End (Two hands)]],0)))</f>
        <v>1.02803738317757</v>
      </c>
      <c r="Q46" s="487">
        <f>IF(Dermal_Exp[[#This Row],[Physical Form]]="Liquid",0,IF(Dermal_Exp[[#This Row],[Physical Form]]="Solid",450/Dermal_Exp[[#This Row],[SA_Central Tendency (One hand)]],IF(Dermal_Exp[[#This Row],[Physical Form]]="Liquid &amp; Solid",450/Dermal_Exp[[#This Row],[SA_Central Tendency (One hand)]],0)))</f>
        <v>0.84112149532710279</v>
      </c>
      <c r="R46" s="317">
        <f>IFERROR(Dermal_Exp[[#This Row],[SA_High-End (Two hands)]]*(Dermal_Exp[[#This Row],[Qu_High-End (Liquid or Mist)]]*Dermal_Exp[[#This Row],[Liquid or Mist]]+Dermal_Exp[[#This Row],[Qu_High-End (Solid)]]*Dermal_Exp[[#This Row],[Solid]])*Dermal_Exp[[#This Row],[FT_High-End]],"Not Assessed")</f>
        <v>2302</v>
      </c>
      <c r="S46" s="317">
        <f>IFERROR(Dermal_Exp[[#This Row],[SA_Central Tendency (One hand)]]*(Dermal_Exp[[#This Row],[Qu_Central Tendency (Liquid or Mist)]]*Dermal_Exp[[#This Row],[Liquid or Mist]]+Dermal_Exp[[#This Row],[Qu_Central Tendency (Solid)]]*Dermal_Exp[[#This Row],[Solid]])*Dermal_Exp[[#This Row],[FT_Central Tendency]],"Not Assessed")</f>
        <v>771.5</v>
      </c>
      <c r="T46" s="317">
        <f>IFERROR(Dermal_Exp[[#This Row],[APDR_High-End]]/BW_F,"Not Assessed")</f>
        <v>28.774999999999999</v>
      </c>
      <c r="U46" s="317">
        <f>IFERROR(Dermal_Exp[[#This Row],[APDR_Central Tendency]]/BW_F,"Not Assessed")</f>
        <v>9.6437500000000007</v>
      </c>
      <c r="V46" s="317">
        <f>IFERROR(Dermal_Exp[[#This Row],[AAD_High-End]]*IF(Dermal_Exp[[#This Row],[EF_High-End]]&gt;EFID,EFID,Dermal_Exp[[#This Row],[EF_High-End]])/ID,"Not Assessed")</f>
        <v>21.101666666666667</v>
      </c>
      <c r="W46" s="317">
        <f>IFERROR(Dermal_Exp[[#This Row],[AAD_Central Tendency]]*IF(Dermal_Exp[[#This Row],[EF_Central Tendency]]&gt;EFID,EFID,Dermal_Exp[[#This Row],[EF_Central Tendency]])/ID,"Not Assessed")</f>
        <v>7.0720833333333344</v>
      </c>
      <c r="X46" s="317">
        <f>IFERROR(Dermal_Exp[[#This Row],[AAD_High-End]]*Dermal_Exp[[#This Row],[EF_High-End]]*WY_high/(365*WY_high),"Not Assessed")</f>
        <v>19.708904109589042</v>
      </c>
      <c r="Y46" s="317">
        <f>IFERROR(Dermal_Exp[[#This Row],[AAD_Central Tendency]]*Dermal_Exp[[#This Row],[EF_Central Tendency]]*WY_mid/(365*WY_mid),"Not Assessed")</f>
        <v>6.1825684931506864</v>
      </c>
    </row>
    <row r="47" spans="1:25" s="497" customFormat="1" x14ac:dyDescent="0.3">
      <c r="A47" s="489">
        <v>5</v>
      </c>
      <c r="B47" s="490" t="s">
        <v>248</v>
      </c>
      <c r="C47" s="491" t="s">
        <v>264</v>
      </c>
      <c r="D47" s="492" t="s">
        <v>73</v>
      </c>
      <c r="E47" s="492" t="s">
        <v>351</v>
      </c>
      <c r="F47" s="493">
        <v>0</v>
      </c>
      <c r="G47" s="492">
        <v>0.05</v>
      </c>
      <c r="H47" s="494">
        <v>250</v>
      </c>
      <c r="I47" s="494">
        <v>219</v>
      </c>
      <c r="J47" s="495">
        <v>1</v>
      </c>
      <c r="K47" s="495">
        <v>1</v>
      </c>
      <c r="L47" s="510">
        <f>IF(Dermal_Exp[[#This Row],[Worker Type]]="ONU",AH1_cm2_F,AH2_cm2_F)</f>
        <v>1070</v>
      </c>
      <c r="M47" s="510">
        <f t="shared" si="1"/>
        <v>535</v>
      </c>
      <c r="N47" s="495">
        <f>IF(Dermal_Exp[[#This Row],[Physical Form]]="Liquid",2.1,IF(Dermal_Exp[[#This Row],[Physical Form]]="Solid",0,IF(Dermal_Exp[[#This Row],[Physical Form]]="Liquid &amp; Solid",2.1,IF(Dermal_Exp[[#This Row],[Similar Exposure Group (SEG)]]="ONU",1.4,10.3))))</f>
        <v>0</v>
      </c>
      <c r="O47" s="495">
        <f>IF(Dermal_Exp[[#This Row],[Physical Form]]="Liquid",1.4,IF(Dermal_Exp[[#This Row],[Physical Form]]="Solid",0,IF(Dermal_Exp[[#This Row],[Physical Form]]="Liquid &amp; Solid",1.4,IF(Dermal_Exp[[#This Row],[Similar Exposure Group (SEG)]]="ONU",1.4,3.8))))</f>
        <v>0</v>
      </c>
      <c r="P47" s="495">
        <f>IF(Dermal_Exp[[#This Row],[Physical Form]]="Liquid",0,IF(Dermal_Exp[[#This Row],[Physical Form]]="Solid",1100/Dermal_Exp[[#This Row],[SA_High-End (Two hands)]],IF(Dermal_Exp[[#This Row],[Physical Form]]="Liquid &amp; Solid",1100/Dermal_Exp[[#This Row],[SA_High-End (Two hands)]],0)))</f>
        <v>1.02803738317757</v>
      </c>
      <c r="Q47" s="495">
        <f>IF(Dermal_Exp[[#This Row],[Physical Form]]="Liquid",0,IF(Dermal_Exp[[#This Row],[Physical Form]]="Solid",450/Dermal_Exp[[#This Row],[SA_Central Tendency (One hand)]],IF(Dermal_Exp[[#This Row],[Physical Form]]="Liquid &amp; Solid",450/Dermal_Exp[[#This Row],[SA_Central Tendency (One hand)]],0)))</f>
        <v>0.84112149532710279</v>
      </c>
      <c r="R47" s="496">
        <f>IFERROR(Dermal_Exp[[#This Row],[SA_High-End (Two hands)]]*(Dermal_Exp[[#This Row],[Qu_High-End (Liquid or Mist)]]*Dermal_Exp[[#This Row],[Liquid or Mist]]+Dermal_Exp[[#This Row],[Qu_High-End (Solid)]]*Dermal_Exp[[#This Row],[Solid]])*Dermal_Exp[[#This Row],[FT_High-End]],"Not Assessed")</f>
        <v>55</v>
      </c>
      <c r="S47" s="496">
        <f>IFERROR(Dermal_Exp[[#This Row],[SA_Central Tendency (One hand)]]*(Dermal_Exp[[#This Row],[Qu_Central Tendency (Liquid or Mist)]]*Dermal_Exp[[#This Row],[Liquid or Mist]]+Dermal_Exp[[#This Row],[Qu_Central Tendency (Solid)]]*Dermal_Exp[[#This Row],[Solid]])*Dermal_Exp[[#This Row],[FT_Central Tendency]],"Not Assessed")</f>
        <v>22.500000000000004</v>
      </c>
      <c r="T47" s="496">
        <f>IFERROR(Dermal_Exp[[#This Row],[APDR_High-End]]/BW_F,"Not Assessed")</f>
        <v>0.6875</v>
      </c>
      <c r="U47" s="496">
        <f>IFERROR(Dermal_Exp[[#This Row],[APDR_Central Tendency]]/BW_F,"Not Assessed")</f>
        <v>0.28125000000000006</v>
      </c>
      <c r="V47" s="496">
        <f>IFERROR(Dermal_Exp[[#This Row],[AAD_High-End]]*IF(Dermal_Exp[[#This Row],[EF_High-End]]&gt;EFID,EFID,Dermal_Exp[[#This Row],[EF_High-End]])/ID,"Not Assessed")</f>
        <v>0.50416666666666665</v>
      </c>
      <c r="W47" s="496">
        <f>IFERROR(Dermal_Exp[[#This Row],[AAD_Central Tendency]]*IF(Dermal_Exp[[#This Row],[EF_Central Tendency]]&gt;EFID,EFID,Dermal_Exp[[#This Row],[EF_Central Tendency]])/ID,"Not Assessed")</f>
        <v>0.20625000000000002</v>
      </c>
      <c r="X47" s="496">
        <f>IFERROR(Dermal_Exp[[#This Row],[AAD_High-End]]*Dermal_Exp[[#This Row],[EF_High-End]]*WY_high/(365*WY_high),"Not Assessed")</f>
        <v>0.4708904109589041</v>
      </c>
      <c r="Y47" s="496">
        <f>IFERROR(Dermal_Exp[[#This Row],[AAD_Central Tendency]]*Dermal_Exp[[#This Row],[EF_Central Tendency]]*WY_mid/(365*WY_mid),"Not Assessed")</f>
        <v>0.16875000000000004</v>
      </c>
    </row>
    <row r="48" spans="1:25" s="497" customFormat="1" x14ac:dyDescent="0.3">
      <c r="A48" s="489">
        <v>5</v>
      </c>
      <c r="B48" s="490" t="s">
        <v>248</v>
      </c>
      <c r="C48" s="491" t="s">
        <v>265</v>
      </c>
      <c r="D48" s="492" t="s">
        <v>73</v>
      </c>
      <c r="E48" s="492" t="s">
        <v>351</v>
      </c>
      <c r="F48" s="493">
        <v>0</v>
      </c>
      <c r="G48" s="492">
        <v>0.05</v>
      </c>
      <c r="H48" s="494">
        <v>250</v>
      </c>
      <c r="I48" s="494">
        <v>219</v>
      </c>
      <c r="J48" s="495">
        <v>1</v>
      </c>
      <c r="K48" s="495">
        <v>1</v>
      </c>
      <c r="L48" s="510">
        <f>IF(Dermal_Exp[[#This Row],[Worker Type]]="ONU",AH1_cm2_F,AH2_cm2_F)</f>
        <v>1070</v>
      </c>
      <c r="M48" s="510">
        <f t="shared" si="1"/>
        <v>535</v>
      </c>
      <c r="N48" s="495">
        <f>IF(Dermal_Exp[[#This Row],[Physical Form]]="Liquid",2.1,IF(Dermal_Exp[[#This Row],[Physical Form]]="Solid",0,IF(Dermal_Exp[[#This Row],[Physical Form]]="Liquid &amp; Solid",2.1,IF(Dermal_Exp[[#This Row],[Similar Exposure Group (SEG)]]="ONU",1.4,10.3))))</f>
        <v>0</v>
      </c>
      <c r="O48" s="495">
        <f>IF(Dermal_Exp[[#This Row],[Physical Form]]="Liquid",1.4,IF(Dermal_Exp[[#This Row],[Physical Form]]="Solid",0,IF(Dermal_Exp[[#This Row],[Physical Form]]="Liquid &amp; Solid",1.4,IF(Dermal_Exp[[#This Row],[Similar Exposure Group (SEG)]]="ONU",1.4,3.8))))</f>
        <v>0</v>
      </c>
      <c r="P48" s="495">
        <f>IF(Dermal_Exp[[#This Row],[Physical Form]]="Liquid",0,IF(Dermal_Exp[[#This Row],[Physical Form]]="Solid",1100/Dermal_Exp[[#This Row],[SA_High-End (Two hands)]],IF(Dermal_Exp[[#This Row],[Physical Form]]="Liquid &amp; Solid",1100/Dermal_Exp[[#This Row],[SA_High-End (Two hands)]],0)))</f>
        <v>1.02803738317757</v>
      </c>
      <c r="Q48" s="495">
        <f>IF(Dermal_Exp[[#This Row],[Physical Form]]="Liquid",0,IF(Dermal_Exp[[#This Row],[Physical Form]]="Solid",450/Dermal_Exp[[#This Row],[SA_Central Tendency (One hand)]],IF(Dermal_Exp[[#This Row],[Physical Form]]="Liquid &amp; Solid",450/Dermal_Exp[[#This Row],[SA_Central Tendency (One hand)]],0)))</f>
        <v>0.84112149532710279</v>
      </c>
      <c r="R48" s="496">
        <f>IFERROR(Dermal_Exp[[#This Row],[SA_High-End (Two hands)]]*(Dermal_Exp[[#This Row],[Qu_High-End (Liquid or Mist)]]*Dermal_Exp[[#This Row],[Liquid or Mist]]+Dermal_Exp[[#This Row],[Qu_High-End (Solid)]]*Dermal_Exp[[#This Row],[Solid]])*Dermal_Exp[[#This Row],[FT_High-End]],"Not Assessed")</f>
        <v>55</v>
      </c>
      <c r="S48" s="496">
        <f>IFERROR(Dermal_Exp[[#This Row],[SA_Central Tendency (One hand)]]*(Dermal_Exp[[#This Row],[Qu_Central Tendency (Liquid or Mist)]]*Dermal_Exp[[#This Row],[Liquid or Mist]]+Dermal_Exp[[#This Row],[Qu_Central Tendency (Solid)]]*Dermal_Exp[[#This Row],[Solid]])*Dermal_Exp[[#This Row],[FT_Central Tendency]],"Not Assessed")</f>
        <v>22.500000000000004</v>
      </c>
      <c r="T48" s="496">
        <f>IFERROR(Dermal_Exp[[#This Row],[APDR_High-End]]/BW_F,"Not Assessed")</f>
        <v>0.6875</v>
      </c>
      <c r="U48" s="496">
        <f>IFERROR(Dermal_Exp[[#This Row],[APDR_Central Tendency]]/BW_F,"Not Assessed")</f>
        <v>0.28125000000000006</v>
      </c>
      <c r="V48" s="496">
        <f>IFERROR(Dermal_Exp[[#This Row],[AAD_High-End]]*IF(Dermal_Exp[[#This Row],[EF_High-End]]&gt;EFID,EFID,Dermal_Exp[[#This Row],[EF_High-End]])/ID,"Not Assessed")</f>
        <v>0.50416666666666665</v>
      </c>
      <c r="W48" s="496">
        <f>IFERROR(Dermal_Exp[[#This Row],[AAD_Central Tendency]]*IF(Dermal_Exp[[#This Row],[EF_Central Tendency]]&gt;EFID,EFID,Dermal_Exp[[#This Row],[EF_Central Tendency]])/ID,"Not Assessed")</f>
        <v>0.20625000000000002</v>
      </c>
      <c r="X48" s="496">
        <f>IFERROR(Dermal_Exp[[#This Row],[AAD_High-End]]*Dermal_Exp[[#This Row],[EF_High-End]]*WY_high/(365*WY_high),"Not Assessed")</f>
        <v>0.4708904109589041</v>
      </c>
      <c r="Y48" s="496">
        <f>IFERROR(Dermal_Exp[[#This Row],[AAD_Central Tendency]]*Dermal_Exp[[#This Row],[EF_Central Tendency]]*WY_mid/(365*WY_mid),"Not Assessed")</f>
        <v>0.16875000000000004</v>
      </c>
    </row>
    <row r="49" spans="1:25" s="497" customFormat="1" x14ac:dyDescent="0.3">
      <c r="A49" s="489">
        <v>5</v>
      </c>
      <c r="B49" s="490" t="s">
        <v>248</v>
      </c>
      <c r="C49" s="491" t="s">
        <v>266</v>
      </c>
      <c r="D49" s="492" t="s">
        <v>73</v>
      </c>
      <c r="E49" s="492" t="s">
        <v>351</v>
      </c>
      <c r="F49" s="493">
        <v>0</v>
      </c>
      <c r="G49" s="492">
        <v>0.05</v>
      </c>
      <c r="H49" s="494">
        <v>250</v>
      </c>
      <c r="I49" s="494">
        <v>219</v>
      </c>
      <c r="J49" s="495">
        <v>1</v>
      </c>
      <c r="K49" s="495">
        <v>1</v>
      </c>
      <c r="L49" s="510">
        <f>IF(Dermal_Exp[[#This Row],[Worker Type]]="ONU",AH1_cm2_F,AH2_cm2_F)</f>
        <v>1070</v>
      </c>
      <c r="M49" s="510">
        <f t="shared" si="1"/>
        <v>535</v>
      </c>
      <c r="N49" s="495">
        <f>IF(Dermal_Exp[[#This Row],[Physical Form]]="Liquid",2.1,IF(Dermal_Exp[[#This Row],[Physical Form]]="Solid",0,IF(Dermal_Exp[[#This Row],[Physical Form]]="Liquid &amp; Solid",2.1,IF(Dermal_Exp[[#This Row],[Similar Exposure Group (SEG)]]="ONU",1.4,10.3))))</f>
        <v>0</v>
      </c>
      <c r="O49" s="495">
        <f>IF(Dermal_Exp[[#This Row],[Physical Form]]="Liquid",1.4,IF(Dermal_Exp[[#This Row],[Physical Form]]="Solid",0,IF(Dermal_Exp[[#This Row],[Physical Form]]="Liquid &amp; Solid",1.4,IF(Dermal_Exp[[#This Row],[Similar Exposure Group (SEG)]]="ONU",1.4,3.8))))</f>
        <v>0</v>
      </c>
      <c r="P49" s="495">
        <f>IF(Dermal_Exp[[#This Row],[Physical Form]]="Liquid",0,IF(Dermal_Exp[[#This Row],[Physical Form]]="Solid",1100/Dermal_Exp[[#This Row],[SA_High-End (Two hands)]],IF(Dermal_Exp[[#This Row],[Physical Form]]="Liquid &amp; Solid",1100/Dermal_Exp[[#This Row],[SA_High-End (Two hands)]],0)))</f>
        <v>1.02803738317757</v>
      </c>
      <c r="Q49" s="495">
        <f>IF(Dermal_Exp[[#This Row],[Physical Form]]="Liquid",0,IF(Dermal_Exp[[#This Row],[Physical Form]]="Solid",450/Dermal_Exp[[#This Row],[SA_Central Tendency (One hand)]],IF(Dermal_Exp[[#This Row],[Physical Form]]="Liquid &amp; Solid",450/Dermal_Exp[[#This Row],[SA_Central Tendency (One hand)]],0)))</f>
        <v>0.84112149532710279</v>
      </c>
      <c r="R49" s="496">
        <f>IFERROR(Dermal_Exp[[#This Row],[SA_High-End (Two hands)]]*(Dermal_Exp[[#This Row],[Qu_High-End (Liquid or Mist)]]*Dermal_Exp[[#This Row],[Liquid or Mist]]+Dermal_Exp[[#This Row],[Qu_High-End (Solid)]]*Dermal_Exp[[#This Row],[Solid]])*Dermal_Exp[[#This Row],[FT_High-End]],"Not Assessed")</f>
        <v>55</v>
      </c>
      <c r="S49" s="496">
        <f>IFERROR(Dermal_Exp[[#This Row],[SA_Central Tendency (One hand)]]*(Dermal_Exp[[#This Row],[Qu_Central Tendency (Liquid or Mist)]]*Dermal_Exp[[#This Row],[Liquid or Mist]]+Dermal_Exp[[#This Row],[Qu_Central Tendency (Solid)]]*Dermal_Exp[[#This Row],[Solid]])*Dermal_Exp[[#This Row],[FT_Central Tendency]],"Not Assessed")</f>
        <v>22.500000000000004</v>
      </c>
      <c r="T49" s="496">
        <f>IFERROR(Dermal_Exp[[#This Row],[APDR_High-End]]/BW_F,"Not Assessed")</f>
        <v>0.6875</v>
      </c>
      <c r="U49" s="496">
        <f>IFERROR(Dermal_Exp[[#This Row],[APDR_Central Tendency]]/BW_F,"Not Assessed")</f>
        <v>0.28125000000000006</v>
      </c>
      <c r="V49" s="496">
        <f>IFERROR(Dermal_Exp[[#This Row],[AAD_High-End]]*IF(Dermal_Exp[[#This Row],[EF_High-End]]&gt;EFID,EFID,Dermal_Exp[[#This Row],[EF_High-End]])/ID,"Not Assessed")</f>
        <v>0.50416666666666665</v>
      </c>
      <c r="W49" s="496">
        <f>IFERROR(Dermal_Exp[[#This Row],[AAD_Central Tendency]]*IF(Dermal_Exp[[#This Row],[EF_Central Tendency]]&gt;EFID,EFID,Dermal_Exp[[#This Row],[EF_Central Tendency]])/ID,"Not Assessed")</f>
        <v>0.20625000000000002</v>
      </c>
      <c r="X49" s="496">
        <f>IFERROR(Dermal_Exp[[#This Row],[AAD_High-End]]*Dermal_Exp[[#This Row],[EF_High-End]]*WY_high/(365*WY_high),"Not Assessed")</f>
        <v>0.4708904109589041</v>
      </c>
      <c r="Y49" s="496">
        <f>IFERROR(Dermal_Exp[[#This Row],[AAD_Central Tendency]]*Dermal_Exp[[#This Row],[EF_Central Tendency]]*WY_mid/(365*WY_mid),"Not Assessed")</f>
        <v>0.16875000000000004</v>
      </c>
    </row>
    <row r="50" spans="1:25" s="497" customFormat="1" x14ac:dyDescent="0.3">
      <c r="A50" s="489">
        <v>5</v>
      </c>
      <c r="B50" s="490" t="s">
        <v>248</v>
      </c>
      <c r="C50" s="491" t="s">
        <v>267</v>
      </c>
      <c r="D50" s="492" t="s">
        <v>73</v>
      </c>
      <c r="E50" s="492" t="s">
        <v>351</v>
      </c>
      <c r="F50" s="493">
        <v>0</v>
      </c>
      <c r="G50" s="492">
        <v>0.05</v>
      </c>
      <c r="H50" s="494">
        <v>250</v>
      </c>
      <c r="I50" s="494">
        <v>219</v>
      </c>
      <c r="J50" s="495">
        <v>1</v>
      </c>
      <c r="K50" s="495">
        <v>1</v>
      </c>
      <c r="L50" s="510">
        <f>IF(Dermal_Exp[[#This Row],[Worker Type]]="ONU",AH1_cm2_F,AH2_cm2_F)</f>
        <v>1070</v>
      </c>
      <c r="M50" s="510">
        <f t="shared" si="1"/>
        <v>535</v>
      </c>
      <c r="N50" s="495">
        <f>IF(Dermal_Exp[[#This Row],[Physical Form]]="Liquid",2.1,IF(Dermal_Exp[[#This Row],[Physical Form]]="Solid",0,IF(Dermal_Exp[[#This Row],[Physical Form]]="Liquid &amp; Solid",2.1,IF(Dermal_Exp[[#This Row],[Similar Exposure Group (SEG)]]="ONU",1.4,10.3))))</f>
        <v>0</v>
      </c>
      <c r="O50" s="495">
        <f>IF(Dermal_Exp[[#This Row],[Physical Form]]="Liquid",1.4,IF(Dermal_Exp[[#This Row],[Physical Form]]="Solid",0,IF(Dermal_Exp[[#This Row],[Physical Form]]="Liquid &amp; Solid",1.4,IF(Dermal_Exp[[#This Row],[Similar Exposure Group (SEG)]]="ONU",1.4,3.8))))</f>
        <v>0</v>
      </c>
      <c r="P50" s="495">
        <f>IF(Dermal_Exp[[#This Row],[Physical Form]]="Liquid",0,IF(Dermal_Exp[[#This Row],[Physical Form]]="Solid",1100/Dermal_Exp[[#This Row],[SA_High-End (Two hands)]],IF(Dermal_Exp[[#This Row],[Physical Form]]="Liquid &amp; Solid",1100/Dermal_Exp[[#This Row],[SA_High-End (Two hands)]],0)))</f>
        <v>1.02803738317757</v>
      </c>
      <c r="Q50" s="495">
        <f>IF(Dermal_Exp[[#This Row],[Physical Form]]="Liquid",0,IF(Dermal_Exp[[#This Row],[Physical Form]]="Solid",450/Dermal_Exp[[#This Row],[SA_Central Tendency (One hand)]],IF(Dermal_Exp[[#This Row],[Physical Form]]="Liquid &amp; Solid",450/Dermal_Exp[[#This Row],[SA_Central Tendency (One hand)]],0)))</f>
        <v>0.84112149532710279</v>
      </c>
      <c r="R50" s="496">
        <f>IFERROR(Dermal_Exp[[#This Row],[SA_High-End (Two hands)]]*(Dermal_Exp[[#This Row],[Qu_High-End (Liquid or Mist)]]*Dermal_Exp[[#This Row],[Liquid or Mist]]+Dermal_Exp[[#This Row],[Qu_High-End (Solid)]]*Dermal_Exp[[#This Row],[Solid]])*Dermal_Exp[[#This Row],[FT_High-End]],"Not Assessed")</f>
        <v>55</v>
      </c>
      <c r="S50" s="496">
        <f>IFERROR(Dermal_Exp[[#This Row],[SA_Central Tendency (One hand)]]*(Dermal_Exp[[#This Row],[Qu_Central Tendency (Liquid or Mist)]]*Dermal_Exp[[#This Row],[Liquid or Mist]]+Dermal_Exp[[#This Row],[Qu_Central Tendency (Solid)]]*Dermal_Exp[[#This Row],[Solid]])*Dermal_Exp[[#This Row],[FT_Central Tendency]],"Not Assessed")</f>
        <v>22.500000000000004</v>
      </c>
      <c r="T50" s="496">
        <f>IFERROR(Dermal_Exp[[#This Row],[APDR_High-End]]/BW_F,"Not Assessed")</f>
        <v>0.6875</v>
      </c>
      <c r="U50" s="496">
        <f>IFERROR(Dermal_Exp[[#This Row],[APDR_Central Tendency]]/BW_F,"Not Assessed")</f>
        <v>0.28125000000000006</v>
      </c>
      <c r="V50" s="496">
        <f>IFERROR(Dermal_Exp[[#This Row],[AAD_High-End]]*IF(Dermal_Exp[[#This Row],[EF_High-End]]&gt;EFID,EFID,Dermal_Exp[[#This Row],[EF_High-End]])/ID,"Not Assessed")</f>
        <v>0.50416666666666665</v>
      </c>
      <c r="W50" s="496">
        <f>IFERROR(Dermal_Exp[[#This Row],[AAD_Central Tendency]]*IF(Dermal_Exp[[#This Row],[EF_Central Tendency]]&gt;EFID,EFID,Dermal_Exp[[#This Row],[EF_Central Tendency]])/ID,"Not Assessed")</f>
        <v>0.20625000000000002</v>
      </c>
      <c r="X50" s="496">
        <f>IFERROR(Dermal_Exp[[#This Row],[AAD_High-End]]*Dermal_Exp[[#This Row],[EF_High-End]]*WY_high/(365*WY_high),"Not Assessed")</f>
        <v>0.4708904109589041</v>
      </c>
      <c r="Y50" s="496">
        <f>IFERROR(Dermal_Exp[[#This Row],[AAD_Central Tendency]]*Dermal_Exp[[#This Row],[EF_Central Tendency]]*WY_mid/(365*WY_mid),"Not Assessed")</f>
        <v>0.16875000000000004</v>
      </c>
    </row>
    <row r="51" spans="1:25" s="497" customFormat="1" x14ac:dyDescent="0.3">
      <c r="A51" s="489">
        <v>5</v>
      </c>
      <c r="B51" s="490" t="s">
        <v>248</v>
      </c>
      <c r="C51" s="491" t="s">
        <v>268</v>
      </c>
      <c r="D51" s="492" t="s">
        <v>73</v>
      </c>
      <c r="E51" s="492" t="s">
        <v>351</v>
      </c>
      <c r="F51" s="493">
        <v>0</v>
      </c>
      <c r="G51" s="492">
        <v>0.05</v>
      </c>
      <c r="H51" s="494">
        <v>250</v>
      </c>
      <c r="I51" s="494">
        <v>219</v>
      </c>
      <c r="J51" s="495">
        <v>1</v>
      </c>
      <c r="K51" s="495">
        <v>1</v>
      </c>
      <c r="L51" s="510">
        <f>IF(Dermal_Exp[[#This Row],[Worker Type]]="ONU",AH1_cm2_F,AH2_cm2_F)</f>
        <v>1070</v>
      </c>
      <c r="M51" s="510">
        <f t="shared" si="1"/>
        <v>535</v>
      </c>
      <c r="N51" s="495">
        <f>IF(Dermal_Exp[[#This Row],[Physical Form]]="Liquid",2.1,IF(Dermal_Exp[[#This Row],[Physical Form]]="Solid",0,IF(Dermal_Exp[[#This Row],[Physical Form]]="Liquid &amp; Solid",2.1,IF(Dermal_Exp[[#This Row],[Similar Exposure Group (SEG)]]="ONU",1.4,10.3))))</f>
        <v>0</v>
      </c>
      <c r="O51" s="495">
        <f>IF(Dermal_Exp[[#This Row],[Physical Form]]="Liquid",1.4,IF(Dermal_Exp[[#This Row],[Physical Form]]="Solid",0,IF(Dermal_Exp[[#This Row],[Physical Form]]="Liquid &amp; Solid",1.4,IF(Dermal_Exp[[#This Row],[Similar Exposure Group (SEG)]]="ONU",1.4,3.8))))</f>
        <v>0</v>
      </c>
      <c r="P51" s="495">
        <f>IF(Dermal_Exp[[#This Row],[Physical Form]]="Liquid",0,IF(Dermal_Exp[[#This Row],[Physical Form]]="Solid",1100/Dermal_Exp[[#This Row],[SA_High-End (Two hands)]],IF(Dermal_Exp[[#This Row],[Physical Form]]="Liquid &amp; Solid",1100/Dermal_Exp[[#This Row],[SA_High-End (Two hands)]],0)))</f>
        <v>1.02803738317757</v>
      </c>
      <c r="Q51" s="495">
        <f>IF(Dermal_Exp[[#This Row],[Physical Form]]="Liquid",0,IF(Dermal_Exp[[#This Row],[Physical Form]]="Solid",450/Dermal_Exp[[#This Row],[SA_Central Tendency (One hand)]],IF(Dermal_Exp[[#This Row],[Physical Form]]="Liquid &amp; Solid",450/Dermal_Exp[[#This Row],[SA_Central Tendency (One hand)]],0)))</f>
        <v>0.84112149532710279</v>
      </c>
      <c r="R51" s="496">
        <f>IFERROR(Dermal_Exp[[#This Row],[SA_High-End (Two hands)]]*(Dermal_Exp[[#This Row],[Qu_High-End (Liquid or Mist)]]*Dermal_Exp[[#This Row],[Liquid or Mist]]+Dermal_Exp[[#This Row],[Qu_High-End (Solid)]]*Dermal_Exp[[#This Row],[Solid]])*Dermal_Exp[[#This Row],[FT_High-End]],"Not Assessed")</f>
        <v>55</v>
      </c>
      <c r="S51" s="496">
        <f>IFERROR(Dermal_Exp[[#This Row],[SA_Central Tendency (One hand)]]*(Dermal_Exp[[#This Row],[Qu_Central Tendency (Liquid or Mist)]]*Dermal_Exp[[#This Row],[Liquid or Mist]]+Dermal_Exp[[#This Row],[Qu_Central Tendency (Solid)]]*Dermal_Exp[[#This Row],[Solid]])*Dermal_Exp[[#This Row],[FT_Central Tendency]],"Not Assessed")</f>
        <v>22.500000000000004</v>
      </c>
      <c r="T51" s="496">
        <f>IFERROR(Dermal_Exp[[#This Row],[APDR_High-End]]/BW_F,"Not Assessed")</f>
        <v>0.6875</v>
      </c>
      <c r="U51" s="496">
        <f>IFERROR(Dermal_Exp[[#This Row],[APDR_Central Tendency]]/BW_F,"Not Assessed")</f>
        <v>0.28125000000000006</v>
      </c>
      <c r="V51" s="496">
        <f>IFERROR(Dermal_Exp[[#This Row],[AAD_High-End]]*IF(Dermal_Exp[[#This Row],[EF_High-End]]&gt;EFID,EFID,Dermal_Exp[[#This Row],[EF_High-End]])/ID,"Not Assessed")</f>
        <v>0.50416666666666665</v>
      </c>
      <c r="W51" s="496">
        <f>IFERROR(Dermal_Exp[[#This Row],[AAD_Central Tendency]]*IF(Dermal_Exp[[#This Row],[EF_Central Tendency]]&gt;EFID,EFID,Dermal_Exp[[#This Row],[EF_Central Tendency]])/ID,"Not Assessed")</f>
        <v>0.20625000000000002</v>
      </c>
      <c r="X51" s="496">
        <f>IFERROR(Dermal_Exp[[#This Row],[AAD_High-End]]*Dermal_Exp[[#This Row],[EF_High-End]]*WY_high/(365*WY_high),"Not Assessed")</f>
        <v>0.4708904109589041</v>
      </c>
      <c r="Y51" s="496">
        <f>IFERROR(Dermal_Exp[[#This Row],[AAD_Central Tendency]]*Dermal_Exp[[#This Row],[EF_Central Tendency]]*WY_mid/(365*WY_mid),"Not Assessed")</f>
        <v>0.16875000000000004</v>
      </c>
    </row>
    <row r="52" spans="1:25" ht="26" x14ac:dyDescent="0.3">
      <c r="A52" s="306">
        <v>6</v>
      </c>
      <c r="B52" s="293" t="s">
        <v>282</v>
      </c>
      <c r="C52" s="308" t="s">
        <v>264</v>
      </c>
      <c r="D52" s="206" t="s">
        <v>73</v>
      </c>
      <c r="E52" s="206" t="s">
        <v>349</v>
      </c>
      <c r="F52" s="206">
        <v>1</v>
      </c>
      <c r="G52" s="486">
        <v>0</v>
      </c>
      <c r="H52" s="300">
        <v>250</v>
      </c>
      <c r="I52" s="300">
        <v>246</v>
      </c>
      <c r="J52" s="487">
        <v>1</v>
      </c>
      <c r="K52" s="487">
        <v>1</v>
      </c>
      <c r="L52" s="488">
        <f>IF(Dermal_Exp[[#This Row],[Worker Type]]="ONU",AH1_cm2_F,AH2_cm2_F)</f>
        <v>1070</v>
      </c>
      <c r="M52" s="488">
        <f t="shared" si="1"/>
        <v>535</v>
      </c>
      <c r="N52" s="487">
        <f>IF(Dermal_Exp[[#This Row],[Physical Form]]="Liquid",2.1,IF(Dermal_Exp[[#This Row],[Physical Form]]="Solid",0,IF(Dermal_Exp[[#This Row],[Physical Form]]="Liquid &amp; Solid",2.1,IF(Dermal_Exp[[#This Row],[Similar Exposure Group (SEG)]]="ONU",1.4,10.3))))</f>
        <v>2.1</v>
      </c>
      <c r="O52" s="487">
        <f>IF(Dermal_Exp[[#This Row],[Physical Form]]="Liquid",1.4,IF(Dermal_Exp[[#This Row],[Physical Form]]="Solid",0,IF(Dermal_Exp[[#This Row],[Physical Form]]="Liquid &amp; Solid",1.4,IF(Dermal_Exp[[#This Row],[Similar Exposure Group (SEG)]]="ONU",1.4,3.8))))</f>
        <v>1.4</v>
      </c>
      <c r="P52" s="487">
        <f>IF(Dermal_Exp[[#This Row],[Physical Form]]="Liquid",0,IF(Dermal_Exp[[#This Row],[Physical Form]]="Solid",1100/Dermal_Exp[[#This Row],[SA_High-End (Two hands)]],IF(Dermal_Exp[[#This Row],[Physical Form]]="Liquid &amp; Solid",1100/Dermal_Exp[[#This Row],[SA_High-End (Two hands)]],0)))</f>
        <v>0</v>
      </c>
      <c r="Q52" s="487">
        <f>IF(Dermal_Exp[[#This Row],[Physical Form]]="Liquid",0,IF(Dermal_Exp[[#This Row],[Physical Form]]="Solid",450/Dermal_Exp[[#This Row],[SA_Central Tendency (One hand)]],IF(Dermal_Exp[[#This Row],[Physical Form]]="Liquid &amp; Solid",450/Dermal_Exp[[#This Row],[SA_Central Tendency (One hand)]],0)))</f>
        <v>0</v>
      </c>
      <c r="R52" s="317">
        <f>IFERROR(Dermal_Exp[[#This Row],[SA_High-End (Two hands)]]*(Dermal_Exp[[#This Row],[Qu_High-End (Liquid or Mist)]]*Dermal_Exp[[#This Row],[Liquid or Mist]]+Dermal_Exp[[#This Row],[Qu_High-End (Solid)]]*Dermal_Exp[[#This Row],[Solid]])*Dermal_Exp[[#This Row],[FT_High-End]],"Not Assessed")</f>
        <v>2247</v>
      </c>
      <c r="S52" s="317">
        <f>IFERROR(Dermal_Exp[[#This Row],[SA_Central Tendency (One hand)]]*(Dermal_Exp[[#This Row],[Qu_Central Tendency (Liquid or Mist)]]*Dermal_Exp[[#This Row],[Liquid or Mist]]+Dermal_Exp[[#This Row],[Qu_Central Tendency (Solid)]]*Dermal_Exp[[#This Row],[Solid]])*Dermal_Exp[[#This Row],[FT_Central Tendency]],"Not Assessed")</f>
        <v>749</v>
      </c>
      <c r="T52" s="317">
        <f>IFERROR(Dermal_Exp[[#This Row],[APDR_High-End]]/BW_F,"Not Assessed")</f>
        <v>28.087499999999999</v>
      </c>
      <c r="U52" s="317">
        <f>IFERROR(Dermal_Exp[[#This Row],[APDR_Central Tendency]]/BW_F,"Not Assessed")</f>
        <v>9.3625000000000007</v>
      </c>
      <c r="V52" s="317">
        <f>IFERROR(Dermal_Exp[[#This Row],[AAD_High-End]]*IF(Dermal_Exp[[#This Row],[EF_High-End]]&gt;EFID,EFID,Dermal_Exp[[#This Row],[EF_High-End]])/ID,"Not Assessed")</f>
        <v>20.5975</v>
      </c>
      <c r="W52" s="317">
        <f>IFERROR(Dermal_Exp[[#This Row],[AAD_Central Tendency]]*IF(Dermal_Exp[[#This Row],[EF_Central Tendency]]&gt;EFID,EFID,Dermal_Exp[[#This Row],[EF_Central Tendency]])/ID,"Not Assessed")</f>
        <v>6.8658333333333337</v>
      </c>
      <c r="X52" s="317">
        <f>IFERROR(Dermal_Exp[[#This Row],[AAD_High-End]]*Dermal_Exp[[#This Row],[EF_High-End]]*WY_high/(365*WY_high),"Not Assessed")</f>
        <v>19.238013698630137</v>
      </c>
      <c r="Y52" s="317">
        <f>IFERROR(Dermal_Exp[[#This Row],[AAD_Central Tendency]]*Dermal_Exp[[#This Row],[EF_Central Tendency]]*WY_mid/(365*WY_mid),"Not Assessed")</f>
        <v>6.310068493150685</v>
      </c>
    </row>
    <row r="53" spans="1:25" ht="26" x14ac:dyDescent="0.3">
      <c r="A53" s="306">
        <v>6</v>
      </c>
      <c r="B53" s="293" t="s">
        <v>282</v>
      </c>
      <c r="C53" s="308" t="s">
        <v>265</v>
      </c>
      <c r="D53" s="206" t="s">
        <v>73</v>
      </c>
      <c r="E53" s="206" t="s">
        <v>349</v>
      </c>
      <c r="F53" s="206">
        <v>1</v>
      </c>
      <c r="G53" s="486">
        <v>0</v>
      </c>
      <c r="H53" s="300">
        <v>250</v>
      </c>
      <c r="I53" s="300">
        <v>246</v>
      </c>
      <c r="J53" s="487">
        <v>1</v>
      </c>
      <c r="K53" s="487">
        <v>1</v>
      </c>
      <c r="L53" s="488">
        <f>IF(Dermal_Exp[[#This Row],[Worker Type]]="ONU",AH1_cm2_F,AH2_cm2_F)</f>
        <v>1070</v>
      </c>
      <c r="M53" s="488">
        <f t="shared" si="1"/>
        <v>535</v>
      </c>
      <c r="N53" s="487">
        <f>IF(Dermal_Exp[[#This Row],[Physical Form]]="Liquid",2.1,IF(Dermal_Exp[[#This Row],[Physical Form]]="Solid",0,IF(Dermal_Exp[[#This Row],[Physical Form]]="Liquid &amp; Solid",2.1,IF(Dermal_Exp[[#This Row],[Similar Exposure Group (SEG)]]="ONU",1.4,10.3))))</f>
        <v>2.1</v>
      </c>
      <c r="O53" s="487">
        <f>IF(Dermal_Exp[[#This Row],[Physical Form]]="Liquid",1.4,IF(Dermal_Exp[[#This Row],[Physical Form]]="Solid",0,IF(Dermal_Exp[[#This Row],[Physical Form]]="Liquid &amp; Solid",1.4,IF(Dermal_Exp[[#This Row],[Similar Exposure Group (SEG)]]="ONU",1.4,3.8))))</f>
        <v>1.4</v>
      </c>
      <c r="P53" s="487">
        <f>IF(Dermal_Exp[[#This Row],[Physical Form]]="Liquid",0,IF(Dermal_Exp[[#This Row],[Physical Form]]="Solid",1100/Dermal_Exp[[#This Row],[SA_High-End (Two hands)]],IF(Dermal_Exp[[#This Row],[Physical Form]]="Liquid &amp; Solid",1100/Dermal_Exp[[#This Row],[SA_High-End (Two hands)]],0)))</f>
        <v>0</v>
      </c>
      <c r="Q53" s="487">
        <f>IF(Dermal_Exp[[#This Row],[Physical Form]]="Liquid",0,IF(Dermal_Exp[[#This Row],[Physical Form]]="Solid",450/Dermal_Exp[[#This Row],[SA_Central Tendency (One hand)]],IF(Dermal_Exp[[#This Row],[Physical Form]]="Liquid &amp; Solid",450/Dermal_Exp[[#This Row],[SA_Central Tendency (One hand)]],0)))</f>
        <v>0</v>
      </c>
      <c r="R53" s="317">
        <f>IFERROR(Dermal_Exp[[#This Row],[SA_High-End (Two hands)]]*(Dermal_Exp[[#This Row],[Qu_High-End (Liquid or Mist)]]*Dermal_Exp[[#This Row],[Liquid or Mist]]+Dermal_Exp[[#This Row],[Qu_High-End (Solid)]]*Dermal_Exp[[#This Row],[Solid]])*Dermal_Exp[[#This Row],[FT_High-End]],"Not Assessed")</f>
        <v>2247</v>
      </c>
      <c r="S53" s="317">
        <f>IFERROR(Dermal_Exp[[#This Row],[SA_Central Tendency (One hand)]]*(Dermal_Exp[[#This Row],[Qu_Central Tendency (Liquid or Mist)]]*Dermal_Exp[[#This Row],[Liquid or Mist]]+Dermal_Exp[[#This Row],[Qu_Central Tendency (Solid)]]*Dermal_Exp[[#This Row],[Solid]])*Dermal_Exp[[#This Row],[FT_Central Tendency]],"Not Assessed")</f>
        <v>749</v>
      </c>
      <c r="T53" s="317">
        <f>IFERROR(Dermal_Exp[[#This Row],[APDR_High-End]]/BW_F,"Not Assessed")</f>
        <v>28.087499999999999</v>
      </c>
      <c r="U53" s="317">
        <f>IFERROR(Dermal_Exp[[#This Row],[APDR_Central Tendency]]/BW_F,"Not Assessed")</f>
        <v>9.3625000000000007</v>
      </c>
      <c r="V53" s="317">
        <f>IFERROR(Dermal_Exp[[#This Row],[AAD_High-End]]*IF(Dermal_Exp[[#This Row],[EF_High-End]]&gt;EFID,EFID,Dermal_Exp[[#This Row],[EF_High-End]])/ID,"Not Assessed")</f>
        <v>20.5975</v>
      </c>
      <c r="W53" s="317">
        <f>IFERROR(Dermal_Exp[[#This Row],[AAD_Central Tendency]]*IF(Dermal_Exp[[#This Row],[EF_Central Tendency]]&gt;EFID,EFID,Dermal_Exp[[#This Row],[EF_Central Tendency]])/ID,"Not Assessed")</f>
        <v>6.8658333333333337</v>
      </c>
      <c r="X53" s="317">
        <f>IFERROR(Dermal_Exp[[#This Row],[AAD_High-End]]*Dermal_Exp[[#This Row],[EF_High-End]]*WY_high/(365*WY_high),"Not Assessed")</f>
        <v>19.238013698630137</v>
      </c>
      <c r="Y53" s="317">
        <f>IFERROR(Dermal_Exp[[#This Row],[AAD_Central Tendency]]*Dermal_Exp[[#This Row],[EF_Central Tendency]]*WY_mid/(365*WY_mid),"Not Assessed")</f>
        <v>6.310068493150685</v>
      </c>
    </row>
    <row r="54" spans="1:25" ht="26" x14ac:dyDescent="0.3">
      <c r="A54" s="306">
        <v>6</v>
      </c>
      <c r="B54" s="293" t="s">
        <v>282</v>
      </c>
      <c r="C54" s="308" t="s">
        <v>266</v>
      </c>
      <c r="D54" s="206" t="s">
        <v>73</v>
      </c>
      <c r="E54" s="206" t="s">
        <v>349</v>
      </c>
      <c r="F54" s="206">
        <v>1</v>
      </c>
      <c r="G54" s="486">
        <v>0</v>
      </c>
      <c r="H54" s="300">
        <v>250</v>
      </c>
      <c r="I54" s="300">
        <v>246</v>
      </c>
      <c r="J54" s="487">
        <v>1</v>
      </c>
      <c r="K54" s="487">
        <v>1</v>
      </c>
      <c r="L54" s="488">
        <f>IF(Dermal_Exp[[#This Row],[Worker Type]]="ONU",AH1_cm2_F,AH2_cm2_F)</f>
        <v>1070</v>
      </c>
      <c r="M54" s="488">
        <f t="shared" si="1"/>
        <v>535</v>
      </c>
      <c r="N54" s="487">
        <f>IF(Dermal_Exp[[#This Row],[Physical Form]]="Liquid",2.1,IF(Dermal_Exp[[#This Row],[Physical Form]]="Solid",0,IF(Dermal_Exp[[#This Row],[Physical Form]]="Liquid &amp; Solid",2.1,IF(Dermal_Exp[[#This Row],[Similar Exposure Group (SEG)]]="ONU",1.4,10.3))))</f>
        <v>2.1</v>
      </c>
      <c r="O54" s="487">
        <f>IF(Dermal_Exp[[#This Row],[Physical Form]]="Liquid",1.4,IF(Dermal_Exp[[#This Row],[Physical Form]]="Solid",0,IF(Dermal_Exp[[#This Row],[Physical Form]]="Liquid &amp; Solid",1.4,IF(Dermal_Exp[[#This Row],[Similar Exposure Group (SEG)]]="ONU",1.4,3.8))))</f>
        <v>1.4</v>
      </c>
      <c r="P54" s="487">
        <f>IF(Dermal_Exp[[#This Row],[Physical Form]]="Liquid",0,IF(Dermal_Exp[[#This Row],[Physical Form]]="Solid",1100/Dermal_Exp[[#This Row],[SA_High-End (Two hands)]],IF(Dermal_Exp[[#This Row],[Physical Form]]="Liquid &amp; Solid",1100/Dermal_Exp[[#This Row],[SA_High-End (Two hands)]],0)))</f>
        <v>0</v>
      </c>
      <c r="Q54" s="487">
        <f>IF(Dermal_Exp[[#This Row],[Physical Form]]="Liquid",0,IF(Dermal_Exp[[#This Row],[Physical Form]]="Solid",450/Dermal_Exp[[#This Row],[SA_Central Tendency (One hand)]],IF(Dermal_Exp[[#This Row],[Physical Form]]="Liquid &amp; Solid",450/Dermal_Exp[[#This Row],[SA_Central Tendency (One hand)]],0)))</f>
        <v>0</v>
      </c>
      <c r="R54" s="317">
        <f>IFERROR(Dermal_Exp[[#This Row],[SA_High-End (Two hands)]]*(Dermal_Exp[[#This Row],[Qu_High-End (Liquid or Mist)]]*Dermal_Exp[[#This Row],[Liquid or Mist]]+Dermal_Exp[[#This Row],[Qu_High-End (Solid)]]*Dermal_Exp[[#This Row],[Solid]])*Dermal_Exp[[#This Row],[FT_High-End]],"Not Assessed")</f>
        <v>2247</v>
      </c>
      <c r="S54" s="317">
        <f>IFERROR(Dermal_Exp[[#This Row],[SA_Central Tendency (One hand)]]*(Dermal_Exp[[#This Row],[Qu_Central Tendency (Liquid or Mist)]]*Dermal_Exp[[#This Row],[Liquid or Mist]]+Dermal_Exp[[#This Row],[Qu_Central Tendency (Solid)]]*Dermal_Exp[[#This Row],[Solid]])*Dermal_Exp[[#This Row],[FT_Central Tendency]],"Not Assessed")</f>
        <v>749</v>
      </c>
      <c r="T54" s="317">
        <f>IFERROR(Dermal_Exp[[#This Row],[APDR_High-End]]/BW_F,"Not Assessed")</f>
        <v>28.087499999999999</v>
      </c>
      <c r="U54" s="317">
        <f>IFERROR(Dermal_Exp[[#This Row],[APDR_Central Tendency]]/BW_F,"Not Assessed")</f>
        <v>9.3625000000000007</v>
      </c>
      <c r="V54" s="317">
        <f>IFERROR(Dermal_Exp[[#This Row],[AAD_High-End]]*IF(Dermal_Exp[[#This Row],[EF_High-End]]&gt;EFID,EFID,Dermal_Exp[[#This Row],[EF_High-End]])/ID,"Not Assessed")</f>
        <v>20.5975</v>
      </c>
      <c r="W54" s="317">
        <f>IFERROR(Dermal_Exp[[#This Row],[AAD_Central Tendency]]*IF(Dermal_Exp[[#This Row],[EF_Central Tendency]]&gt;EFID,EFID,Dermal_Exp[[#This Row],[EF_Central Tendency]])/ID,"Not Assessed")</f>
        <v>6.8658333333333337</v>
      </c>
      <c r="X54" s="317">
        <f>IFERROR(Dermal_Exp[[#This Row],[AAD_High-End]]*Dermal_Exp[[#This Row],[EF_High-End]]*WY_high/(365*WY_high),"Not Assessed")</f>
        <v>19.238013698630137</v>
      </c>
      <c r="Y54" s="317">
        <f>IFERROR(Dermal_Exp[[#This Row],[AAD_Central Tendency]]*Dermal_Exp[[#This Row],[EF_Central Tendency]]*WY_mid/(365*WY_mid),"Not Assessed")</f>
        <v>6.310068493150685</v>
      </c>
    </row>
    <row r="55" spans="1:25" ht="26" x14ac:dyDescent="0.3">
      <c r="A55" s="306">
        <v>6</v>
      </c>
      <c r="B55" s="293" t="s">
        <v>282</v>
      </c>
      <c r="C55" s="308" t="s">
        <v>267</v>
      </c>
      <c r="D55" s="206" t="s">
        <v>73</v>
      </c>
      <c r="E55" s="206" t="s">
        <v>349</v>
      </c>
      <c r="F55" s="206">
        <v>1</v>
      </c>
      <c r="G55" s="486">
        <v>0</v>
      </c>
      <c r="H55" s="300">
        <v>250</v>
      </c>
      <c r="I55" s="300">
        <v>246</v>
      </c>
      <c r="J55" s="487">
        <v>1</v>
      </c>
      <c r="K55" s="487">
        <v>1</v>
      </c>
      <c r="L55" s="488">
        <f>IF(Dermal_Exp[[#This Row],[Worker Type]]="ONU",AH1_cm2_F,AH2_cm2_F)</f>
        <v>1070</v>
      </c>
      <c r="M55" s="488">
        <f t="shared" si="1"/>
        <v>535</v>
      </c>
      <c r="N55" s="487">
        <f>IF(Dermal_Exp[[#This Row],[Physical Form]]="Liquid",2.1,IF(Dermal_Exp[[#This Row],[Physical Form]]="Solid",0,IF(Dermal_Exp[[#This Row],[Physical Form]]="Liquid &amp; Solid",2.1,IF(Dermal_Exp[[#This Row],[Similar Exposure Group (SEG)]]="ONU",1.4,10.3))))</f>
        <v>2.1</v>
      </c>
      <c r="O55" s="487">
        <f>IF(Dermal_Exp[[#This Row],[Physical Form]]="Liquid",1.4,IF(Dermal_Exp[[#This Row],[Physical Form]]="Solid",0,IF(Dermal_Exp[[#This Row],[Physical Form]]="Liquid &amp; Solid",1.4,IF(Dermal_Exp[[#This Row],[Similar Exposure Group (SEG)]]="ONU",1.4,3.8))))</f>
        <v>1.4</v>
      </c>
      <c r="P55" s="487">
        <f>IF(Dermal_Exp[[#This Row],[Physical Form]]="Liquid",0,IF(Dermal_Exp[[#This Row],[Physical Form]]="Solid",1100/Dermal_Exp[[#This Row],[SA_High-End (Two hands)]],IF(Dermal_Exp[[#This Row],[Physical Form]]="Liquid &amp; Solid",1100/Dermal_Exp[[#This Row],[SA_High-End (Two hands)]],0)))</f>
        <v>0</v>
      </c>
      <c r="Q55" s="487">
        <f>IF(Dermal_Exp[[#This Row],[Physical Form]]="Liquid",0,IF(Dermal_Exp[[#This Row],[Physical Form]]="Solid",450/Dermal_Exp[[#This Row],[SA_Central Tendency (One hand)]],IF(Dermal_Exp[[#This Row],[Physical Form]]="Liquid &amp; Solid",450/Dermal_Exp[[#This Row],[SA_Central Tendency (One hand)]],0)))</f>
        <v>0</v>
      </c>
      <c r="R55" s="317">
        <f>IFERROR(Dermal_Exp[[#This Row],[SA_High-End (Two hands)]]*(Dermal_Exp[[#This Row],[Qu_High-End (Liquid or Mist)]]*Dermal_Exp[[#This Row],[Liquid or Mist]]+Dermal_Exp[[#This Row],[Qu_High-End (Solid)]]*Dermal_Exp[[#This Row],[Solid]])*Dermal_Exp[[#This Row],[FT_High-End]],"Not Assessed")</f>
        <v>2247</v>
      </c>
      <c r="S55" s="317">
        <f>IFERROR(Dermal_Exp[[#This Row],[SA_Central Tendency (One hand)]]*(Dermal_Exp[[#This Row],[Qu_Central Tendency (Liquid or Mist)]]*Dermal_Exp[[#This Row],[Liquid or Mist]]+Dermal_Exp[[#This Row],[Qu_Central Tendency (Solid)]]*Dermal_Exp[[#This Row],[Solid]])*Dermal_Exp[[#This Row],[FT_Central Tendency]],"Not Assessed")</f>
        <v>749</v>
      </c>
      <c r="T55" s="317">
        <f>IFERROR(Dermal_Exp[[#This Row],[APDR_High-End]]/BW_F,"Not Assessed")</f>
        <v>28.087499999999999</v>
      </c>
      <c r="U55" s="317">
        <f>IFERROR(Dermal_Exp[[#This Row],[APDR_Central Tendency]]/BW_F,"Not Assessed")</f>
        <v>9.3625000000000007</v>
      </c>
      <c r="V55" s="317">
        <f>IFERROR(Dermal_Exp[[#This Row],[AAD_High-End]]*IF(Dermal_Exp[[#This Row],[EF_High-End]]&gt;EFID,EFID,Dermal_Exp[[#This Row],[EF_High-End]])/ID,"Not Assessed")</f>
        <v>20.5975</v>
      </c>
      <c r="W55" s="317">
        <f>IFERROR(Dermal_Exp[[#This Row],[AAD_Central Tendency]]*IF(Dermal_Exp[[#This Row],[EF_Central Tendency]]&gt;EFID,EFID,Dermal_Exp[[#This Row],[EF_Central Tendency]])/ID,"Not Assessed")</f>
        <v>6.8658333333333337</v>
      </c>
      <c r="X55" s="317">
        <f>IFERROR(Dermal_Exp[[#This Row],[AAD_High-End]]*Dermal_Exp[[#This Row],[EF_High-End]]*WY_high/(365*WY_high),"Not Assessed")</f>
        <v>19.238013698630137</v>
      </c>
      <c r="Y55" s="317">
        <f>IFERROR(Dermal_Exp[[#This Row],[AAD_Central Tendency]]*Dermal_Exp[[#This Row],[EF_Central Tendency]]*WY_mid/(365*WY_mid),"Not Assessed")</f>
        <v>6.310068493150685</v>
      </c>
    </row>
    <row r="56" spans="1:25" ht="26" x14ac:dyDescent="0.3">
      <c r="A56" s="306">
        <v>6</v>
      </c>
      <c r="B56" s="293" t="s">
        <v>282</v>
      </c>
      <c r="C56" s="308" t="s">
        <v>268</v>
      </c>
      <c r="D56" s="206" t="s">
        <v>73</v>
      </c>
      <c r="E56" s="206" t="s">
        <v>349</v>
      </c>
      <c r="F56" s="206">
        <v>1</v>
      </c>
      <c r="G56" s="486">
        <v>0</v>
      </c>
      <c r="H56" s="300">
        <v>250</v>
      </c>
      <c r="I56" s="300">
        <v>246</v>
      </c>
      <c r="J56" s="487">
        <v>1</v>
      </c>
      <c r="K56" s="487">
        <v>1</v>
      </c>
      <c r="L56" s="488">
        <f>IF(Dermal_Exp[[#This Row],[Worker Type]]="ONU",AH1_cm2_F,AH2_cm2_F)</f>
        <v>1070</v>
      </c>
      <c r="M56" s="488">
        <f t="shared" si="1"/>
        <v>535</v>
      </c>
      <c r="N56" s="487">
        <f>IF(Dermal_Exp[[#This Row],[Physical Form]]="Liquid",2.1,IF(Dermal_Exp[[#This Row],[Physical Form]]="Solid",0,IF(Dermal_Exp[[#This Row],[Physical Form]]="Liquid &amp; Solid",2.1,IF(Dermal_Exp[[#This Row],[Similar Exposure Group (SEG)]]="ONU",1.4,10.3))))</f>
        <v>2.1</v>
      </c>
      <c r="O56" s="487">
        <f>IF(Dermal_Exp[[#This Row],[Physical Form]]="Liquid",1.4,IF(Dermal_Exp[[#This Row],[Physical Form]]="Solid",0,IF(Dermal_Exp[[#This Row],[Physical Form]]="Liquid &amp; Solid",1.4,IF(Dermal_Exp[[#This Row],[Similar Exposure Group (SEG)]]="ONU",1.4,3.8))))</f>
        <v>1.4</v>
      </c>
      <c r="P56" s="487">
        <f>IF(Dermal_Exp[[#This Row],[Physical Form]]="Liquid",0,IF(Dermal_Exp[[#This Row],[Physical Form]]="Solid",1100/Dermal_Exp[[#This Row],[SA_High-End (Two hands)]],IF(Dermal_Exp[[#This Row],[Physical Form]]="Liquid &amp; Solid",1100/Dermal_Exp[[#This Row],[SA_High-End (Two hands)]],0)))</f>
        <v>0</v>
      </c>
      <c r="Q56" s="487">
        <f>IF(Dermal_Exp[[#This Row],[Physical Form]]="Liquid",0,IF(Dermal_Exp[[#This Row],[Physical Form]]="Solid",450/Dermal_Exp[[#This Row],[SA_Central Tendency (One hand)]],IF(Dermal_Exp[[#This Row],[Physical Form]]="Liquid &amp; Solid",450/Dermal_Exp[[#This Row],[SA_Central Tendency (One hand)]],0)))</f>
        <v>0</v>
      </c>
      <c r="R56" s="317">
        <f>IFERROR(Dermal_Exp[[#This Row],[SA_High-End (Two hands)]]*(Dermal_Exp[[#This Row],[Qu_High-End (Liquid or Mist)]]*Dermal_Exp[[#This Row],[Liquid or Mist]]+Dermal_Exp[[#This Row],[Qu_High-End (Solid)]]*Dermal_Exp[[#This Row],[Solid]])*Dermal_Exp[[#This Row],[FT_High-End]],"Not Assessed")</f>
        <v>2247</v>
      </c>
      <c r="S56" s="317">
        <f>IFERROR(Dermal_Exp[[#This Row],[SA_Central Tendency (One hand)]]*(Dermal_Exp[[#This Row],[Qu_Central Tendency (Liquid or Mist)]]*Dermal_Exp[[#This Row],[Liquid or Mist]]+Dermal_Exp[[#This Row],[Qu_Central Tendency (Solid)]]*Dermal_Exp[[#This Row],[Solid]])*Dermal_Exp[[#This Row],[FT_Central Tendency]],"Not Assessed")</f>
        <v>749</v>
      </c>
      <c r="T56" s="317">
        <f>IFERROR(Dermal_Exp[[#This Row],[APDR_High-End]]/BW_F,"Not Assessed")</f>
        <v>28.087499999999999</v>
      </c>
      <c r="U56" s="317">
        <f>IFERROR(Dermal_Exp[[#This Row],[APDR_Central Tendency]]/BW_F,"Not Assessed")</f>
        <v>9.3625000000000007</v>
      </c>
      <c r="V56" s="317">
        <f>IFERROR(Dermal_Exp[[#This Row],[AAD_High-End]]*IF(Dermal_Exp[[#This Row],[EF_High-End]]&gt;EFID,EFID,Dermal_Exp[[#This Row],[EF_High-End]])/ID,"Not Assessed")</f>
        <v>20.5975</v>
      </c>
      <c r="W56" s="317">
        <f>IFERROR(Dermal_Exp[[#This Row],[AAD_Central Tendency]]*IF(Dermal_Exp[[#This Row],[EF_Central Tendency]]&gt;EFID,EFID,Dermal_Exp[[#This Row],[EF_Central Tendency]])/ID,"Not Assessed")</f>
        <v>6.8658333333333337</v>
      </c>
      <c r="X56" s="317">
        <f>IFERROR(Dermal_Exp[[#This Row],[AAD_High-End]]*Dermal_Exp[[#This Row],[EF_High-End]]*WY_high/(365*WY_high),"Not Assessed")</f>
        <v>19.238013698630137</v>
      </c>
      <c r="Y56" s="317">
        <f>IFERROR(Dermal_Exp[[#This Row],[AAD_Central Tendency]]*Dermal_Exp[[#This Row],[EF_Central Tendency]]*WY_mid/(365*WY_mid),"Not Assessed")</f>
        <v>6.310068493150685</v>
      </c>
    </row>
    <row r="57" spans="1:25" x14ac:dyDescent="0.3">
      <c r="A57" s="306">
        <v>6</v>
      </c>
      <c r="B57" s="293" t="s">
        <v>285</v>
      </c>
      <c r="C57" s="308" t="s">
        <v>73</v>
      </c>
      <c r="D57" s="206" t="s">
        <v>73</v>
      </c>
      <c r="E57" s="206" t="s">
        <v>349</v>
      </c>
      <c r="F57" s="206">
        <v>0.55000000000000004</v>
      </c>
      <c r="G57" s="486">
        <v>0</v>
      </c>
      <c r="H57" s="300">
        <v>250</v>
      </c>
      <c r="I57" s="300">
        <v>235</v>
      </c>
      <c r="J57" s="487">
        <v>1</v>
      </c>
      <c r="K57" s="487">
        <v>1</v>
      </c>
      <c r="L57" s="488">
        <f>IF(Dermal_Exp[[#This Row],[Worker Type]]="ONU",AH1_cm2_F,AH2_cm2_F)</f>
        <v>1070</v>
      </c>
      <c r="M57" s="488">
        <f t="shared" si="1"/>
        <v>535</v>
      </c>
      <c r="N57" s="487">
        <f>IF(Dermal_Exp[[#This Row],[Physical Form]]="Liquid",2.1,IF(Dermal_Exp[[#This Row],[Physical Form]]="Solid",0,IF(Dermal_Exp[[#This Row],[Physical Form]]="Liquid &amp; Solid",2.1,IF(Dermal_Exp[[#This Row],[Similar Exposure Group (SEG)]]="ONU",1.4,10.3))))</f>
        <v>2.1</v>
      </c>
      <c r="O57" s="487">
        <f>IF(Dermal_Exp[[#This Row],[Physical Form]]="Liquid",1.4,IF(Dermal_Exp[[#This Row],[Physical Form]]="Solid",0,IF(Dermal_Exp[[#This Row],[Physical Form]]="Liquid &amp; Solid",1.4,IF(Dermal_Exp[[#This Row],[Similar Exposure Group (SEG)]]="ONU",1.4,3.8))))</f>
        <v>1.4</v>
      </c>
      <c r="P57" s="487">
        <f>IF(Dermal_Exp[[#This Row],[Physical Form]]="Liquid",0,IF(Dermal_Exp[[#This Row],[Physical Form]]="Solid",1100/Dermal_Exp[[#This Row],[SA_High-End (Two hands)]],IF(Dermal_Exp[[#This Row],[Physical Form]]="Liquid &amp; Solid",1100/Dermal_Exp[[#This Row],[SA_High-End (Two hands)]],0)))</f>
        <v>0</v>
      </c>
      <c r="Q57" s="487">
        <f>IF(Dermal_Exp[[#This Row],[Physical Form]]="Liquid",0,IF(Dermal_Exp[[#This Row],[Physical Form]]="Solid",450/Dermal_Exp[[#This Row],[SA_Central Tendency (One hand)]],IF(Dermal_Exp[[#This Row],[Physical Form]]="Liquid &amp; Solid",450/Dermal_Exp[[#This Row],[SA_Central Tendency (One hand)]],0)))</f>
        <v>0</v>
      </c>
      <c r="R57" s="317">
        <f>IFERROR(Dermal_Exp[[#This Row],[SA_High-End (Two hands)]]*(Dermal_Exp[[#This Row],[Qu_High-End (Liquid or Mist)]]*Dermal_Exp[[#This Row],[Liquid or Mist]]+Dermal_Exp[[#This Row],[Qu_High-End (Solid)]]*Dermal_Exp[[#This Row],[Solid]])*Dermal_Exp[[#This Row],[FT_High-End]],"Not Assessed")</f>
        <v>1235.8500000000004</v>
      </c>
      <c r="S57" s="317">
        <f>IFERROR(Dermal_Exp[[#This Row],[SA_Central Tendency (One hand)]]*(Dermal_Exp[[#This Row],[Qu_Central Tendency (Liquid or Mist)]]*Dermal_Exp[[#This Row],[Liquid or Mist]]+Dermal_Exp[[#This Row],[Qu_Central Tendency (Solid)]]*Dermal_Exp[[#This Row],[Solid]])*Dermal_Exp[[#This Row],[FT_Central Tendency]],"Not Assessed")</f>
        <v>411.95</v>
      </c>
      <c r="T57" s="317">
        <f>IFERROR(Dermal_Exp[[#This Row],[APDR_High-End]]/BW_F,"Not Assessed")</f>
        <v>15.448125000000005</v>
      </c>
      <c r="U57" s="317">
        <f>IFERROR(Dermal_Exp[[#This Row],[APDR_Central Tendency]]/BW_F,"Not Assessed")</f>
        <v>5.149375</v>
      </c>
      <c r="V57" s="317">
        <f>IFERROR(Dermal_Exp[[#This Row],[AAD_High-End]]*IF(Dermal_Exp[[#This Row],[EF_High-End]]&gt;EFID,EFID,Dermal_Exp[[#This Row],[EF_High-End]])/ID,"Not Assessed")</f>
        <v>11.328625000000004</v>
      </c>
      <c r="W57" s="317">
        <f>IFERROR(Dermal_Exp[[#This Row],[AAD_Central Tendency]]*IF(Dermal_Exp[[#This Row],[EF_Central Tendency]]&gt;EFID,EFID,Dermal_Exp[[#This Row],[EF_Central Tendency]])/ID,"Not Assessed")</f>
        <v>3.7762083333333334</v>
      </c>
      <c r="X57" s="317">
        <f>IFERROR(Dermal_Exp[[#This Row],[AAD_High-End]]*Dermal_Exp[[#This Row],[EF_High-End]]*WY_high/(365*WY_high),"Not Assessed")</f>
        <v>10.580907534246577</v>
      </c>
      <c r="Y57" s="317">
        <f>IFERROR(Dermal_Exp[[#This Row],[AAD_Central Tendency]]*Dermal_Exp[[#This Row],[EF_Central Tendency]]*WY_mid/(365*WY_mid),"Not Assessed")</f>
        <v>3.3153510273972606</v>
      </c>
    </row>
    <row r="58" spans="1:25" ht="26" x14ac:dyDescent="0.3">
      <c r="A58" s="306">
        <v>6</v>
      </c>
      <c r="B58" s="293" t="s">
        <v>285</v>
      </c>
      <c r="C58" s="308" t="s">
        <v>54</v>
      </c>
      <c r="D58" s="206" t="s">
        <v>54</v>
      </c>
      <c r="E58" s="206" t="s">
        <v>421</v>
      </c>
      <c r="F58" s="206">
        <v>0.55000000000000004</v>
      </c>
      <c r="G58" s="486">
        <v>0</v>
      </c>
      <c r="H58" s="300">
        <v>250</v>
      </c>
      <c r="I58" s="300">
        <v>235</v>
      </c>
      <c r="J58" s="487">
        <v>1</v>
      </c>
      <c r="K58" s="487">
        <v>1</v>
      </c>
      <c r="L58" s="488">
        <f>IF(Dermal_Exp[[#This Row],[Worker Type]]="ONU",AH1_cm2_F,AH2_cm2_F)</f>
        <v>535</v>
      </c>
      <c r="M58" s="488">
        <f>AH1_cm2_F</f>
        <v>535</v>
      </c>
      <c r="N58" s="488">
        <f>IF(Dermal_Exp[[#This Row],[Physical Form]]="Liquid",2.1,IF(Dermal_Exp[[#This Row],[Physical Form]]="Solid",0,IF(Dermal_Exp[[#This Row],[Physical Form]]="Liquid &amp; Solid",2.1,IF(Dermal_Exp[[#This Row],[Similar Exposure Group (SEG)]]="ONU",1.4,10.3))))</f>
        <v>1.4</v>
      </c>
      <c r="O58" s="488">
        <f>IF(Dermal_Exp[[#This Row],[Physical Form]]="Liquid",1.4,IF(Dermal_Exp[[#This Row],[Physical Form]]="Solid",0,IF(Dermal_Exp[[#This Row],[Physical Form]]="Liquid &amp; Solid",1.4,IF(Dermal_Exp[[#This Row],[Similar Exposure Group (SEG)]]="ONU",1.4,3.8))))</f>
        <v>1.4</v>
      </c>
      <c r="P58" s="488">
        <f>IF(Dermal_Exp[[#This Row],[Physical Form]]="Liquid",0,IF(Dermal_Exp[[#This Row],[Physical Form]]="Solid",1100/Dermal_Exp[[#This Row],[SA_High-End (Two hands)]],IF(Dermal_Exp[[#This Row],[Physical Form]]="Liquid &amp; Solid",1100/Dermal_Exp[[#This Row],[SA_High-End (Two hands)]],0)))</f>
        <v>0</v>
      </c>
      <c r="Q58" s="488">
        <f>IF(Dermal_Exp[[#This Row],[Physical Form]]="Liquid",0,IF(Dermal_Exp[[#This Row],[Physical Form]]="Solid",450/Dermal_Exp[[#This Row],[SA_Central Tendency (One hand)]],IF(Dermal_Exp[[#This Row],[Physical Form]]="Liquid &amp; Solid",450/Dermal_Exp[[#This Row],[SA_Central Tendency (One hand)]],0)))</f>
        <v>0</v>
      </c>
      <c r="R58" s="317">
        <f>IFERROR(Dermal_Exp[[#This Row],[SA_High-End (Two hands)]]*(Dermal_Exp[[#This Row],[Qu_High-End (Liquid or Mist)]]*Dermal_Exp[[#This Row],[Liquid or Mist]]+Dermal_Exp[[#This Row],[Qu_High-End (Solid)]]*Dermal_Exp[[#This Row],[Solid]])*Dermal_Exp[[#This Row],[FT_High-End]],"Not Assessed")</f>
        <v>411.95</v>
      </c>
      <c r="S58" s="317">
        <f>IFERROR(Dermal_Exp[[#This Row],[SA_Central Tendency (One hand)]]*(Dermal_Exp[[#This Row],[Qu_Central Tendency (Liquid or Mist)]]*Dermal_Exp[[#This Row],[Liquid or Mist]]+Dermal_Exp[[#This Row],[Qu_Central Tendency (Solid)]]*Dermal_Exp[[#This Row],[Solid]])*Dermal_Exp[[#This Row],[FT_Central Tendency]],"Not Assessed")</f>
        <v>411.95</v>
      </c>
      <c r="T58" s="317">
        <f>IFERROR(Dermal_Exp[[#This Row],[APDR_High-End]]/BW_F,"Not Assessed")</f>
        <v>5.149375</v>
      </c>
      <c r="U58" s="317">
        <f>IFERROR(Dermal_Exp[[#This Row],[APDR_Central Tendency]]/BW_F,"Not Assessed")</f>
        <v>5.149375</v>
      </c>
      <c r="V58" s="507">
        <f>IFERROR(Dermal_Exp[[#This Row],[AAD_High-End]]*IF(Dermal_Exp[[#This Row],[EF_High-End]]&gt;EFID,EFID,Dermal_Exp[[#This Row],[EF_High-End]])/ID,"Not Assessed")</f>
        <v>3.7762083333333334</v>
      </c>
      <c r="W58" s="317">
        <f>IFERROR(Dermal_Exp[[#This Row],[AAD_Central Tendency]]*IF(Dermal_Exp[[#This Row],[EF_Central Tendency]]&gt;EFID,EFID,Dermal_Exp[[#This Row],[EF_Central Tendency]])/ID,"Not Assessed")</f>
        <v>3.7762083333333334</v>
      </c>
      <c r="X58" s="317">
        <f>IFERROR(Dermal_Exp[[#This Row],[AAD_High-End]]*Dermal_Exp[[#This Row],[EF_High-End]]*WY_high/(365*WY_high),"Not Assessed")</f>
        <v>3.5269691780821919</v>
      </c>
      <c r="Y58" s="317">
        <f>IFERROR(Dermal_Exp[[#This Row],[AAD_Central Tendency]]*Dermal_Exp[[#This Row],[EF_Central Tendency]]*WY_mid/(365*WY_mid),"Not Assessed")</f>
        <v>3.3153510273972606</v>
      </c>
    </row>
    <row r="59" spans="1:25" s="497" customFormat="1" x14ac:dyDescent="0.3">
      <c r="A59" s="498">
        <v>6</v>
      </c>
      <c r="B59" s="514" t="s">
        <v>283</v>
      </c>
      <c r="C59" s="491" t="s">
        <v>73</v>
      </c>
      <c r="D59" s="492" t="s">
        <v>73</v>
      </c>
      <c r="E59" s="492" t="s">
        <v>349</v>
      </c>
      <c r="F59" s="492">
        <v>0.1</v>
      </c>
      <c r="G59" s="493">
        <v>0</v>
      </c>
      <c r="H59" s="494">
        <v>250</v>
      </c>
      <c r="I59" s="494">
        <v>250</v>
      </c>
      <c r="J59" s="495">
        <v>1</v>
      </c>
      <c r="K59" s="495">
        <v>1</v>
      </c>
      <c r="L59" s="510">
        <f>IF(Dermal_Exp[[#This Row],[Worker Type]]="ONU",AH1_cm2_F,AH2_cm2_F)</f>
        <v>1070</v>
      </c>
      <c r="M59" s="510">
        <f t="shared" si="1"/>
        <v>535</v>
      </c>
      <c r="N59" s="495">
        <f>IF(Dermal_Exp[[#This Row],[Physical Form]]="Liquid",2.1,IF(Dermal_Exp[[#This Row],[Physical Form]]="Solid",0,IF(Dermal_Exp[[#This Row],[Physical Form]]="Liquid &amp; Solid",2.1,IF(Dermal_Exp[[#This Row],[Similar Exposure Group (SEG)]]="ONU",1.4,10.3))))</f>
        <v>2.1</v>
      </c>
      <c r="O59" s="495">
        <f>IF(Dermal_Exp[[#This Row],[Physical Form]]="Liquid",1.4,IF(Dermal_Exp[[#This Row],[Physical Form]]="Solid",0,IF(Dermal_Exp[[#This Row],[Physical Form]]="Liquid &amp; Solid",1.4,IF(Dermal_Exp[[#This Row],[Similar Exposure Group (SEG)]]="ONU",1.4,3.8))))</f>
        <v>1.4</v>
      </c>
      <c r="P59" s="495">
        <f>IF(Dermal_Exp[[#This Row],[Physical Form]]="Liquid",0,IF(Dermal_Exp[[#This Row],[Physical Form]]="Solid",1100/Dermal_Exp[[#This Row],[SA_High-End (Two hands)]],IF(Dermal_Exp[[#This Row],[Physical Form]]="Liquid &amp; Solid",1100/Dermal_Exp[[#This Row],[SA_High-End (Two hands)]],0)))</f>
        <v>0</v>
      </c>
      <c r="Q59" s="495">
        <f>IF(Dermal_Exp[[#This Row],[Physical Form]]="Liquid",0,IF(Dermal_Exp[[#This Row],[Physical Form]]="Solid",450/Dermal_Exp[[#This Row],[SA_Central Tendency (One hand)]],IF(Dermal_Exp[[#This Row],[Physical Form]]="Liquid &amp; Solid",450/Dermal_Exp[[#This Row],[SA_Central Tendency (One hand)]],0)))</f>
        <v>0</v>
      </c>
      <c r="R59" s="496">
        <f>IFERROR(Dermal_Exp[[#This Row],[SA_High-End (Two hands)]]*(Dermal_Exp[[#This Row],[Qu_High-End (Liquid or Mist)]]*Dermal_Exp[[#This Row],[Liquid or Mist]]+Dermal_Exp[[#This Row],[Qu_High-End (Solid)]]*Dermal_Exp[[#This Row],[Solid]])*Dermal_Exp[[#This Row],[FT_High-End]],"Not Assessed")</f>
        <v>224.70000000000002</v>
      </c>
      <c r="S59" s="496">
        <f>IFERROR(Dermal_Exp[[#This Row],[SA_Central Tendency (One hand)]]*(Dermal_Exp[[#This Row],[Qu_Central Tendency (Liquid or Mist)]]*Dermal_Exp[[#This Row],[Liquid or Mist]]+Dermal_Exp[[#This Row],[Qu_Central Tendency (Solid)]]*Dermal_Exp[[#This Row],[Solid]])*Dermal_Exp[[#This Row],[FT_Central Tendency]],"Not Assessed")</f>
        <v>74.899999999999991</v>
      </c>
      <c r="T59" s="496">
        <f>IFERROR(Dermal_Exp[[#This Row],[APDR_High-End]]/BW_F,"Not Assessed")</f>
        <v>2.8087500000000003</v>
      </c>
      <c r="U59" s="496">
        <f>IFERROR(Dermal_Exp[[#This Row],[APDR_Central Tendency]]/BW_F,"Not Assessed")</f>
        <v>0.93624999999999992</v>
      </c>
      <c r="V59" s="496">
        <f>IFERROR(Dermal_Exp[[#This Row],[AAD_High-End]]*IF(Dermal_Exp[[#This Row],[EF_High-End]]&gt;EFID,EFID,Dermal_Exp[[#This Row],[EF_High-End]])/ID,"Not Assessed")</f>
        <v>2.0597500000000002</v>
      </c>
      <c r="W59" s="496">
        <f>IFERROR(Dermal_Exp[[#This Row],[AAD_Central Tendency]]*IF(Dermal_Exp[[#This Row],[EF_Central Tendency]]&gt;EFID,EFID,Dermal_Exp[[#This Row],[EF_Central Tendency]])/ID,"Not Assessed")</f>
        <v>0.68658333333333321</v>
      </c>
      <c r="X59" s="496">
        <f>IFERROR(Dermal_Exp[[#This Row],[AAD_High-End]]*Dermal_Exp[[#This Row],[EF_High-End]]*WY_high/(365*WY_high),"Not Assessed")</f>
        <v>1.9238013698630139</v>
      </c>
      <c r="Y59" s="496">
        <f>IFERROR(Dermal_Exp[[#This Row],[AAD_Central Tendency]]*Dermal_Exp[[#This Row],[EF_Central Tendency]]*WY_mid/(365*WY_mid),"Not Assessed")</f>
        <v>0.6412671232876711</v>
      </c>
    </row>
    <row r="60" spans="1:25" s="497" customFormat="1" ht="26" x14ac:dyDescent="0.3">
      <c r="A60" s="498">
        <v>6</v>
      </c>
      <c r="B60" s="514" t="s">
        <v>283</v>
      </c>
      <c r="C60" s="491" t="s">
        <v>54</v>
      </c>
      <c r="D60" s="492" t="s">
        <v>54</v>
      </c>
      <c r="E60" s="492" t="s">
        <v>421</v>
      </c>
      <c r="F60" s="492">
        <v>0.1</v>
      </c>
      <c r="G60" s="493">
        <v>0</v>
      </c>
      <c r="H60" s="494">
        <v>250</v>
      </c>
      <c r="I60" s="494">
        <v>250</v>
      </c>
      <c r="J60" s="495">
        <v>1</v>
      </c>
      <c r="K60" s="495">
        <v>1</v>
      </c>
      <c r="L60" s="510">
        <f>IF(Dermal_Exp[[#This Row],[Worker Type]]="ONU",AH1_cm2_F,AH2_cm2_F)</f>
        <v>535</v>
      </c>
      <c r="M60" s="510">
        <f t="shared" si="1"/>
        <v>535</v>
      </c>
      <c r="N60" s="495">
        <f>IF(Dermal_Exp[[#This Row],[Physical Form]]="Liquid",2.1,IF(Dermal_Exp[[#This Row],[Physical Form]]="Solid",0,IF(Dermal_Exp[[#This Row],[Physical Form]]="Liquid &amp; Solid",2.1,IF(Dermal_Exp[[#This Row],[Similar Exposure Group (SEG)]]="ONU",1.4,10.3))))</f>
        <v>1.4</v>
      </c>
      <c r="O60" s="495">
        <f>IF(Dermal_Exp[[#This Row],[Physical Form]]="Liquid",1.4,IF(Dermal_Exp[[#This Row],[Physical Form]]="Solid",0,IF(Dermal_Exp[[#This Row],[Physical Form]]="Liquid &amp; Solid",1.4,IF(Dermal_Exp[[#This Row],[Similar Exposure Group (SEG)]]="ONU",1.4,3.8))))</f>
        <v>1.4</v>
      </c>
      <c r="P60" s="495">
        <f>IF(Dermal_Exp[[#This Row],[Physical Form]]="Liquid",0,IF(Dermal_Exp[[#This Row],[Physical Form]]="Solid",1100/Dermal_Exp[[#This Row],[SA_High-End (Two hands)]],IF(Dermal_Exp[[#This Row],[Physical Form]]="Liquid &amp; Solid",1100/Dermal_Exp[[#This Row],[SA_High-End (Two hands)]],0)))</f>
        <v>0</v>
      </c>
      <c r="Q60" s="495">
        <f>IF(Dermal_Exp[[#This Row],[Physical Form]]="Liquid",0,IF(Dermal_Exp[[#This Row],[Physical Form]]="Solid",450/Dermal_Exp[[#This Row],[SA_Central Tendency (One hand)]],IF(Dermal_Exp[[#This Row],[Physical Form]]="Liquid &amp; Solid",450/Dermal_Exp[[#This Row],[SA_Central Tendency (One hand)]],0)))</f>
        <v>0</v>
      </c>
      <c r="R60" s="496">
        <f>IFERROR(Dermal_Exp[[#This Row],[SA_High-End (Two hands)]]*(Dermal_Exp[[#This Row],[Qu_High-End (Liquid or Mist)]]*Dermal_Exp[[#This Row],[Liquid or Mist]]+Dermal_Exp[[#This Row],[Qu_High-End (Solid)]]*Dermal_Exp[[#This Row],[Solid]])*Dermal_Exp[[#This Row],[FT_High-End]],"Not Assessed")</f>
        <v>74.899999999999991</v>
      </c>
      <c r="S60" s="496">
        <f>IFERROR(Dermal_Exp[[#This Row],[SA_Central Tendency (One hand)]]*(Dermal_Exp[[#This Row],[Qu_Central Tendency (Liquid or Mist)]]*Dermal_Exp[[#This Row],[Liquid or Mist]]+Dermal_Exp[[#This Row],[Qu_Central Tendency (Solid)]]*Dermal_Exp[[#This Row],[Solid]])*Dermal_Exp[[#This Row],[FT_Central Tendency]],"Not Assessed")</f>
        <v>74.899999999999991</v>
      </c>
      <c r="T60" s="496">
        <f>IFERROR(Dermal_Exp[[#This Row],[APDR_High-End]]/BW_F,"Not Assessed")</f>
        <v>0.93624999999999992</v>
      </c>
      <c r="U60" s="496">
        <f>IFERROR(Dermal_Exp[[#This Row],[APDR_Central Tendency]]/BW_F,"Not Assessed")</f>
        <v>0.93624999999999992</v>
      </c>
      <c r="V60" s="496">
        <f>IFERROR(Dermal_Exp[[#This Row],[AAD_High-End]]*IF(Dermal_Exp[[#This Row],[EF_High-End]]&gt;EFID,EFID,Dermal_Exp[[#This Row],[EF_High-End]])/ID,"Not Assessed")</f>
        <v>0.68658333333333321</v>
      </c>
      <c r="W60" s="496">
        <f>IFERROR(Dermal_Exp[[#This Row],[AAD_Central Tendency]]*IF(Dermal_Exp[[#This Row],[EF_Central Tendency]]&gt;EFID,EFID,Dermal_Exp[[#This Row],[EF_Central Tendency]])/ID,"Not Assessed")</f>
        <v>0.68658333333333321</v>
      </c>
      <c r="X60" s="496">
        <f>IFERROR(Dermal_Exp[[#This Row],[AAD_High-End]]*Dermal_Exp[[#This Row],[EF_High-End]]*WY_high/(365*WY_high),"Not Assessed")</f>
        <v>0.6412671232876711</v>
      </c>
      <c r="Y60" s="496">
        <f>IFERROR(Dermal_Exp[[#This Row],[AAD_Central Tendency]]*Dermal_Exp[[#This Row],[EF_Central Tendency]]*WY_mid/(365*WY_mid),"Not Assessed")</f>
        <v>0.6412671232876711</v>
      </c>
    </row>
    <row r="61" spans="1:25" x14ac:dyDescent="0.3">
      <c r="A61" s="306">
        <v>6</v>
      </c>
      <c r="B61" s="293" t="s">
        <v>284</v>
      </c>
      <c r="C61" s="308" t="s">
        <v>73</v>
      </c>
      <c r="D61" s="206" t="s">
        <v>73</v>
      </c>
      <c r="E61" s="206" t="s">
        <v>349</v>
      </c>
      <c r="F61" s="206">
        <v>0.5</v>
      </c>
      <c r="G61" s="486">
        <v>0</v>
      </c>
      <c r="H61" s="300">
        <v>250</v>
      </c>
      <c r="I61" s="300">
        <v>250</v>
      </c>
      <c r="J61" s="487">
        <v>1</v>
      </c>
      <c r="K61" s="487">
        <v>1</v>
      </c>
      <c r="L61" s="488">
        <f>IF(Dermal_Exp[[#This Row],[Worker Type]]="ONU",AH1_cm2_F,AH2_cm2_F)</f>
        <v>1070</v>
      </c>
      <c r="M61" s="488">
        <f t="shared" si="1"/>
        <v>535</v>
      </c>
      <c r="N61" s="487">
        <f>IF(Dermal_Exp[[#This Row],[Physical Form]]="Liquid",2.1,IF(Dermal_Exp[[#This Row],[Physical Form]]="Solid",0,IF(Dermal_Exp[[#This Row],[Physical Form]]="Liquid &amp; Solid",2.1,IF(Dermal_Exp[[#This Row],[Similar Exposure Group (SEG)]]="ONU",1.4,10.3))))</f>
        <v>2.1</v>
      </c>
      <c r="O61" s="487">
        <f>IF(Dermal_Exp[[#This Row],[Physical Form]]="Liquid",1.4,IF(Dermal_Exp[[#This Row],[Physical Form]]="Solid",0,IF(Dermal_Exp[[#This Row],[Physical Form]]="Liquid &amp; Solid",1.4,IF(Dermal_Exp[[#This Row],[Similar Exposure Group (SEG)]]="ONU",1.4,3.8))))</f>
        <v>1.4</v>
      </c>
      <c r="P61" s="487">
        <f>IF(Dermal_Exp[[#This Row],[Physical Form]]="Liquid",0,IF(Dermal_Exp[[#This Row],[Physical Form]]="Solid",1100/Dermal_Exp[[#This Row],[SA_High-End (Two hands)]],IF(Dermal_Exp[[#This Row],[Physical Form]]="Liquid &amp; Solid",1100/Dermal_Exp[[#This Row],[SA_High-End (Two hands)]],0)))</f>
        <v>0</v>
      </c>
      <c r="Q61" s="487">
        <f>IF(Dermal_Exp[[#This Row],[Physical Form]]="Liquid",0,IF(Dermal_Exp[[#This Row],[Physical Form]]="Solid",450/Dermal_Exp[[#This Row],[SA_Central Tendency (One hand)]],IF(Dermal_Exp[[#This Row],[Physical Form]]="Liquid &amp; Solid",450/Dermal_Exp[[#This Row],[SA_Central Tendency (One hand)]],0)))</f>
        <v>0</v>
      </c>
      <c r="R61" s="317">
        <f>IFERROR(Dermal_Exp[[#This Row],[SA_High-End (Two hands)]]*(Dermal_Exp[[#This Row],[Qu_High-End (Liquid or Mist)]]*Dermal_Exp[[#This Row],[Liquid or Mist]]+Dermal_Exp[[#This Row],[Qu_High-End (Solid)]]*Dermal_Exp[[#This Row],[Solid]])*Dermal_Exp[[#This Row],[FT_High-End]],"Not Assessed")</f>
        <v>1123.5</v>
      </c>
      <c r="S61" s="317">
        <f>IFERROR(Dermal_Exp[[#This Row],[SA_Central Tendency (One hand)]]*(Dermal_Exp[[#This Row],[Qu_Central Tendency (Liquid or Mist)]]*Dermal_Exp[[#This Row],[Liquid or Mist]]+Dermal_Exp[[#This Row],[Qu_Central Tendency (Solid)]]*Dermal_Exp[[#This Row],[Solid]])*Dermal_Exp[[#This Row],[FT_Central Tendency]],"Not Assessed")</f>
        <v>374.5</v>
      </c>
      <c r="T61" s="317">
        <f>IFERROR(Dermal_Exp[[#This Row],[APDR_High-End]]/BW_F,"Not Assessed")</f>
        <v>14.043749999999999</v>
      </c>
      <c r="U61" s="317">
        <f>IFERROR(Dermal_Exp[[#This Row],[APDR_Central Tendency]]/BW_F,"Not Assessed")</f>
        <v>4.6812500000000004</v>
      </c>
      <c r="V61" s="317">
        <f>IFERROR(Dermal_Exp[[#This Row],[AAD_High-End]]*IF(Dermal_Exp[[#This Row],[EF_High-End]]&gt;EFID,EFID,Dermal_Exp[[#This Row],[EF_High-End]])/ID,"Not Assessed")</f>
        <v>10.29875</v>
      </c>
      <c r="W61" s="317">
        <f>IFERROR(Dermal_Exp[[#This Row],[AAD_Central Tendency]]*IF(Dermal_Exp[[#This Row],[EF_Central Tendency]]&gt;EFID,EFID,Dermal_Exp[[#This Row],[EF_Central Tendency]])/ID,"Not Assessed")</f>
        <v>3.4329166666666668</v>
      </c>
      <c r="X61" s="317">
        <f>IFERROR(Dermal_Exp[[#This Row],[AAD_High-End]]*Dermal_Exp[[#This Row],[EF_High-End]]*WY_high/(365*WY_high),"Not Assessed")</f>
        <v>9.6190068493150687</v>
      </c>
      <c r="Y61" s="317">
        <f>IFERROR(Dermal_Exp[[#This Row],[AAD_Central Tendency]]*Dermal_Exp[[#This Row],[EF_Central Tendency]]*WY_mid/(365*WY_mid),"Not Assessed")</f>
        <v>3.2063356164383561</v>
      </c>
    </row>
    <row r="62" spans="1:25" ht="26" x14ac:dyDescent="0.3">
      <c r="A62" s="306">
        <v>6</v>
      </c>
      <c r="B62" s="293" t="s">
        <v>284</v>
      </c>
      <c r="C62" s="308" t="s">
        <v>54</v>
      </c>
      <c r="D62" s="206" t="s">
        <v>54</v>
      </c>
      <c r="E62" s="515" t="s">
        <v>421</v>
      </c>
      <c r="F62" s="206">
        <v>0.5</v>
      </c>
      <c r="G62" s="486">
        <v>0</v>
      </c>
      <c r="H62" s="300">
        <v>250</v>
      </c>
      <c r="I62" s="300">
        <v>250</v>
      </c>
      <c r="J62" s="487">
        <v>1</v>
      </c>
      <c r="K62" s="487">
        <v>1</v>
      </c>
      <c r="L62" s="488">
        <f>IF(Dermal_Exp[[#This Row],[Worker Type]]="ONU",AH1_cm2_F,AH2_cm2_F)</f>
        <v>535</v>
      </c>
      <c r="M62" s="488">
        <f t="shared" si="1"/>
        <v>535</v>
      </c>
      <c r="N62" s="487">
        <f>IF(Dermal_Exp[[#This Row],[Physical Form]]="Liquid",2.1,IF(Dermal_Exp[[#This Row],[Physical Form]]="Solid",0,IF(Dermal_Exp[[#This Row],[Physical Form]]="Liquid &amp; Solid",2.1,IF(Dermal_Exp[[#This Row],[Similar Exposure Group (SEG)]]="ONU",1.4,10.3))))</f>
        <v>1.4</v>
      </c>
      <c r="O62" s="487">
        <f>IF(Dermal_Exp[[#This Row],[Physical Form]]="Liquid",1.4,IF(Dermal_Exp[[#This Row],[Physical Form]]="Solid",0,IF(Dermal_Exp[[#This Row],[Physical Form]]="Liquid &amp; Solid",1.4,IF(Dermal_Exp[[#This Row],[Similar Exposure Group (SEG)]]="ONU",1.4,3.8))))</f>
        <v>1.4</v>
      </c>
      <c r="P62" s="487">
        <f>IF(Dermal_Exp[[#This Row],[Physical Form]]="Liquid",0,IF(Dermal_Exp[[#This Row],[Physical Form]]="Solid",1100/Dermal_Exp[[#This Row],[SA_High-End (Two hands)]],IF(Dermal_Exp[[#This Row],[Physical Form]]="Liquid &amp; Solid",1100/Dermal_Exp[[#This Row],[SA_High-End (Two hands)]],0)))</f>
        <v>0</v>
      </c>
      <c r="Q62" s="487">
        <f>IF(Dermal_Exp[[#This Row],[Physical Form]]="Liquid",0,IF(Dermal_Exp[[#This Row],[Physical Form]]="Solid",450/Dermal_Exp[[#This Row],[SA_Central Tendency (One hand)]],IF(Dermal_Exp[[#This Row],[Physical Form]]="Liquid &amp; Solid",450/Dermal_Exp[[#This Row],[SA_Central Tendency (One hand)]],0)))</f>
        <v>0</v>
      </c>
      <c r="R62" s="317">
        <f>IFERROR(Dermal_Exp[[#This Row],[SA_High-End (Two hands)]]*(Dermal_Exp[[#This Row],[Qu_High-End (Liquid or Mist)]]*Dermal_Exp[[#This Row],[Liquid or Mist]]+Dermal_Exp[[#This Row],[Qu_High-End (Solid)]]*Dermal_Exp[[#This Row],[Solid]])*Dermal_Exp[[#This Row],[FT_High-End]],"Not Assessed")</f>
        <v>374.5</v>
      </c>
      <c r="S62" s="317">
        <f>IFERROR(Dermal_Exp[[#This Row],[SA_Central Tendency (One hand)]]*(Dermal_Exp[[#This Row],[Qu_Central Tendency (Liquid or Mist)]]*Dermal_Exp[[#This Row],[Liquid or Mist]]+Dermal_Exp[[#This Row],[Qu_Central Tendency (Solid)]]*Dermal_Exp[[#This Row],[Solid]])*Dermal_Exp[[#This Row],[FT_Central Tendency]],"Not Assessed")</f>
        <v>374.5</v>
      </c>
      <c r="T62" s="317">
        <f>IFERROR(Dermal_Exp[[#This Row],[APDR_High-End]]/BW_F,"Not Assessed")</f>
        <v>4.6812500000000004</v>
      </c>
      <c r="U62" s="317">
        <f>IFERROR(Dermal_Exp[[#This Row],[APDR_Central Tendency]]/BW_F,"Not Assessed")</f>
        <v>4.6812500000000004</v>
      </c>
      <c r="V62" s="507">
        <f>IFERROR(Dermal_Exp[[#This Row],[AAD_High-End]]*IF(Dermal_Exp[[#This Row],[EF_High-End]]&gt;EFID,EFID,Dermal_Exp[[#This Row],[EF_High-End]])/ID,"Not Assessed")</f>
        <v>3.4329166666666668</v>
      </c>
      <c r="W62" s="317">
        <f>IFERROR(Dermal_Exp[[#This Row],[AAD_Central Tendency]]*IF(Dermal_Exp[[#This Row],[EF_Central Tendency]]&gt;EFID,EFID,Dermal_Exp[[#This Row],[EF_Central Tendency]])/ID,"Not Assessed")</f>
        <v>3.4329166666666668</v>
      </c>
      <c r="X62" s="317">
        <f>IFERROR(Dermal_Exp[[#This Row],[AAD_High-End]]*Dermal_Exp[[#This Row],[EF_High-End]]*WY_high/(365*WY_high),"Not Assessed")</f>
        <v>3.2063356164383561</v>
      </c>
      <c r="Y62" s="317">
        <f>IFERROR(Dermal_Exp[[#This Row],[AAD_Central Tendency]]*Dermal_Exp[[#This Row],[EF_Central Tendency]]*WY_mid/(365*WY_mid),"Not Assessed")</f>
        <v>3.2063356164383561</v>
      </c>
    </row>
    <row r="63" spans="1:25" s="497" customFormat="1" x14ac:dyDescent="0.3">
      <c r="A63" s="498">
        <v>6</v>
      </c>
      <c r="B63" s="514" t="s">
        <v>250</v>
      </c>
      <c r="C63" s="491" t="s">
        <v>73</v>
      </c>
      <c r="D63" s="492" t="s">
        <v>73</v>
      </c>
      <c r="E63" s="492" t="s">
        <v>349</v>
      </c>
      <c r="F63" s="492">
        <v>0.05</v>
      </c>
      <c r="G63" s="493">
        <v>0</v>
      </c>
      <c r="H63" s="494">
        <v>250</v>
      </c>
      <c r="I63" s="494">
        <v>250</v>
      </c>
      <c r="J63" s="495">
        <v>1</v>
      </c>
      <c r="K63" s="495">
        <v>1</v>
      </c>
      <c r="L63" s="510">
        <f>IF(Dermal_Exp[[#This Row],[Worker Type]]="ONU",AH1_cm2_F,AH2_cm2_F)</f>
        <v>1070</v>
      </c>
      <c r="M63" s="510">
        <f t="shared" si="1"/>
        <v>535</v>
      </c>
      <c r="N63" s="495">
        <f>IF(Dermal_Exp[[#This Row],[Physical Form]]="Liquid",2.1,IF(Dermal_Exp[[#This Row],[Physical Form]]="Solid",0,IF(Dermal_Exp[[#This Row],[Physical Form]]="Liquid &amp; Solid",2.1,IF(Dermal_Exp[[#This Row],[Similar Exposure Group (SEG)]]="ONU",1.4,10.3))))</f>
        <v>2.1</v>
      </c>
      <c r="O63" s="495">
        <f>IF(Dermal_Exp[[#This Row],[Physical Form]]="Liquid",1.4,IF(Dermal_Exp[[#This Row],[Physical Form]]="Solid",0,IF(Dermal_Exp[[#This Row],[Physical Form]]="Liquid &amp; Solid",1.4,IF(Dermal_Exp[[#This Row],[Similar Exposure Group (SEG)]]="ONU",1.4,3.8))))</f>
        <v>1.4</v>
      </c>
      <c r="P63" s="495">
        <f>IF(Dermal_Exp[[#This Row],[Physical Form]]="Liquid",0,IF(Dermal_Exp[[#This Row],[Physical Form]]="Solid",1100/Dermal_Exp[[#This Row],[SA_High-End (Two hands)]],IF(Dermal_Exp[[#This Row],[Physical Form]]="Liquid &amp; Solid",1100/Dermal_Exp[[#This Row],[SA_High-End (Two hands)]],0)))</f>
        <v>0</v>
      </c>
      <c r="Q63" s="495">
        <f>IF(Dermal_Exp[[#This Row],[Physical Form]]="Liquid",0,IF(Dermal_Exp[[#This Row],[Physical Form]]="Solid",450/Dermal_Exp[[#This Row],[SA_Central Tendency (One hand)]],IF(Dermal_Exp[[#This Row],[Physical Form]]="Liquid &amp; Solid",450/Dermal_Exp[[#This Row],[SA_Central Tendency (One hand)]],0)))</f>
        <v>0</v>
      </c>
      <c r="R63" s="496">
        <f>IFERROR(Dermal_Exp[[#This Row],[SA_High-End (Two hands)]]*(Dermal_Exp[[#This Row],[Qu_High-End (Liquid or Mist)]]*Dermal_Exp[[#This Row],[Liquid or Mist]]+Dermal_Exp[[#This Row],[Qu_High-End (Solid)]]*Dermal_Exp[[#This Row],[Solid]])*Dermal_Exp[[#This Row],[FT_High-End]],"Not Assessed")</f>
        <v>112.35000000000001</v>
      </c>
      <c r="S63" s="496">
        <f>IFERROR(Dermal_Exp[[#This Row],[SA_Central Tendency (One hand)]]*(Dermal_Exp[[#This Row],[Qu_Central Tendency (Liquid or Mist)]]*Dermal_Exp[[#This Row],[Liquid or Mist]]+Dermal_Exp[[#This Row],[Qu_Central Tendency (Solid)]]*Dermal_Exp[[#This Row],[Solid]])*Dermal_Exp[[#This Row],[FT_Central Tendency]],"Not Assessed")</f>
        <v>37.449999999999996</v>
      </c>
      <c r="T63" s="496">
        <f>IFERROR(Dermal_Exp[[#This Row],[APDR_High-End]]/BW_F,"Not Assessed")</f>
        <v>1.4043750000000002</v>
      </c>
      <c r="U63" s="496">
        <f>IFERROR(Dermal_Exp[[#This Row],[APDR_Central Tendency]]/BW_F,"Not Assessed")</f>
        <v>0.46812499999999996</v>
      </c>
      <c r="V63" s="496">
        <f>IFERROR(Dermal_Exp[[#This Row],[AAD_High-End]]*IF(Dermal_Exp[[#This Row],[EF_High-End]]&gt;EFID,EFID,Dermal_Exp[[#This Row],[EF_High-End]])/ID,"Not Assessed")</f>
        <v>1.0298750000000001</v>
      </c>
      <c r="W63" s="496">
        <f>IFERROR(Dermal_Exp[[#This Row],[AAD_Central Tendency]]*IF(Dermal_Exp[[#This Row],[EF_Central Tendency]]&gt;EFID,EFID,Dermal_Exp[[#This Row],[EF_Central Tendency]])/ID,"Not Assessed")</f>
        <v>0.34329166666666661</v>
      </c>
      <c r="X63" s="496">
        <f>IFERROR(Dermal_Exp[[#This Row],[AAD_High-End]]*Dermal_Exp[[#This Row],[EF_High-End]]*WY_high/(365*WY_high),"Not Assessed")</f>
        <v>0.96190068493150693</v>
      </c>
      <c r="Y63" s="496">
        <f>IFERROR(Dermal_Exp[[#This Row],[AAD_Central Tendency]]*Dermal_Exp[[#This Row],[EF_Central Tendency]]*WY_mid/(365*WY_mid),"Not Assessed")</f>
        <v>0.32063356164383555</v>
      </c>
    </row>
    <row r="64" spans="1:25" s="497" customFormat="1" ht="26" x14ac:dyDescent="0.3">
      <c r="A64" s="498">
        <v>6</v>
      </c>
      <c r="B64" s="514" t="s">
        <v>250</v>
      </c>
      <c r="C64" s="491" t="s">
        <v>54</v>
      </c>
      <c r="D64" s="492" t="s">
        <v>54</v>
      </c>
      <c r="E64" s="492" t="s">
        <v>421</v>
      </c>
      <c r="F64" s="492">
        <v>0.05</v>
      </c>
      <c r="G64" s="493">
        <v>0</v>
      </c>
      <c r="H64" s="494">
        <v>250</v>
      </c>
      <c r="I64" s="494">
        <v>250</v>
      </c>
      <c r="J64" s="495">
        <v>1</v>
      </c>
      <c r="K64" s="495">
        <v>1</v>
      </c>
      <c r="L64" s="510">
        <f>IF(Dermal_Exp[[#This Row],[Worker Type]]="ONU",AH1_cm2_F,AH2_cm2_F)</f>
        <v>535</v>
      </c>
      <c r="M64" s="510">
        <f t="shared" ref="M64:M74" si="2">AH1_cm2_F</f>
        <v>535</v>
      </c>
      <c r="N64" s="495">
        <f>IF(Dermal_Exp[[#This Row],[Physical Form]]="Liquid",2.1,IF(Dermal_Exp[[#This Row],[Physical Form]]="Solid",0,IF(Dermal_Exp[[#This Row],[Physical Form]]="Liquid &amp; Solid",2.1,IF(Dermal_Exp[[#This Row],[Similar Exposure Group (SEG)]]="ONU",1.4,10.3))))</f>
        <v>1.4</v>
      </c>
      <c r="O64" s="495">
        <f>IF(Dermal_Exp[[#This Row],[Physical Form]]="Liquid",1.4,IF(Dermal_Exp[[#This Row],[Physical Form]]="Solid",0,IF(Dermal_Exp[[#This Row],[Physical Form]]="Liquid &amp; Solid",1.4,IF(Dermal_Exp[[#This Row],[Similar Exposure Group (SEG)]]="ONU",1.4,3.8))))</f>
        <v>1.4</v>
      </c>
      <c r="P64" s="495">
        <f>IF(Dermal_Exp[[#This Row],[Physical Form]]="Liquid",0,IF(Dermal_Exp[[#This Row],[Physical Form]]="Solid",1100/Dermal_Exp[[#This Row],[SA_High-End (Two hands)]],IF(Dermal_Exp[[#This Row],[Physical Form]]="Liquid &amp; Solid",1100/Dermal_Exp[[#This Row],[SA_High-End (Two hands)]],0)))</f>
        <v>0</v>
      </c>
      <c r="Q64" s="495">
        <f>IF(Dermal_Exp[[#This Row],[Physical Form]]="Liquid",0,IF(Dermal_Exp[[#This Row],[Physical Form]]="Solid",450/Dermal_Exp[[#This Row],[SA_Central Tendency (One hand)]],IF(Dermal_Exp[[#This Row],[Physical Form]]="Liquid &amp; Solid",450/Dermal_Exp[[#This Row],[SA_Central Tendency (One hand)]],0)))</f>
        <v>0</v>
      </c>
      <c r="R64" s="496">
        <f>IFERROR(Dermal_Exp[[#This Row],[SA_High-End (Two hands)]]*(Dermal_Exp[[#This Row],[Qu_High-End (Liquid or Mist)]]*Dermal_Exp[[#This Row],[Liquid or Mist]]+Dermal_Exp[[#This Row],[Qu_High-End (Solid)]]*Dermal_Exp[[#This Row],[Solid]])*Dermal_Exp[[#This Row],[FT_High-End]],"Not Assessed")</f>
        <v>37.449999999999996</v>
      </c>
      <c r="S64" s="496">
        <f>IFERROR(Dermal_Exp[[#This Row],[SA_Central Tendency (One hand)]]*(Dermal_Exp[[#This Row],[Qu_Central Tendency (Liquid or Mist)]]*Dermal_Exp[[#This Row],[Liquid or Mist]]+Dermal_Exp[[#This Row],[Qu_Central Tendency (Solid)]]*Dermal_Exp[[#This Row],[Solid]])*Dermal_Exp[[#This Row],[FT_Central Tendency]],"Not Assessed")</f>
        <v>37.449999999999996</v>
      </c>
      <c r="T64" s="496">
        <f>IFERROR(Dermal_Exp[[#This Row],[APDR_High-End]]/BW_F,"Not Assessed")</f>
        <v>0.46812499999999996</v>
      </c>
      <c r="U64" s="496">
        <f>IFERROR(Dermal_Exp[[#This Row],[APDR_Central Tendency]]/BW_F,"Not Assessed")</f>
        <v>0.46812499999999996</v>
      </c>
      <c r="V64" s="496">
        <f>IFERROR(Dermal_Exp[[#This Row],[AAD_High-End]]*IF(Dermal_Exp[[#This Row],[EF_High-End]]&gt;EFID,EFID,Dermal_Exp[[#This Row],[EF_High-End]])/ID,"Not Assessed")</f>
        <v>0.34329166666666661</v>
      </c>
      <c r="W64" s="496">
        <f>IFERROR(Dermal_Exp[[#This Row],[AAD_Central Tendency]]*IF(Dermal_Exp[[#This Row],[EF_Central Tendency]]&gt;EFID,EFID,Dermal_Exp[[#This Row],[EF_Central Tendency]])/ID,"Not Assessed")</f>
        <v>0.34329166666666661</v>
      </c>
      <c r="X64" s="496">
        <f>IFERROR(Dermal_Exp[[#This Row],[AAD_High-End]]*Dermal_Exp[[#This Row],[EF_High-End]]*WY_high/(365*WY_high),"Not Assessed")</f>
        <v>0.32063356164383555</v>
      </c>
      <c r="Y64" s="496">
        <f>IFERROR(Dermal_Exp[[#This Row],[AAD_Central Tendency]]*Dermal_Exp[[#This Row],[EF_Central Tendency]]*WY_mid/(365*WY_mid),"Not Assessed")</f>
        <v>0.32063356164383555</v>
      </c>
    </row>
    <row r="65" spans="1:25" x14ac:dyDescent="0.3">
      <c r="A65" s="306">
        <v>7</v>
      </c>
      <c r="B65" s="293" t="s">
        <v>286</v>
      </c>
      <c r="C65" s="308" t="s">
        <v>264</v>
      </c>
      <c r="D65" s="206" t="s">
        <v>73</v>
      </c>
      <c r="E65" s="206" t="s">
        <v>349</v>
      </c>
      <c r="F65" s="206">
        <v>1</v>
      </c>
      <c r="G65" s="486">
        <v>0</v>
      </c>
      <c r="H65" s="300">
        <v>250</v>
      </c>
      <c r="I65" s="300">
        <v>246</v>
      </c>
      <c r="J65" s="487">
        <v>1</v>
      </c>
      <c r="K65" s="487">
        <v>1</v>
      </c>
      <c r="L65" s="488">
        <f>IF(Dermal_Exp[[#This Row],[Worker Type]]="ONU",AH1_cm2_F,AH2_cm2_F)</f>
        <v>1070</v>
      </c>
      <c r="M65" s="488">
        <f t="shared" si="2"/>
        <v>535</v>
      </c>
      <c r="N65" s="487">
        <f>IF(Dermal_Exp[[#This Row],[Physical Form]]="Liquid",2.1,IF(Dermal_Exp[[#This Row],[Physical Form]]="Solid",0,IF(Dermal_Exp[[#This Row],[Physical Form]]="Liquid &amp; Solid",2.1,IF(Dermal_Exp[[#This Row],[Similar Exposure Group (SEG)]]="ONU",1.4,10.3))))</f>
        <v>2.1</v>
      </c>
      <c r="O65" s="487">
        <f>IF(Dermal_Exp[[#This Row],[Physical Form]]="Liquid",1.4,IF(Dermal_Exp[[#This Row],[Physical Form]]="Solid",0,IF(Dermal_Exp[[#This Row],[Physical Form]]="Liquid &amp; Solid",1.4,IF(Dermal_Exp[[#This Row],[Similar Exposure Group (SEG)]]="ONU",1.4,3.8))))</f>
        <v>1.4</v>
      </c>
      <c r="P65" s="487">
        <f>IF(Dermal_Exp[[#This Row],[Physical Form]]="Liquid",0,IF(Dermal_Exp[[#This Row],[Physical Form]]="Solid",1100/Dermal_Exp[[#This Row],[SA_High-End (Two hands)]],IF(Dermal_Exp[[#This Row],[Physical Form]]="Liquid &amp; Solid",1100/Dermal_Exp[[#This Row],[SA_High-End (Two hands)]],0)))</f>
        <v>0</v>
      </c>
      <c r="Q65" s="487">
        <f>IF(Dermal_Exp[[#This Row],[Physical Form]]="Liquid",0,IF(Dermal_Exp[[#This Row],[Physical Form]]="Solid",450/Dermal_Exp[[#This Row],[SA_Central Tendency (One hand)]],IF(Dermal_Exp[[#This Row],[Physical Form]]="Liquid &amp; Solid",450/Dermal_Exp[[#This Row],[SA_Central Tendency (One hand)]],0)))</f>
        <v>0</v>
      </c>
      <c r="R65" s="317">
        <f>IFERROR(Dermal_Exp[[#This Row],[SA_High-End (Two hands)]]*(Dermal_Exp[[#This Row],[Qu_High-End (Liquid or Mist)]]*Dermal_Exp[[#This Row],[Liquid or Mist]]+Dermal_Exp[[#This Row],[Qu_High-End (Solid)]]*Dermal_Exp[[#This Row],[Solid]])*Dermal_Exp[[#This Row],[FT_High-End]],"Not Assessed")</f>
        <v>2247</v>
      </c>
      <c r="S65" s="317">
        <f>IFERROR(Dermal_Exp[[#This Row],[SA_Central Tendency (One hand)]]*(Dermal_Exp[[#This Row],[Qu_Central Tendency (Liquid or Mist)]]*Dermal_Exp[[#This Row],[Liquid or Mist]]+Dermal_Exp[[#This Row],[Qu_Central Tendency (Solid)]]*Dermal_Exp[[#This Row],[Solid]])*Dermal_Exp[[#This Row],[FT_Central Tendency]],"Not Assessed")</f>
        <v>749</v>
      </c>
      <c r="T65" s="317">
        <f>IFERROR(Dermal_Exp[[#This Row],[APDR_High-End]]/BW_F,"Not Assessed")</f>
        <v>28.087499999999999</v>
      </c>
      <c r="U65" s="317">
        <f>IFERROR(Dermal_Exp[[#This Row],[APDR_Central Tendency]]/BW_F,"Not Assessed")</f>
        <v>9.3625000000000007</v>
      </c>
      <c r="V65" s="317">
        <f>IFERROR(Dermal_Exp[[#This Row],[AAD_High-End]]*IF(Dermal_Exp[[#This Row],[EF_High-End]]&gt;EFID,EFID,Dermal_Exp[[#This Row],[EF_High-End]])/ID,"Not Assessed")</f>
        <v>20.5975</v>
      </c>
      <c r="W65" s="317">
        <f>IFERROR(Dermal_Exp[[#This Row],[AAD_Central Tendency]]*IF(Dermal_Exp[[#This Row],[EF_Central Tendency]]&gt;EFID,EFID,Dermal_Exp[[#This Row],[EF_Central Tendency]])/ID,"Not Assessed")</f>
        <v>6.8658333333333337</v>
      </c>
      <c r="X65" s="317">
        <f>IFERROR(Dermal_Exp[[#This Row],[AAD_High-End]]*Dermal_Exp[[#This Row],[EF_High-End]]*WY_high/(365*WY_high),"Not Assessed")</f>
        <v>19.238013698630137</v>
      </c>
      <c r="Y65" s="317">
        <f>IFERROR(Dermal_Exp[[#This Row],[AAD_Central Tendency]]*Dermal_Exp[[#This Row],[EF_Central Tendency]]*WY_mid/(365*WY_mid),"Not Assessed")</f>
        <v>6.310068493150685</v>
      </c>
    </row>
    <row r="66" spans="1:25" x14ac:dyDescent="0.3">
      <c r="A66" s="306">
        <v>7</v>
      </c>
      <c r="B66" s="293" t="s">
        <v>286</v>
      </c>
      <c r="C66" s="308" t="s">
        <v>265</v>
      </c>
      <c r="D66" s="206" t="s">
        <v>73</v>
      </c>
      <c r="E66" s="206" t="s">
        <v>349</v>
      </c>
      <c r="F66" s="206">
        <v>1</v>
      </c>
      <c r="G66" s="486">
        <v>0</v>
      </c>
      <c r="H66" s="300">
        <v>250</v>
      </c>
      <c r="I66" s="300">
        <v>246</v>
      </c>
      <c r="J66" s="487">
        <v>1</v>
      </c>
      <c r="K66" s="487">
        <v>1</v>
      </c>
      <c r="L66" s="488">
        <f>IF(Dermal_Exp[[#This Row],[Worker Type]]="ONU",AH1_cm2_F,AH2_cm2_F)</f>
        <v>1070</v>
      </c>
      <c r="M66" s="488">
        <f t="shared" si="2"/>
        <v>535</v>
      </c>
      <c r="N66" s="487">
        <f>IF(Dermal_Exp[[#This Row],[Physical Form]]="Liquid",2.1,IF(Dermal_Exp[[#This Row],[Physical Form]]="Solid",0,IF(Dermal_Exp[[#This Row],[Physical Form]]="Liquid &amp; Solid",2.1,IF(Dermal_Exp[[#This Row],[Similar Exposure Group (SEG)]]="ONU",1.4,10.3))))</f>
        <v>2.1</v>
      </c>
      <c r="O66" s="487">
        <f>IF(Dermal_Exp[[#This Row],[Physical Form]]="Liquid",1.4,IF(Dermal_Exp[[#This Row],[Physical Form]]="Solid",0,IF(Dermal_Exp[[#This Row],[Physical Form]]="Liquid &amp; Solid",1.4,IF(Dermal_Exp[[#This Row],[Similar Exposure Group (SEG)]]="ONU",1.4,3.8))))</f>
        <v>1.4</v>
      </c>
      <c r="P66" s="487">
        <f>IF(Dermal_Exp[[#This Row],[Physical Form]]="Liquid",0,IF(Dermal_Exp[[#This Row],[Physical Form]]="Solid",1100/Dermal_Exp[[#This Row],[SA_High-End (Two hands)]],IF(Dermal_Exp[[#This Row],[Physical Form]]="Liquid &amp; Solid",1100/Dermal_Exp[[#This Row],[SA_High-End (Two hands)]],0)))</f>
        <v>0</v>
      </c>
      <c r="Q66" s="487">
        <f>IF(Dermal_Exp[[#This Row],[Physical Form]]="Liquid",0,IF(Dermal_Exp[[#This Row],[Physical Form]]="Solid",450/Dermal_Exp[[#This Row],[SA_Central Tendency (One hand)]],IF(Dermal_Exp[[#This Row],[Physical Form]]="Liquid &amp; Solid",450/Dermal_Exp[[#This Row],[SA_Central Tendency (One hand)]],0)))</f>
        <v>0</v>
      </c>
      <c r="R66" s="317">
        <f>IFERROR(Dermal_Exp[[#This Row],[SA_High-End (Two hands)]]*(Dermal_Exp[[#This Row],[Qu_High-End (Liquid or Mist)]]*Dermal_Exp[[#This Row],[Liquid or Mist]]+Dermal_Exp[[#This Row],[Qu_High-End (Solid)]]*Dermal_Exp[[#This Row],[Solid]])*Dermal_Exp[[#This Row],[FT_High-End]],"Not Assessed")</f>
        <v>2247</v>
      </c>
      <c r="S66" s="317">
        <f>IFERROR(Dermal_Exp[[#This Row],[SA_Central Tendency (One hand)]]*(Dermal_Exp[[#This Row],[Qu_Central Tendency (Liquid or Mist)]]*Dermal_Exp[[#This Row],[Liquid or Mist]]+Dermal_Exp[[#This Row],[Qu_Central Tendency (Solid)]]*Dermal_Exp[[#This Row],[Solid]])*Dermal_Exp[[#This Row],[FT_Central Tendency]],"Not Assessed")</f>
        <v>749</v>
      </c>
      <c r="T66" s="317">
        <f>IFERROR(Dermal_Exp[[#This Row],[APDR_High-End]]/BW_F,"Not Assessed")</f>
        <v>28.087499999999999</v>
      </c>
      <c r="U66" s="317">
        <f>IFERROR(Dermal_Exp[[#This Row],[APDR_Central Tendency]]/BW_F,"Not Assessed")</f>
        <v>9.3625000000000007</v>
      </c>
      <c r="V66" s="317">
        <f>IFERROR(Dermal_Exp[[#This Row],[AAD_High-End]]*IF(Dermal_Exp[[#This Row],[EF_High-End]]&gt;EFID,EFID,Dermal_Exp[[#This Row],[EF_High-End]])/ID,"Not Assessed")</f>
        <v>20.5975</v>
      </c>
      <c r="W66" s="317">
        <f>IFERROR(Dermal_Exp[[#This Row],[AAD_Central Tendency]]*IF(Dermal_Exp[[#This Row],[EF_Central Tendency]]&gt;EFID,EFID,Dermal_Exp[[#This Row],[EF_Central Tendency]])/ID,"Not Assessed")</f>
        <v>6.8658333333333337</v>
      </c>
      <c r="X66" s="317">
        <f>IFERROR(Dermal_Exp[[#This Row],[AAD_High-End]]*Dermal_Exp[[#This Row],[EF_High-End]]*WY_high/(365*WY_high),"Not Assessed")</f>
        <v>19.238013698630137</v>
      </c>
      <c r="Y66" s="317">
        <f>IFERROR(Dermal_Exp[[#This Row],[AAD_Central Tendency]]*Dermal_Exp[[#This Row],[EF_Central Tendency]]*WY_mid/(365*WY_mid),"Not Assessed")</f>
        <v>6.310068493150685</v>
      </c>
    </row>
    <row r="67" spans="1:25" x14ac:dyDescent="0.3">
      <c r="A67" s="306">
        <v>7</v>
      </c>
      <c r="B67" s="293" t="s">
        <v>286</v>
      </c>
      <c r="C67" s="308" t="s">
        <v>266</v>
      </c>
      <c r="D67" s="206" t="s">
        <v>73</v>
      </c>
      <c r="E67" s="206" t="s">
        <v>349</v>
      </c>
      <c r="F67" s="206">
        <v>1</v>
      </c>
      <c r="G67" s="486">
        <v>0</v>
      </c>
      <c r="H67" s="300">
        <v>250</v>
      </c>
      <c r="I67" s="300">
        <v>246</v>
      </c>
      <c r="J67" s="487">
        <v>1</v>
      </c>
      <c r="K67" s="487">
        <v>1</v>
      </c>
      <c r="L67" s="488">
        <f>IF(Dermal_Exp[[#This Row],[Worker Type]]="ONU",AH1_cm2_F,AH2_cm2_F)</f>
        <v>1070</v>
      </c>
      <c r="M67" s="488">
        <f t="shared" si="2"/>
        <v>535</v>
      </c>
      <c r="N67" s="487">
        <f>IF(Dermal_Exp[[#This Row],[Physical Form]]="Liquid",2.1,IF(Dermal_Exp[[#This Row],[Physical Form]]="Solid",0,IF(Dermal_Exp[[#This Row],[Physical Form]]="Liquid &amp; Solid",2.1,IF(Dermal_Exp[[#This Row],[Similar Exposure Group (SEG)]]="ONU",1.4,10.3))))</f>
        <v>2.1</v>
      </c>
      <c r="O67" s="487">
        <f>IF(Dermal_Exp[[#This Row],[Physical Form]]="Liquid",1.4,IF(Dermal_Exp[[#This Row],[Physical Form]]="Solid",0,IF(Dermal_Exp[[#This Row],[Physical Form]]="Liquid &amp; Solid",1.4,IF(Dermal_Exp[[#This Row],[Similar Exposure Group (SEG)]]="ONU",1.4,3.8))))</f>
        <v>1.4</v>
      </c>
      <c r="P67" s="487">
        <f>IF(Dermal_Exp[[#This Row],[Physical Form]]="Liquid",0,IF(Dermal_Exp[[#This Row],[Physical Form]]="Solid",1100/Dermal_Exp[[#This Row],[SA_High-End (Two hands)]],IF(Dermal_Exp[[#This Row],[Physical Form]]="Liquid &amp; Solid",1100/Dermal_Exp[[#This Row],[SA_High-End (Two hands)]],0)))</f>
        <v>0</v>
      </c>
      <c r="Q67" s="487">
        <f>IF(Dermal_Exp[[#This Row],[Physical Form]]="Liquid",0,IF(Dermal_Exp[[#This Row],[Physical Form]]="Solid",450/Dermal_Exp[[#This Row],[SA_Central Tendency (One hand)]],IF(Dermal_Exp[[#This Row],[Physical Form]]="Liquid &amp; Solid",450/Dermal_Exp[[#This Row],[SA_Central Tendency (One hand)]],0)))</f>
        <v>0</v>
      </c>
      <c r="R67" s="317">
        <f>IFERROR(Dermal_Exp[[#This Row],[SA_High-End (Two hands)]]*(Dermal_Exp[[#This Row],[Qu_High-End (Liquid or Mist)]]*Dermal_Exp[[#This Row],[Liquid or Mist]]+Dermal_Exp[[#This Row],[Qu_High-End (Solid)]]*Dermal_Exp[[#This Row],[Solid]])*Dermal_Exp[[#This Row],[FT_High-End]],"Not Assessed")</f>
        <v>2247</v>
      </c>
      <c r="S67" s="317">
        <f>IFERROR(Dermal_Exp[[#This Row],[SA_Central Tendency (One hand)]]*(Dermal_Exp[[#This Row],[Qu_Central Tendency (Liquid or Mist)]]*Dermal_Exp[[#This Row],[Liquid or Mist]]+Dermal_Exp[[#This Row],[Qu_Central Tendency (Solid)]]*Dermal_Exp[[#This Row],[Solid]])*Dermal_Exp[[#This Row],[FT_Central Tendency]],"Not Assessed")</f>
        <v>749</v>
      </c>
      <c r="T67" s="317">
        <f>IFERROR(Dermal_Exp[[#This Row],[APDR_High-End]]/BW_F,"Not Assessed")</f>
        <v>28.087499999999999</v>
      </c>
      <c r="U67" s="317">
        <f>IFERROR(Dermal_Exp[[#This Row],[APDR_Central Tendency]]/BW_F,"Not Assessed")</f>
        <v>9.3625000000000007</v>
      </c>
      <c r="V67" s="317">
        <f>IFERROR(Dermal_Exp[[#This Row],[AAD_High-End]]*IF(Dermal_Exp[[#This Row],[EF_High-End]]&gt;EFID,EFID,Dermal_Exp[[#This Row],[EF_High-End]])/ID,"Not Assessed")</f>
        <v>20.5975</v>
      </c>
      <c r="W67" s="317">
        <f>IFERROR(Dermal_Exp[[#This Row],[AAD_Central Tendency]]*IF(Dermal_Exp[[#This Row],[EF_Central Tendency]]&gt;EFID,EFID,Dermal_Exp[[#This Row],[EF_Central Tendency]])/ID,"Not Assessed")</f>
        <v>6.8658333333333337</v>
      </c>
      <c r="X67" s="317">
        <f>IFERROR(Dermal_Exp[[#This Row],[AAD_High-End]]*Dermal_Exp[[#This Row],[EF_High-End]]*WY_high/(365*WY_high),"Not Assessed")</f>
        <v>19.238013698630137</v>
      </c>
      <c r="Y67" s="317">
        <f>IFERROR(Dermal_Exp[[#This Row],[AAD_Central Tendency]]*Dermal_Exp[[#This Row],[EF_Central Tendency]]*WY_mid/(365*WY_mid),"Not Assessed")</f>
        <v>6.310068493150685</v>
      </c>
    </row>
    <row r="68" spans="1:25" x14ac:dyDescent="0.3">
      <c r="A68" s="306">
        <v>7</v>
      </c>
      <c r="B68" s="293" t="s">
        <v>286</v>
      </c>
      <c r="C68" s="308" t="s">
        <v>267</v>
      </c>
      <c r="D68" s="206" t="s">
        <v>73</v>
      </c>
      <c r="E68" s="206" t="s">
        <v>349</v>
      </c>
      <c r="F68" s="206">
        <v>1</v>
      </c>
      <c r="G68" s="486">
        <v>0</v>
      </c>
      <c r="H68" s="300">
        <v>250</v>
      </c>
      <c r="I68" s="300">
        <v>246</v>
      </c>
      <c r="J68" s="487">
        <v>1</v>
      </c>
      <c r="K68" s="487">
        <v>1</v>
      </c>
      <c r="L68" s="488">
        <f>IF(Dermal_Exp[[#This Row],[Worker Type]]="ONU",AH1_cm2_F,AH2_cm2_F)</f>
        <v>1070</v>
      </c>
      <c r="M68" s="488">
        <f t="shared" si="2"/>
        <v>535</v>
      </c>
      <c r="N68" s="487">
        <f>IF(Dermal_Exp[[#This Row],[Physical Form]]="Liquid",2.1,IF(Dermal_Exp[[#This Row],[Physical Form]]="Solid",0,IF(Dermal_Exp[[#This Row],[Physical Form]]="Liquid &amp; Solid",2.1,IF(Dermal_Exp[[#This Row],[Similar Exposure Group (SEG)]]="ONU",1.4,10.3))))</f>
        <v>2.1</v>
      </c>
      <c r="O68" s="487">
        <f>IF(Dermal_Exp[[#This Row],[Physical Form]]="Liquid",1.4,IF(Dermal_Exp[[#This Row],[Physical Form]]="Solid",0,IF(Dermal_Exp[[#This Row],[Physical Form]]="Liquid &amp; Solid",1.4,IF(Dermal_Exp[[#This Row],[Similar Exposure Group (SEG)]]="ONU",1.4,3.8))))</f>
        <v>1.4</v>
      </c>
      <c r="P68" s="487">
        <f>IF(Dermal_Exp[[#This Row],[Physical Form]]="Liquid",0,IF(Dermal_Exp[[#This Row],[Physical Form]]="Solid",1100/Dermal_Exp[[#This Row],[SA_High-End (Two hands)]],IF(Dermal_Exp[[#This Row],[Physical Form]]="Liquid &amp; Solid",1100/Dermal_Exp[[#This Row],[SA_High-End (Two hands)]],0)))</f>
        <v>0</v>
      </c>
      <c r="Q68" s="487">
        <f>IF(Dermal_Exp[[#This Row],[Physical Form]]="Liquid",0,IF(Dermal_Exp[[#This Row],[Physical Form]]="Solid",450/Dermal_Exp[[#This Row],[SA_Central Tendency (One hand)]],IF(Dermal_Exp[[#This Row],[Physical Form]]="Liquid &amp; Solid",450/Dermal_Exp[[#This Row],[SA_Central Tendency (One hand)]],0)))</f>
        <v>0</v>
      </c>
      <c r="R68" s="317">
        <f>IFERROR(Dermal_Exp[[#This Row],[SA_High-End (Two hands)]]*(Dermal_Exp[[#This Row],[Qu_High-End (Liquid or Mist)]]*Dermal_Exp[[#This Row],[Liquid or Mist]]+Dermal_Exp[[#This Row],[Qu_High-End (Solid)]]*Dermal_Exp[[#This Row],[Solid]])*Dermal_Exp[[#This Row],[FT_High-End]],"Not Assessed")</f>
        <v>2247</v>
      </c>
      <c r="S68" s="317">
        <f>IFERROR(Dermal_Exp[[#This Row],[SA_Central Tendency (One hand)]]*(Dermal_Exp[[#This Row],[Qu_Central Tendency (Liquid or Mist)]]*Dermal_Exp[[#This Row],[Liquid or Mist]]+Dermal_Exp[[#This Row],[Qu_Central Tendency (Solid)]]*Dermal_Exp[[#This Row],[Solid]])*Dermal_Exp[[#This Row],[FT_Central Tendency]],"Not Assessed")</f>
        <v>749</v>
      </c>
      <c r="T68" s="317">
        <f>IFERROR(Dermal_Exp[[#This Row],[APDR_High-End]]/BW_F,"Not Assessed")</f>
        <v>28.087499999999999</v>
      </c>
      <c r="U68" s="317">
        <f>IFERROR(Dermal_Exp[[#This Row],[APDR_Central Tendency]]/BW_F,"Not Assessed")</f>
        <v>9.3625000000000007</v>
      </c>
      <c r="V68" s="317">
        <f>IFERROR(Dermal_Exp[[#This Row],[AAD_High-End]]*IF(Dermal_Exp[[#This Row],[EF_High-End]]&gt;EFID,EFID,Dermal_Exp[[#This Row],[EF_High-End]])/ID,"Not Assessed")</f>
        <v>20.5975</v>
      </c>
      <c r="W68" s="317">
        <f>IFERROR(Dermal_Exp[[#This Row],[AAD_Central Tendency]]*IF(Dermal_Exp[[#This Row],[EF_Central Tendency]]&gt;EFID,EFID,Dermal_Exp[[#This Row],[EF_Central Tendency]])/ID,"Not Assessed")</f>
        <v>6.8658333333333337</v>
      </c>
      <c r="X68" s="317">
        <f>IFERROR(Dermal_Exp[[#This Row],[AAD_High-End]]*Dermal_Exp[[#This Row],[EF_High-End]]*WY_high/(365*WY_high),"Not Assessed")</f>
        <v>19.238013698630137</v>
      </c>
      <c r="Y68" s="317">
        <f>IFERROR(Dermal_Exp[[#This Row],[AAD_Central Tendency]]*Dermal_Exp[[#This Row],[EF_Central Tendency]]*WY_mid/(365*WY_mid),"Not Assessed")</f>
        <v>6.310068493150685</v>
      </c>
    </row>
    <row r="69" spans="1:25" x14ac:dyDescent="0.3">
      <c r="A69" s="306">
        <v>7</v>
      </c>
      <c r="B69" s="293" t="s">
        <v>286</v>
      </c>
      <c r="C69" s="308" t="s">
        <v>268</v>
      </c>
      <c r="D69" s="206" t="s">
        <v>73</v>
      </c>
      <c r="E69" s="206" t="s">
        <v>349</v>
      </c>
      <c r="F69" s="206">
        <v>1</v>
      </c>
      <c r="G69" s="486">
        <v>0</v>
      </c>
      <c r="H69" s="300">
        <v>250</v>
      </c>
      <c r="I69" s="300">
        <v>246</v>
      </c>
      <c r="J69" s="487">
        <v>1</v>
      </c>
      <c r="K69" s="487">
        <v>1</v>
      </c>
      <c r="L69" s="488">
        <f>IF(Dermal_Exp[[#This Row],[Worker Type]]="ONU",AH1_cm2_F,AH2_cm2_F)</f>
        <v>1070</v>
      </c>
      <c r="M69" s="488">
        <f t="shared" si="2"/>
        <v>535</v>
      </c>
      <c r="N69" s="487">
        <f>IF(Dermal_Exp[[#This Row],[Physical Form]]="Liquid",2.1,IF(Dermal_Exp[[#This Row],[Physical Form]]="Solid",0,IF(Dermal_Exp[[#This Row],[Physical Form]]="Liquid &amp; Solid",2.1,IF(Dermal_Exp[[#This Row],[Similar Exposure Group (SEG)]]="ONU",1.4,10.3))))</f>
        <v>2.1</v>
      </c>
      <c r="O69" s="487">
        <f>IF(Dermal_Exp[[#This Row],[Physical Form]]="Liquid",1.4,IF(Dermal_Exp[[#This Row],[Physical Form]]="Solid",0,IF(Dermal_Exp[[#This Row],[Physical Form]]="Liquid &amp; Solid",1.4,IF(Dermal_Exp[[#This Row],[Similar Exposure Group (SEG)]]="ONU",1.4,3.8))))</f>
        <v>1.4</v>
      </c>
      <c r="P69" s="487">
        <f>IF(Dermal_Exp[[#This Row],[Physical Form]]="Liquid",0,IF(Dermal_Exp[[#This Row],[Physical Form]]="Solid",1100/Dermal_Exp[[#This Row],[SA_High-End (Two hands)]],IF(Dermal_Exp[[#This Row],[Physical Form]]="Liquid &amp; Solid",1100/Dermal_Exp[[#This Row],[SA_High-End (Two hands)]],0)))</f>
        <v>0</v>
      </c>
      <c r="Q69" s="487">
        <f>IF(Dermal_Exp[[#This Row],[Physical Form]]="Liquid",0,IF(Dermal_Exp[[#This Row],[Physical Form]]="Solid",450/Dermal_Exp[[#This Row],[SA_Central Tendency (One hand)]],IF(Dermal_Exp[[#This Row],[Physical Form]]="Liquid &amp; Solid",450/Dermal_Exp[[#This Row],[SA_Central Tendency (One hand)]],0)))</f>
        <v>0</v>
      </c>
      <c r="R69" s="317">
        <f>IFERROR(Dermal_Exp[[#This Row],[SA_High-End (Two hands)]]*(Dermal_Exp[[#This Row],[Qu_High-End (Liquid or Mist)]]*Dermal_Exp[[#This Row],[Liquid or Mist]]+Dermal_Exp[[#This Row],[Qu_High-End (Solid)]]*Dermal_Exp[[#This Row],[Solid]])*Dermal_Exp[[#This Row],[FT_High-End]],"Not Assessed")</f>
        <v>2247</v>
      </c>
      <c r="S69" s="317">
        <f>IFERROR(Dermal_Exp[[#This Row],[SA_Central Tendency (One hand)]]*(Dermal_Exp[[#This Row],[Qu_Central Tendency (Liquid or Mist)]]*Dermal_Exp[[#This Row],[Liquid or Mist]]+Dermal_Exp[[#This Row],[Qu_Central Tendency (Solid)]]*Dermal_Exp[[#This Row],[Solid]])*Dermal_Exp[[#This Row],[FT_Central Tendency]],"Not Assessed")</f>
        <v>749</v>
      </c>
      <c r="T69" s="317">
        <f>IFERROR(Dermal_Exp[[#This Row],[APDR_High-End]]/BW_F,"Not Assessed")</f>
        <v>28.087499999999999</v>
      </c>
      <c r="U69" s="317">
        <f>IFERROR(Dermal_Exp[[#This Row],[APDR_Central Tendency]]/BW_F,"Not Assessed")</f>
        <v>9.3625000000000007</v>
      </c>
      <c r="V69" s="317">
        <f>IFERROR(Dermal_Exp[[#This Row],[AAD_High-End]]*IF(Dermal_Exp[[#This Row],[EF_High-End]]&gt;EFID,EFID,Dermal_Exp[[#This Row],[EF_High-End]])/ID,"Not Assessed")</f>
        <v>20.5975</v>
      </c>
      <c r="W69" s="317">
        <f>IFERROR(Dermal_Exp[[#This Row],[AAD_Central Tendency]]*IF(Dermal_Exp[[#This Row],[EF_Central Tendency]]&gt;EFID,EFID,Dermal_Exp[[#This Row],[EF_Central Tendency]])/ID,"Not Assessed")</f>
        <v>6.8658333333333337</v>
      </c>
      <c r="X69" s="317">
        <f>IFERROR(Dermal_Exp[[#This Row],[AAD_High-End]]*Dermal_Exp[[#This Row],[EF_High-End]]*WY_high/(365*WY_high),"Not Assessed")</f>
        <v>19.238013698630137</v>
      </c>
      <c r="Y69" s="317">
        <f>IFERROR(Dermal_Exp[[#This Row],[AAD_Central Tendency]]*Dermal_Exp[[#This Row],[EF_Central Tendency]]*WY_mid/(365*WY_mid),"Not Assessed")</f>
        <v>6.310068493150685</v>
      </c>
    </row>
    <row r="70" spans="1:25" x14ac:dyDescent="0.3">
      <c r="A70" s="306">
        <v>7</v>
      </c>
      <c r="B70" s="293" t="s">
        <v>252</v>
      </c>
      <c r="C70" s="308" t="s">
        <v>73</v>
      </c>
      <c r="D70" s="206" t="s">
        <v>73</v>
      </c>
      <c r="E70" s="206" t="s">
        <v>349</v>
      </c>
      <c r="F70" s="206">
        <v>0.01</v>
      </c>
      <c r="G70" s="486">
        <v>0</v>
      </c>
      <c r="H70" s="300">
        <v>250</v>
      </c>
      <c r="I70" s="300">
        <v>218</v>
      </c>
      <c r="J70" s="487">
        <v>1</v>
      </c>
      <c r="K70" s="487">
        <v>1</v>
      </c>
      <c r="L70" s="488">
        <f>IF(Dermal_Exp[[#This Row],[Worker Type]]="ONU",AH1_cm2_F,AH2_cm2_F)</f>
        <v>1070</v>
      </c>
      <c r="M70" s="488">
        <f t="shared" si="2"/>
        <v>535</v>
      </c>
      <c r="N70" s="487">
        <f>IF(Dermal_Exp[[#This Row],[Physical Form]]="Liquid",2.1,IF(Dermal_Exp[[#This Row],[Physical Form]]="Solid",0,IF(Dermal_Exp[[#This Row],[Physical Form]]="Liquid &amp; Solid",2.1,IF(Dermal_Exp[[#This Row],[Similar Exposure Group (SEG)]]="ONU",1.4,10.3))))</f>
        <v>2.1</v>
      </c>
      <c r="O70" s="487">
        <f>IF(Dermal_Exp[[#This Row],[Physical Form]]="Liquid",1.4,IF(Dermal_Exp[[#This Row],[Physical Form]]="Solid",0,IF(Dermal_Exp[[#This Row],[Physical Form]]="Liquid &amp; Solid",1.4,IF(Dermal_Exp[[#This Row],[Similar Exposure Group (SEG)]]="ONU",1.4,3.8))))</f>
        <v>1.4</v>
      </c>
      <c r="P70" s="487">
        <f>IF(Dermal_Exp[[#This Row],[Physical Form]]="Liquid",0,IF(Dermal_Exp[[#This Row],[Physical Form]]="Solid",1100/Dermal_Exp[[#This Row],[SA_High-End (Two hands)]],IF(Dermal_Exp[[#This Row],[Physical Form]]="Liquid &amp; Solid",1100/Dermal_Exp[[#This Row],[SA_High-End (Two hands)]],0)))</f>
        <v>0</v>
      </c>
      <c r="Q70" s="487">
        <f>IF(Dermal_Exp[[#This Row],[Physical Form]]="Liquid",0,IF(Dermal_Exp[[#This Row],[Physical Form]]="Solid",450/Dermal_Exp[[#This Row],[SA_Central Tendency (One hand)]],IF(Dermal_Exp[[#This Row],[Physical Form]]="Liquid &amp; Solid",450/Dermal_Exp[[#This Row],[SA_Central Tendency (One hand)]],0)))</f>
        <v>0</v>
      </c>
      <c r="R70" s="317">
        <f>IFERROR(Dermal_Exp[[#This Row],[SA_High-End (Two hands)]]*(Dermal_Exp[[#This Row],[Qu_High-End (Liquid or Mist)]]*Dermal_Exp[[#This Row],[Liquid or Mist]]+Dermal_Exp[[#This Row],[Qu_High-End (Solid)]]*Dermal_Exp[[#This Row],[Solid]])*Dermal_Exp[[#This Row],[FT_High-End]],"Not Assessed")</f>
        <v>22.470000000000002</v>
      </c>
      <c r="S70" s="317">
        <f>IFERROR(Dermal_Exp[[#This Row],[SA_Central Tendency (One hand)]]*(Dermal_Exp[[#This Row],[Qu_Central Tendency (Liquid or Mist)]]*Dermal_Exp[[#This Row],[Liquid or Mist]]+Dermal_Exp[[#This Row],[Qu_Central Tendency (Solid)]]*Dermal_Exp[[#This Row],[Solid]])*Dermal_Exp[[#This Row],[FT_Central Tendency]],"Not Assessed")</f>
        <v>7.4899999999999993</v>
      </c>
      <c r="T70" s="317">
        <f>IFERROR(Dermal_Exp[[#This Row],[APDR_High-End]]/BW_F,"Not Assessed")</f>
        <v>0.28087500000000004</v>
      </c>
      <c r="U70" s="317">
        <f>IFERROR(Dermal_Exp[[#This Row],[APDR_Central Tendency]]/BW_F,"Not Assessed")</f>
        <v>9.3624999999999986E-2</v>
      </c>
      <c r="V70" s="317">
        <f>IFERROR(Dermal_Exp[[#This Row],[AAD_High-End]]*IF(Dermal_Exp[[#This Row],[EF_High-End]]&gt;EFID,EFID,Dermal_Exp[[#This Row],[EF_High-End]])/ID,"Not Assessed")</f>
        <v>0.20597500000000002</v>
      </c>
      <c r="W70" s="317">
        <f>IFERROR(Dermal_Exp[[#This Row],[AAD_Central Tendency]]*IF(Dermal_Exp[[#This Row],[EF_Central Tendency]]&gt;EFID,EFID,Dermal_Exp[[#This Row],[EF_Central Tendency]])/ID,"Not Assessed")</f>
        <v>6.8658333333333321E-2</v>
      </c>
      <c r="X70" s="317">
        <f>IFERROR(Dermal_Exp[[#This Row],[AAD_High-End]]*Dermal_Exp[[#This Row],[EF_High-End]]*WY_high/(365*WY_high),"Not Assessed")</f>
        <v>0.19238013698630141</v>
      </c>
      <c r="Y70" s="317">
        <f>IFERROR(Dermal_Exp[[#This Row],[AAD_Central Tendency]]*Dermal_Exp[[#This Row],[EF_Central Tendency]]*WY_mid/(365*WY_mid),"Not Assessed")</f>
        <v>5.5918493150684923E-2</v>
      </c>
    </row>
    <row r="71" spans="1:25" ht="26" x14ac:dyDescent="0.3">
      <c r="A71" s="306">
        <v>7</v>
      </c>
      <c r="B71" s="293" t="s">
        <v>252</v>
      </c>
      <c r="C71" s="308" t="s">
        <v>54</v>
      </c>
      <c r="D71" s="206" t="s">
        <v>54</v>
      </c>
      <c r="E71" s="206" t="s">
        <v>421</v>
      </c>
      <c r="F71" s="206">
        <v>0.01</v>
      </c>
      <c r="G71" s="486">
        <v>0</v>
      </c>
      <c r="H71" s="300">
        <v>250</v>
      </c>
      <c r="I71" s="300">
        <v>218</v>
      </c>
      <c r="J71" s="487">
        <v>1</v>
      </c>
      <c r="K71" s="487">
        <v>1</v>
      </c>
      <c r="L71" s="488">
        <f>IF(Dermal_Exp[[#This Row],[Worker Type]]="ONU",AH1_cm2_F,AH2_cm2_F)</f>
        <v>535</v>
      </c>
      <c r="M71" s="488">
        <f t="shared" si="2"/>
        <v>535</v>
      </c>
      <c r="N71" s="487">
        <f>IF(Dermal_Exp[[#This Row],[Physical Form]]="Liquid",2.1,IF(Dermal_Exp[[#This Row],[Physical Form]]="Solid",0,IF(Dermal_Exp[[#This Row],[Physical Form]]="Liquid &amp; Solid",2.1,IF(Dermal_Exp[[#This Row],[Similar Exposure Group (SEG)]]="ONU",1.4,10.3))))</f>
        <v>1.4</v>
      </c>
      <c r="O71" s="487">
        <f>IF(Dermal_Exp[[#This Row],[Physical Form]]="Liquid",1.4,IF(Dermal_Exp[[#This Row],[Physical Form]]="Solid",0,IF(Dermal_Exp[[#This Row],[Physical Form]]="Liquid &amp; Solid",1.4,IF(Dermal_Exp[[#This Row],[Similar Exposure Group (SEG)]]="ONU",1.4,3.8))))</f>
        <v>1.4</v>
      </c>
      <c r="P71" s="487">
        <f>IF(Dermal_Exp[[#This Row],[Physical Form]]="Liquid",0,IF(Dermal_Exp[[#This Row],[Physical Form]]="Solid",1100/Dermal_Exp[[#This Row],[SA_High-End (Two hands)]],IF(Dermal_Exp[[#This Row],[Physical Form]]="Liquid &amp; Solid",1100/Dermal_Exp[[#This Row],[SA_High-End (Two hands)]],0)))</f>
        <v>0</v>
      </c>
      <c r="Q71" s="487">
        <f>IF(Dermal_Exp[[#This Row],[Physical Form]]="Liquid",0,IF(Dermal_Exp[[#This Row],[Physical Form]]="Solid",450/Dermal_Exp[[#This Row],[SA_Central Tendency (One hand)]],IF(Dermal_Exp[[#This Row],[Physical Form]]="Liquid &amp; Solid",450/Dermal_Exp[[#This Row],[SA_Central Tendency (One hand)]],0)))</f>
        <v>0</v>
      </c>
      <c r="R71" s="317">
        <f>IFERROR(Dermal_Exp[[#This Row],[SA_High-End (Two hands)]]*(Dermal_Exp[[#This Row],[Qu_High-End (Liquid or Mist)]]*Dermal_Exp[[#This Row],[Liquid or Mist]]+Dermal_Exp[[#This Row],[Qu_High-End (Solid)]]*Dermal_Exp[[#This Row],[Solid]])*Dermal_Exp[[#This Row],[FT_High-End]],"Not Assessed")</f>
        <v>7.4899999999999993</v>
      </c>
      <c r="S71" s="317">
        <f>IFERROR(Dermal_Exp[[#This Row],[SA_Central Tendency (One hand)]]*(Dermal_Exp[[#This Row],[Qu_Central Tendency (Liquid or Mist)]]*Dermal_Exp[[#This Row],[Liquid or Mist]]+Dermal_Exp[[#This Row],[Qu_Central Tendency (Solid)]]*Dermal_Exp[[#This Row],[Solid]])*Dermal_Exp[[#This Row],[FT_Central Tendency]],"Not Assessed")</f>
        <v>7.4899999999999993</v>
      </c>
      <c r="T71" s="507">
        <f>IFERROR(Dermal_Exp[[#This Row],[APDR_High-End]]/BW_F,"Not Assessed")</f>
        <v>9.3624999999999986E-2</v>
      </c>
      <c r="U71" s="317">
        <f>IFERROR(Dermal_Exp[[#This Row],[APDR_Central Tendency]]/BW_F,"Not Assessed")</f>
        <v>9.3624999999999986E-2</v>
      </c>
      <c r="V71" s="507">
        <f>IFERROR(Dermal_Exp[[#This Row],[AAD_High-End]]*IF(Dermal_Exp[[#This Row],[EF_High-End]]&gt;EFID,EFID,Dermal_Exp[[#This Row],[EF_High-End]])/ID,"Not Assessed")</f>
        <v>6.8658333333333321E-2</v>
      </c>
      <c r="W71" s="317">
        <f>IFERROR(Dermal_Exp[[#This Row],[AAD_Central Tendency]]*IF(Dermal_Exp[[#This Row],[EF_Central Tendency]]&gt;EFID,EFID,Dermal_Exp[[#This Row],[EF_Central Tendency]])/ID,"Not Assessed")</f>
        <v>6.8658333333333321E-2</v>
      </c>
      <c r="X71" s="507">
        <f>IFERROR(Dermal_Exp[[#This Row],[AAD_High-End]]*Dermal_Exp[[#This Row],[EF_High-End]]*WY_high/(365*WY_high),"Not Assessed")</f>
        <v>6.4126712328767113E-2</v>
      </c>
      <c r="Y71" s="317">
        <f>IFERROR(Dermal_Exp[[#This Row],[AAD_Central Tendency]]*Dermal_Exp[[#This Row],[EF_Central Tendency]]*WY_mid/(365*WY_mid),"Not Assessed")</f>
        <v>5.5918493150684923E-2</v>
      </c>
    </row>
    <row r="72" spans="1:25" s="497" customFormat="1" x14ac:dyDescent="0.3">
      <c r="A72" s="498">
        <v>7</v>
      </c>
      <c r="B72" s="514" t="s">
        <v>287</v>
      </c>
      <c r="C72" s="491" t="s">
        <v>73</v>
      </c>
      <c r="D72" s="492" t="s">
        <v>73</v>
      </c>
      <c r="E72" s="492" t="s">
        <v>349</v>
      </c>
      <c r="F72" s="492">
        <v>0.01</v>
      </c>
      <c r="G72" s="493">
        <v>0</v>
      </c>
      <c r="H72" s="494">
        <v>250</v>
      </c>
      <c r="I72" s="494">
        <v>223</v>
      </c>
      <c r="J72" s="495">
        <v>1</v>
      </c>
      <c r="K72" s="495">
        <v>1</v>
      </c>
      <c r="L72" s="510">
        <f>IF(Dermal_Exp[[#This Row],[Worker Type]]="ONU",AH1_cm2_F,AH2_cm2_F)</f>
        <v>1070</v>
      </c>
      <c r="M72" s="510">
        <f t="shared" si="2"/>
        <v>535</v>
      </c>
      <c r="N72" s="495">
        <f>IF(Dermal_Exp[[#This Row],[Physical Form]]="Liquid",2.1,IF(Dermal_Exp[[#This Row],[Physical Form]]="Solid",0,IF(Dermal_Exp[[#This Row],[Physical Form]]="Liquid &amp; Solid",2.1,IF(Dermal_Exp[[#This Row],[Similar Exposure Group (SEG)]]="ONU",1.4,10.3))))</f>
        <v>2.1</v>
      </c>
      <c r="O72" s="495">
        <f>IF(Dermal_Exp[[#This Row],[Physical Form]]="Liquid",1.4,IF(Dermal_Exp[[#This Row],[Physical Form]]="Solid",0,IF(Dermal_Exp[[#This Row],[Physical Form]]="Liquid &amp; Solid",1.4,IF(Dermal_Exp[[#This Row],[Similar Exposure Group (SEG)]]="ONU",1.4,3.8))))</f>
        <v>1.4</v>
      </c>
      <c r="P72" s="495">
        <f>IF(Dermal_Exp[[#This Row],[Physical Form]]="Liquid",0,IF(Dermal_Exp[[#This Row],[Physical Form]]="Solid",1100/Dermal_Exp[[#This Row],[SA_High-End (Two hands)]],IF(Dermal_Exp[[#This Row],[Physical Form]]="Liquid &amp; Solid",1100/Dermal_Exp[[#This Row],[SA_High-End (Two hands)]],0)))</f>
        <v>0</v>
      </c>
      <c r="Q72" s="495">
        <f>IF(Dermal_Exp[[#This Row],[Physical Form]]="Liquid",0,IF(Dermal_Exp[[#This Row],[Physical Form]]="Solid",450/Dermal_Exp[[#This Row],[SA_Central Tendency (One hand)]],IF(Dermal_Exp[[#This Row],[Physical Form]]="Liquid &amp; Solid",450/Dermal_Exp[[#This Row],[SA_Central Tendency (One hand)]],0)))</f>
        <v>0</v>
      </c>
      <c r="R72" s="496">
        <f>IFERROR(Dermal_Exp[[#This Row],[SA_High-End (Two hands)]]*(Dermal_Exp[[#This Row],[Qu_High-End (Liquid or Mist)]]*Dermal_Exp[[#This Row],[Liquid or Mist]]+Dermal_Exp[[#This Row],[Qu_High-End (Solid)]]*Dermal_Exp[[#This Row],[Solid]])*Dermal_Exp[[#This Row],[FT_High-End]],"Not Assessed")</f>
        <v>22.470000000000002</v>
      </c>
      <c r="S72" s="496">
        <f>IFERROR(Dermal_Exp[[#This Row],[SA_Central Tendency (One hand)]]*(Dermal_Exp[[#This Row],[Qu_Central Tendency (Liquid or Mist)]]*Dermal_Exp[[#This Row],[Liquid or Mist]]+Dermal_Exp[[#This Row],[Qu_Central Tendency (Solid)]]*Dermal_Exp[[#This Row],[Solid]])*Dermal_Exp[[#This Row],[FT_Central Tendency]],"Not Assessed")</f>
        <v>7.4899999999999993</v>
      </c>
      <c r="T72" s="496">
        <f>IFERROR(Dermal_Exp[[#This Row],[APDR_High-End]]/BW_F,"Not Assessed")</f>
        <v>0.28087500000000004</v>
      </c>
      <c r="U72" s="496">
        <f>IFERROR(Dermal_Exp[[#This Row],[APDR_Central Tendency]]/BW_F,"Not Assessed")</f>
        <v>9.3624999999999986E-2</v>
      </c>
      <c r="V72" s="496">
        <f>IFERROR(Dermal_Exp[[#This Row],[AAD_High-End]]*IF(Dermal_Exp[[#This Row],[EF_High-End]]&gt;EFID,EFID,Dermal_Exp[[#This Row],[EF_High-End]])/ID,"Not Assessed")</f>
        <v>0.20597500000000002</v>
      </c>
      <c r="W72" s="496">
        <f>IFERROR(Dermal_Exp[[#This Row],[AAD_Central Tendency]]*IF(Dermal_Exp[[#This Row],[EF_Central Tendency]]&gt;EFID,EFID,Dermal_Exp[[#This Row],[EF_Central Tendency]])/ID,"Not Assessed")</f>
        <v>6.8658333333333321E-2</v>
      </c>
      <c r="X72" s="496">
        <f>IFERROR(Dermal_Exp[[#This Row],[AAD_High-End]]*Dermal_Exp[[#This Row],[EF_High-End]]*WY_high/(365*WY_high),"Not Assessed")</f>
        <v>0.19238013698630141</v>
      </c>
      <c r="Y72" s="496">
        <f>IFERROR(Dermal_Exp[[#This Row],[AAD_Central Tendency]]*Dermal_Exp[[#This Row],[EF_Central Tendency]]*WY_mid/(365*WY_mid),"Not Assessed")</f>
        <v>5.7201027397260268E-2</v>
      </c>
    </row>
    <row r="73" spans="1:25" s="497" customFormat="1" x14ac:dyDescent="0.3">
      <c r="A73" s="498">
        <v>7</v>
      </c>
      <c r="B73" s="514" t="s">
        <v>288</v>
      </c>
      <c r="C73" s="491" t="s">
        <v>73</v>
      </c>
      <c r="D73" s="492" t="s">
        <v>73</v>
      </c>
      <c r="E73" s="492" t="s">
        <v>349</v>
      </c>
      <c r="F73" s="492">
        <v>0.01</v>
      </c>
      <c r="G73" s="493">
        <v>0</v>
      </c>
      <c r="H73" s="494">
        <v>250</v>
      </c>
      <c r="I73" s="494">
        <v>223</v>
      </c>
      <c r="J73" s="495">
        <v>1</v>
      </c>
      <c r="K73" s="495">
        <v>1</v>
      </c>
      <c r="L73" s="510">
        <f>IF(Dermal_Exp[[#This Row],[Worker Type]]="ONU",AH1_cm2_F,AH2_cm2_F)</f>
        <v>1070</v>
      </c>
      <c r="M73" s="510">
        <f t="shared" si="2"/>
        <v>535</v>
      </c>
      <c r="N73" s="495">
        <f>IF(Dermal_Exp[[#This Row],[Physical Form]]="Liquid",2.1,IF(Dermal_Exp[[#This Row],[Physical Form]]="Solid",0,IF(Dermal_Exp[[#This Row],[Physical Form]]="Liquid &amp; Solid",2.1,IF(Dermal_Exp[[#This Row],[Similar Exposure Group (SEG)]]="ONU",1.4,10.3))))</f>
        <v>2.1</v>
      </c>
      <c r="O73" s="495">
        <f>IF(Dermal_Exp[[#This Row],[Physical Form]]="Liquid",1.4,IF(Dermal_Exp[[#This Row],[Physical Form]]="Solid",0,IF(Dermal_Exp[[#This Row],[Physical Form]]="Liquid &amp; Solid",1.4,IF(Dermal_Exp[[#This Row],[Similar Exposure Group (SEG)]]="ONU",1.4,3.8))))</f>
        <v>1.4</v>
      </c>
      <c r="P73" s="495">
        <f>IF(Dermal_Exp[[#This Row],[Physical Form]]="Liquid",0,IF(Dermal_Exp[[#This Row],[Physical Form]]="Solid",1100/Dermal_Exp[[#This Row],[SA_High-End (Two hands)]],IF(Dermal_Exp[[#This Row],[Physical Form]]="Liquid &amp; Solid",1100/Dermal_Exp[[#This Row],[SA_High-End (Two hands)]],0)))</f>
        <v>0</v>
      </c>
      <c r="Q73" s="495">
        <f>IF(Dermal_Exp[[#This Row],[Physical Form]]="Liquid",0,IF(Dermal_Exp[[#This Row],[Physical Form]]="Solid",450/Dermal_Exp[[#This Row],[SA_Central Tendency (One hand)]],IF(Dermal_Exp[[#This Row],[Physical Form]]="Liquid &amp; Solid",450/Dermal_Exp[[#This Row],[SA_Central Tendency (One hand)]],0)))</f>
        <v>0</v>
      </c>
      <c r="R73" s="496">
        <f>IFERROR(Dermal_Exp[[#This Row],[SA_High-End (Two hands)]]*(Dermal_Exp[[#This Row],[Qu_High-End (Liquid or Mist)]]*Dermal_Exp[[#This Row],[Liquid or Mist]]+Dermal_Exp[[#This Row],[Qu_High-End (Solid)]]*Dermal_Exp[[#This Row],[Solid]])*Dermal_Exp[[#This Row],[FT_High-End]],"Not Assessed")</f>
        <v>22.470000000000002</v>
      </c>
      <c r="S73" s="496">
        <f>IFERROR(Dermal_Exp[[#This Row],[SA_Central Tendency (One hand)]]*(Dermal_Exp[[#This Row],[Qu_Central Tendency (Liquid or Mist)]]*Dermal_Exp[[#This Row],[Liquid or Mist]]+Dermal_Exp[[#This Row],[Qu_Central Tendency (Solid)]]*Dermal_Exp[[#This Row],[Solid]])*Dermal_Exp[[#This Row],[FT_Central Tendency]],"Not Assessed")</f>
        <v>7.4899999999999993</v>
      </c>
      <c r="T73" s="496">
        <f>IFERROR(Dermal_Exp[[#This Row],[APDR_High-End]]/BW_F,"Not Assessed")</f>
        <v>0.28087500000000004</v>
      </c>
      <c r="U73" s="496">
        <f>IFERROR(Dermal_Exp[[#This Row],[APDR_Central Tendency]]/BW_F,"Not Assessed")</f>
        <v>9.3624999999999986E-2</v>
      </c>
      <c r="V73" s="496">
        <f>IFERROR(Dermal_Exp[[#This Row],[AAD_High-End]]*IF(Dermal_Exp[[#This Row],[EF_High-End]]&gt;EFID,EFID,Dermal_Exp[[#This Row],[EF_High-End]])/ID,"Not Assessed")</f>
        <v>0.20597500000000002</v>
      </c>
      <c r="W73" s="496">
        <f>IFERROR(Dermal_Exp[[#This Row],[AAD_Central Tendency]]*IF(Dermal_Exp[[#This Row],[EF_Central Tendency]]&gt;EFID,EFID,Dermal_Exp[[#This Row],[EF_Central Tendency]])/ID,"Not Assessed")</f>
        <v>6.8658333333333321E-2</v>
      </c>
      <c r="X73" s="496">
        <f>IFERROR(Dermal_Exp[[#This Row],[AAD_High-End]]*Dermal_Exp[[#This Row],[EF_High-End]]*WY_high/(365*WY_high),"Not Assessed")</f>
        <v>0.19238013698630141</v>
      </c>
      <c r="Y73" s="496">
        <f>IFERROR(Dermal_Exp[[#This Row],[AAD_Central Tendency]]*Dermal_Exp[[#This Row],[EF_Central Tendency]]*WY_mid/(365*WY_mid),"Not Assessed")</f>
        <v>5.7201027397260268E-2</v>
      </c>
    </row>
    <row r="74" spans="1:25" x14ac:dyDescent="0.3">
      <c r="A74" s="306">
        <v>8</v>
      </c>
      <c r="B74" s="293" t="s">
        <v>257</v>
      </c>
      <c r="C74" s="308" t="s">
        <v>73</v>
      </c>
      <c r="D74" s="206" t="s">
        <v>73</v>
      </c>
      <c r="E74" s="206" t="s">
        <v>349</v>
      </c>
      <c r="F74" s="206">
        <v>1</v>
      </c>
      <c r="G74" s="486">
        <v>0</v>
      </c>
      <c r="H74" s="300">
        <v>250</v>
      </c>
      <c r="I74" s="300">
        <v>235</v>
      </c>
      <c r="J74" s="487">
        <v>1</v>
      </c>
      <c r="K74" s="487">
        <v>1</v>
      </c>
      <c r="L74" s="488">
        <f>IF(Dermal_Exp[[#This Row],[Worker Type]]="ONU",AH1_cm2_F,AH2_cm2_F)</f>
        <v>1070</v>
      </c>
      <c r="M74" s="488">
        <f t="shared" si="2"/>
        <v>535</v>
      </c>
      <c r="N74" s="487">
        <f>IF(Dermal_Exp[[#This Row],[Physical Form]]="Liquid",2.1,IF(Dermal_Exp[[#This Row],[Physical Form]]="Solid",0,IF(Dermal_Exp[[#This Row],[Physical Form]]="Liquid &amp; Solid",2.1,IF(Dermal_Exp[[#This Row],[Similar Exposure Group (SEG)]]="ONU",1.4,10.3))))</f>
        <v>2.1</v>
      </c>
      <c r="O74" s="487">
        <f>IF(Dermal_Exp[[#This Row],[Physical Form]]="Liquid",1.4,IF(Dermal_Exp[[#This Row],[Physical Form]]="Solid",0,IF(Dermal_Exp[[#This Row],[Physical Form]]="Liquid &amp; Solid",1.4,IF(Dermal_Exp[[#This Row],[Similar Exposure Group (SEG)]]="ONU",1.4,3.8))))</f>
        <v>1.4</v>
      </c>
      <c r="P74" s="487">
        <f>IF(Dermal_Exp[[#This Row],[Physical Form]]="Liquid",0,IF(Dermal_Exp[[#This Row],[Physical Form]]="Solid",1100/Dermal_Exp[[#This Row],[SA_High-End (Two hands)]],IF(Dermal_Exp[[#This Row],[Physical Form]]="Liquid &amp; Solid",1100/Dermal_Exp[[#This Row],[SA_High-End (Two hands)]],0)))</f>
        <v>0</v>
      </c>
      <c r="Q74" s="487">
        <f>IF(Dermal_Exp[[#This Row],[Physical Form]]="Liquid",0,IF(Dermal_Exp[[#This Row],[Physical Form]]="Solid",450/Dermal_Exp[[#This Row],[SA_Central Tendency (One hand)]],IF(Dermal_Exp[[#This Row],[Physical Form]]="Liquid &amp; Solid",450/Dermal_Exp[[#This Row],[SA_Central Tendency (One hand)]],0)))</f>
        <v>0</v>
      </c>
      <c r="R74" s="317">
        <f>IFERROR(Dermal_Exp[[#This Row],[SA_High-End (Two hands)]]*(Dermal_Exp[[#This Row],[Qu_High-End (Liquid or Mist)]]*Dermal_Exp[[#This Row],[Liquid or Mist]]+Dermal_Exp[[#This Row],[Qu_High-End (Solid)]]*Dermal_Exp[[#This Row],[Solid]])*Dermal_Exp[[#This Row],[FT_High-End]],"Not Assessed")</f>
        <v>2247</v>
      </c>
      <c r="S74" s="317">
        <f>IFERROR(Dermal_Exp[[#This Row],[SA_Central Tendency (One hand)]]*(Dermal_Exp[[#This Row],[Qu_Central Tendency (Liquid or Mist)]]*Dermal_Exp[[#This Row],[Liquid or Mist]]+Dermal_Exp[[#This Row],[Qu_Central Tendency (Solid)]]*Dermal_Exp[[#This Row],[Solid]])*Dermal_Exp[[#This Row],[FT_Central Tendency]],"Not Assessed")</f>
        <v>749</v>
      </c>
      <c r="T74" s="317">
        <f>IFERROR(Dermal_Exp[[#This Row],[APDR_High-End]]/BW_F,"Not Assessed")</f>
        <v>28.087499999999999</v>
      </c>
      <c r="U74" s="317">
        <f>IFERROR(Dermal_Exp[[#This Row],[APDR_Central Tendency]]/BW_F,"Not Assessed")</f>
        <v>9.3625000000000007</v>
      </c>
      <c r="V74" s="317">
        <f>IFERROR(Dermal_Exp[[#This Row],[AAD_High-End]]*IF(Dermal_Exp[[#This Row],[EF_High-End]]&gt;EFID,EFID,Dermal_Exp[[#This Row],[EF_High-End]])/ID,"Not Assessed")</f>
        <v>20.5975</v>
      </c>
      <c r="W74" s="317">
        <f>IFERROR(Dermal_Exp[[#This Row],[AAD_Central Tendency]]*IF(Dermal_Exp[[#This Row],[EF_Central Tendency]]&gt;EFID,EFID,Dermal_Exp[[#This Row],[EF_Central Tendency]])/ID,"Not Assessed")</f>
        <v>6.8658333333333337</v>
      </c>
      <c r="X74" s="317">
        <f>IFERROR(Dermal_Exp[[#This Row],[AAD_High-End]]*Dermal_Exp[[#This Row],[EF_High-End]]*WY_high/(365*WY_high),"Not Assessed")</f>
        <v>19.238013698630137</v>
      </c>
      <c r="Y74" s="317">
        <f>IFERROR(Dermal_Exp[[#This Row],[AAD_Central Tendency]]*Dermal_Exp[[#This Row],[EF_Central Tendency]]*WY_mid/(365*WY_mid),"Not Assessed")</f>
        <v>6.0279109589041093</v>
      </c>
    </row>
    <row r="78" spans="1:25" x14ac:dyDescent="0.3">
      <c r="O78" s="1"/>
      <c r="P78" s="1"/>
      <c r="Q78" s="1"/>
    </row>
    <row r="79" spans="1:25" x14ac:dyDescent="0.3">
      <c r="O79" s="1"/>
      <c r="P79" s="1"/>
      <c r="Q79" s="1"/>
    </row>
    <row r="80" spans="1:25" x14ac:dyDescent="0.3">
      <c r="O80" s="1"/>
      <c r="P80" s="1"/>
      <c r="Q80" s="1"/>
    </row>
  </sheetData>
  <sheetProtection algorithmName="SHA-512" hashValue="jIc4w2MlPoK/awRNf+yMW/Mf1K7t9FrjetJTT2rVS2TXkmU59XxvndOOLt5duV0Ur5QEqKYxc+xQ//RLVgwatg==" saltValue="m80f88LD2ZmhiDPiV++Qbg==" spinCount="100000" sheet="1"/>
  <mergeCells count="9">
    <mergeCell ref="X1:Y2"/>
    <mergeCell ref="J1:K2"/>
    <mergeCell ref="L1:M2"/>
    <mergeCell ref="N1:Q2"/>
    <mergeCell ref="F1:G2"/>
    <mergeCell ref="H1:I2"/>
    <mergeCell ref="R1:S2"/>
    <mergeCell ref="T1:U2"/>
    <mergeCell ref="V1:W2"/>
  </mergeCells>
  <phoneticPr fontId="2" type="noConversion"/>
  <conditionalFormatting sqref="F4:G74 N4:Q74">
    <cfRule type="cellIs" dxfId="146" priority="1" operator="equal">
      <formula>0</formula>
    </cfRule>
  </conditionalFormatting>
  <conditionalFormatting sqref="F4:Y74">
    <cfRule type="cellIs" dxfId="145" priority="11" operator="greaterThanOrEqual">
      <formula>10000</formula>
    </cfRule>
    <cfRule type="cellIs" dxfId="144" priority="90" operator="between">
      <formula>10</formula>
      <formula>9999.999</formula>
    </cfRule>
    <cfRule type="cellIs" dxfId="143" priority="91" operator="between">
      <formula>1</formula>
      <formula>9.999</formula>
    </cfRule>
    <cfRule type="cellIs" dxfId="142" priority="92" operator="between">
      <formula>0.1</formula>
      <formula>0.999</formula>
    </cfRule>
    <cfRule type="cellIs" dxfId="141" priority="93" operator="lessThan">
      <formula>0.1</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TaxCatchAll xmlns="4ffa91fb-a0ff-4ac5-b2db-65c790d184a4">
      <Value>1869</Value>
      <Value>1868</Value>
      <Value>1198</Value>
      <Value>1291</Value>
      <Value>137</Value>
    </TaxCatchAll>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D4</TermName>
          <TermId xmlns="http://schemas.microsoft.com/office/infopath/2007/PartnerControls">e42bb572-aeba-4dad-a3e2-dfc318fa019a</TermId>
        </TermInfo>
        <TermInfo xmlns="http://schemas.microsoft.com/office/infopath/2007/PartnerControls">
          <TermName xmlns="http://schemas.microsoft.com/office/infopath/2007/PartnerControls">Human Health</TermName>
          <TermId xmlns="http://schemas.microsoft.com/office/infopath/2007/PartnerControls">24c777ae-77a4-4cf0-abb4-2137f04323a1</TermId>
        </TermInfo>
        <TermInfo xmlns="http://schemas.microsoft.com/office/infopath/2007/PartnerControls">
          <TermName xmlns="http://schemas.microsoft.com/office/infopath/2007/PartnerControls">occupational exposures</TermName>
          <TermId xmlns="http://schemas.microsoft.com/office/infopath/2007/PartnerControls">18774c37-cb29-4db0-967a-47bce933212b</TermId>
        </TermInfo>
        <TermInfo xmlns="http://schemas.microsoft.com/office/infopath/2007/PartnerControls">
          <TermName xmlns="http://schemas.microsoft.com/office/infopath/2007/PartnerControls">risk calculator</TermName>
          <TermId xmlns="http://schemas.microsoft.com/office/infopath/2007/PartnerControls">8af20125-90c4-4af3-92eb-7f5682895c4d</TermId>
        </TermInfo>
        <TermInfo xmlns="http://schemas.microsoft.com/office/infopath/2007/PartnerControls">
          <TermName xmlns="http://schemas.microsoft.com/office/infopath/2007/PartnerControls">octamethylcyclotetrasiloxane</TermName>
          <TermId xmlns="http://schemas.microsoft.com/office/infopath/2007/PartnerControls">035a888b-bf1e-4eac-a525-063599ca8691</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2024-04-01T05:18:31+00:00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e3f09c3df709400db2417a7161762d62 xmlns="4ffa91fb-a0ff-4ac5-b2db-65c790d184a4">
      <Terms xmlns="http://schemas.microsoft.com/office/infopath/2007/PartnerControls"/>
    </e3f09c3df709400db2417a7161762d62>
    <lcf76f155ced4ddcb4097134ff3c332f xmlns="ead8da0f-3542-4e50-96c8-f1f698624e8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723352F79007E408EFF44D6142FFCE2" ma:contentTypeVersion="21" ma:contentTypeDescription="Create a new document." ma:contentTypeScope="" ma:versionID="e95dd583e1418bbab84cc60b808c79a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fecc2597-e8fd-4279-ac06-bd7c891938be" xmlns:ns6="ead8da0f-3542-4e50-96c8-f1f698624e86" targetNamespace="http://schemas.microsoft.com/office/2006/metadata/properties" ma:root="true" ma:fieldsID="2f7c14c724f6fd5b0410ef8d6affcf61" ns1:_="" ns2:_="" ns3:_="" ns4:_="" ns5:_="" ns6:_="">
    <xsd:import namespace="http://schemas.microsoft.com/sharepoint/v3"/>
    <xsd:import namespace="4ffa91fb-a0ff-4ac5-b2db-65c790d184a4"/>
    <xsd:import namespace="http://schemas.microsoft.com/sharepoint.v3"/>
    <xsd:import namespace="http://schemas.microsoft.com/sharepoint/v3/fields"/>
    <xsd:import namespace="fecc2597-e8fd-4279-ac06-bd7c891938be"/>
    <xsd:import namespace="ead8da0f-3542-4e50-96c8-f1f698624e86"/>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MediaServiceMetadata" minOccurs="0"/>
                <xsd:element ref="ns6:MediaServiceFastMetadata" minOccurs="0"/>
                <xsd:element ref="ns6:MediaServiceAutoTags" minOccurs="0"/>
                <xsd:element ref="ns6:MediaServiceOCR" minOccurs="0"/>
                <xsd:element ref="ns6:MediaServiceGenerationTime" minOccurs="0"/>
                <xsd:element ref="ns6:MediaServiceEventHashCode"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MediaServiceDateTaken" minOccurs="0"/>
                <xsd:element ref="ns6:MediaServiceLocation" minOccurs="0"/>
                <xsd:element ref="ns6: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60cad11-562a-4490-8456-b2fd6f157897}" ma:internalName="TaxCatchAllLabel" ma:readOnly="true" ma:showField="CatchAllDataLabel"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60cad11-562a-4490-8456-b2fd6f157897}" ma:internalName="TaxCatchAll" ma:showField="CatchAllData"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cc2597-e8fd-4279-ac06-bd7c891938be"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d8da0f-3542-4e50-96c8-f1f698624e86"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DateTaken" ma:index="43" nillable="true" ma:displayName="MediaServiceDateTaken" ma:description="" ma:hidden="true" ma:indexed="true" ma:internalName="MediaServiceDateTaken" ma:readOnly="true">
      <xsd:simpleType>
        <xsd:restriction base="dms:Text"/>
      </xsd:simpleType>
    </xsd:element>
    <xsd:element name="MediaServiceLocation" ma:index="44" nillable="true" ma:displayName="Location" ma:description="" ma:indexed="true" ma:internalName="MediaServiceLocation" ma:readOnly="true">
      <xsd:simpleType>
        <xsd:restriction base="dms:Text"/>
      </xsd:simpleType>
    </xsd:element>
    <xsd:element name="MediaLengthInSeconds" ma:index="4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81EF8C-F9C4-4ECB-85FB-784E3D4FD956}">
  <ds:schemaRefs>
    <ds:schemaRef ds:uri="Microsoft.SharePoint.Taxonomy.ContentTypeSync"/>
  </ds:schemaRefs>
</ds:datastoreItem>
</file>

<file path=customXml/itemProps2.xml><?xml version="1.0" encoding="utf-8"?>
<ds:datastoreItem xmlns:ds="http://schemas.openxmlformats.org/officeDocument/2006/customXml" ds:itemID="{A412F8B4-5788-4A50-8FDB-D7CA985C318F}">
  <ds:schemaRefs>
    <ds:schemaRef ds:uri="http://schemas.microsoft.com/office/2006/documentManagement/types"/>
    <ds:schemaRef ds:uri="http://www.w3.org/XML/1998/namespace"/>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dcmitype/"/>
    <ds:schemaRef ds:uri="ead8da0f-3542-4e50-96c8-f1f698624e86"/>
    <ds:schemaRef ds:uri="fecc2597-e8fd-4279-ac06-bd7c891938be"/>
    <ds:schemaRef ds:uri="http://schemas.microsoft.com/sharepoint/v3/fields"/>
    <ds:schemaRef ds:uri="http://schemas.microsoft.com/sharepoint.v3"/>
    <ds:schemaRef ds:uri="4ffa91fb-a0ff-4ac5-b2db-65c790d184a4"/>
    <ds:schemaRef ds:uri="http://schemas.microsoft.com/sharepoint/v3"/>
  </ds:schemaRefs>
</ds:datastoreItem>
</file>

<file path=customXml/itemProps3.xml><?xml version="1.0" encoding="utf-8"?>
<ds:datastoreItem xmlns:ds="http://schemas.openxmlformats.org/officeDocument/2006/customXml" ds:itemID="{C62E1E3B-D6A7-4F6E-8266-F45DD79BF199}">
  <ds:schemaRefs>
    <ds:schemaRef ds:uri="http://schemas.microsoft.com/sharepoint/v3/contenttype/forms"/>
  </ds:schemaRefs>
</ds:datastoreItem>
</file>

<file path=customXml/itemProps4.xml><?xml version="1.0" encoding="utf-8"?>
<ds:datastoreItem xmlns:ds="http://schemas.openxmlformats.org/officeDocument/2006/customXml" ds:itemID="{F16FCB6C-472A-469E-9279-88D9564A3C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fecc2597-e8fd-4279-ac06-bd7c891938be"/>
    <ds:schemaRef ds:uri="ead8da0f-3542-4e50-96c8-f1f698624e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Cover Page</vt:lpstr>
      <vt:lpstr>Read Me</vt:lpstr>
      <vt:lpstr>Calculation Summary</vt:lpstr>
      <vt:lpstr>Dashboard</vt:lpstr>
      <vt:lpstr>RR</vt:lpstr>
      <vt:lpstr>Aggregate RR</vt:lpstr>
      <vt:lpstr>Bridge Table</vt:lpstr>
      <vt:lpstr>Inhalation Exposure</vt:lpstr>
      <vt:lpstr>Dermal Exposure</vt:lpstr>
      <vt:lpstr>Tables for RE</vt:lpstr>
      <vt:lpstr>Tables for Report</vt:lpstr>
      <vt:lpstr>Hazard Values</vt:lpstr>
      <vt:lpstr>List Values</vt:lpstr>
      <vt:lpstr>Exposure Factors</vt:lpstr>
      <vt:lpstr>AH1_cm2</vt:lpstr>
      <vt:lpstr>AH1_cm2_F</vt:lpstr>
      <vt:lpstr>AH2_cm2</vt:lpstr>
      <vt:lpstr>AH2_cm2_F</vt:lpstr>
      <vt:lpstr>AT</vt:lpstr>
      <vt:lpstr>AT_ADC_high</vt:lpstr>
      <vt:lpstr>AT_ADC_mid</vt:lpstr>
      <vt:lpstr>AT_LADC</vt:lpstr>
      <vt:lpstr>BW_default</vt:lpstr>
      <vt:lpstr>BW_F</vt:lpstr>
      <vt:lpstr>ED_10</vt:lpstr>
      <vt:lpstr>ED_12</vt:lpstr>
      <vt:lpstr>ED_8</vt:lpstr>
      <vt:lpstr>EF</vt:lpstr>
      <vt:lpstr>EFID</vt:lpstr>
      <vt:lpstr>ID</vt:lpstr>
      <vt:lpstr>LT</vt:lpstr>
      <vt:lpstr>Mol_Vol</vt:lpstr>
      <vt:lpstr>MW</vt:lpstr>
      <vt:lpstr>WorkBreathRate</vt:lpstr>
      <vt:lpstr>WorkRestRate</vt:lpstr>
      <vt:lpstr>WY_high</vt:lpstr>
      <vt:lpstr>WY_mid</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Risk Calculator for Occupational Exposures for Octamethylcyclotetrasiloxane (D4)</dc:title>
  <dc:subject>Risk Calculator for D4 Occupational Exposures</dc:subject>
  <dc:creator>US EPA</dc:creator>
  <cp:keywords> risk calculator ; occupational exposures ; D4 ; octamethylcyclotetrasiloxane ; Human Health</cp:keywords>
  <dc:description/>
  <cp:lastModifiedBy>Lindsay, Sarah</cp:lastModifiedBy>
  <cp:revision/>
  <dcterms:created xsi:type="dcterms:W3CDTF">2014-03-17T14:32:48Z</dcterms:created>
  <dcterms:modified xsi:type="dcterms:W3CDTF">2025-09-16T17:00:48Z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0x010100D723352F79007E408EFF44D6142FFCE2</vt:lpwstr>
  </property>
  <property fmtid="{D5CDD505-2E9C-101B-9397-08002B2CF9AE}" pid="3" name="TaxKeyword">
    <vt:lpwstr>1868;#D4|e42bb572-aeba-4dad-a3e2-dfc318fa019a;#137;#Human Health|24c777ae-77a4-4cf0-abb4-2137f04323a1;#1291;#occupational exposures|18774c37-cb29-4db0-967a-47bce933212b;#1198;#risk calculator|8af20125-90c4-4af3-92eb-7f5682895c4d;#1869;#octamethylcyclotetrasiloxane|035a888b-bf1e-4eac-a525-063599ca8691</vt:lpwstr>
  </property>
  <property fmtid="{D5CDD505-2E9C-101B-9397-08002B2CF9AE}" pid="4" name="EPA Subject">
    <vt:lpwstr/>
  </property>
  <property fmtid="{D5CDD505-2E9C-101B-9397-08002B2CF9AE}" pid="5" name="Document Type">
    <vt:lpwstr/>
  </property>
  <property fmtid="{D5CDD505-2E9C-101B-9397-08002B2CF9AE}" pid="6" name="MediaServiceImageTags">
    <vt:lpwstr/>
  </property>
  <property fmtid="{D5CDD505-2E9C-101B-9397-08002B2CF9AE}" pid="7" name="Document_x0020_Type">
    <vt:lpwstr/>
  </property>
  <property fmtid="{D5CDD505-2E9C-101B-9397-08002B2CF9AE}" pid="8" name="EPA_x0020_Subject">
    <vt:lpwstr/>
  </property>
</Properties>
</file>