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lindsay_sarah_epa_gov/Documents/Desktop/in progress/D4/"/>
    </mc:Choice>
  </mc:AlternateContent>
  <xr:revisionPtr revIDLastSave="20" documentId="8_{7E623370-B3E9-459C-A75A-473B1943A34F}" xr6:coauthVersionLast="47" xr6:coauthVersionMax="47" xr10:uidLastSave="{515B9472-04F8-4EC6-9E48-62371C93E9D1}"/>
  <bookViews>
    <workbookView xWindow="-110" yWindow="-110" windowWidth="19420" windowHeight="10300" tabRatio="778" xr2:uid="{2C08AE89-E422-4B72-B61B-BB0AA7B3D1A0}"/>
  </bookViews>
  <sheets>
    <sheet name="Cover Page" sheetId="88" r:id="rId1"/>
    <sheet name="HERO-OES Tracking" sheetId="42" state="hidden" r:id="rId2"/>
    <sheet name="Manufacture W-ONU Key" sheetId="25" state="hidden" r:id="rId3"/>
    <sheet name="Read Me" sheetId="84" r:id="rId4"/>
    <sheet name="Exposure Summary" sheetId="4" r:id="rId5"/>
    <sheet name="Constants" sheetId="9" r:id="rId6"/>
    <sheet name="Column Header Key" sheetId="89" r:id="rId7"/>
    <sheet name="OES with Consortium Data_Calcs" sheetId="121" r:id="rId8"/>
    <sheet name="OES with Consortium Data_Raw" sheetId="120" r:id="rId9"/>
    <sheet name="Processing as a Reactant" sheetId="105" r:id="rId10"/>
    <sheet name="Spray App. of Paints Coatings" sheetId="107" r:id="rId11"/>
    <sheet name="Use of Adhesives and Sealants" sheetId="109" r:id="rId12"/>
    <sheet name="Aircraft Maintenance (CC)" sheetId="118" r:id="rId13"/>
    <sheet name="Aircraft Maintenance (PEN)" sheetId="119" r:id="rId14"/>
    <sheet name="Use of Auto Detailing Products" sheetId="98" r:id="rId15"/>
    <sheet name="Use of Animal Grooming Products" sheetId="99" r:id="rId16"/>
    <sheet name="Use of Cleaning Products" sheetId="100" r:id="rId17"/>
    <sheet name="Use of Laundry - Institutional" sheetId="101" r:id="rId18"/>
    <sheet name="Use of Laundry - Industrial" sheetId="102" r:id="rId19"/>
    <sheet name="Unknown" sheetId="93" state="hidden" r:id="rId20"/>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definedName>
    <definedName name="_AtRisk_SimSetting_ConvergenceTolerance" hidden="1">0.01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8</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'Exposure Summary'!$A$5:$T$122</definedName>
    <definedName name="_xlnm._FilterDatabase" localSheetId="8" hidden="1">'OES with Consortium Data_Raw'!$A$1:$AE$139</definedName>
    <definedName name="_xlnm._FilterDatabase" localSheetId="9" hidden="1">'Processing as a Reactant'!$A$2:$AV$36</definedName>
    <definedName name="_xlnm._FilterDatabase" localSheetId="10" hidden="1">'Spray App. of Paints Coatings'!#REF!</definedName>
    <definedName name="_xlnm._FilterDatabase" localSheetId="19" hidden="1">Unknown!$A$2:$BI$91</definedName>
    <definedName name="_xlnm._FilterDatabase" localSheetId="11" hidden="1">'Use of Adhesives and Sealants'!#REF!</definedName>
    <definedName name="_xlnm._FilterDatabase" localSheetId="15" hidden="1">'Use of Animal Grooming Products'!#REF!</definedName>
    <definedName name="_xlnm._FilterDatabase" localSheetId="14" hidden="1">'Use of Auto Detailing Products'!#REF!</definedName>
    <definedName name="_xlnm._FilterDatabase" localSheetId="16" hidden="1">'Use of Cleaning Products'!#REF!</definedName>
    <definedName name="_xlnm._FilterDatabase" localSheetId="18" hidden="1">'Use of Laundry - Industrial'!$A$2:$BH$91</definedName>
    <definedName name="_xlnm._FilterDatabase" localSheetId="17" hidden="1">'Use of Laundry - Institutional'!$A$3:$BH$92</definedName>
    <definedName name="AT_50th_non_cancer">Constants!$C$17</definedName>
    <definedName name="AT_50th_non_cancer_DC">Constants!$C$31</definedName>
    <definedName name="AT_95th_non_cancer">Constants!$C$16</definedName>
    <definedName name="AT_95th_non_cancer_DC">Constants!$C$30</definedName>
    <definedName name="AT_AC">Constants!$C$7</definedName>
    <definedName name="AT_AC_DC">Constants!$C$23</definedName>
    <definedName name="AT_acute">'Aircraft Maintenance (CC)'!$D$18</definedName>
    <definedName name="AT_cancer">Constants!$C$18</definedName>
    <definedName name="AT_cancer_DC">Constants!$C$32</definedName>
    <definedName name="AWD">Constants!$C$8</definedName>
    <definedName name="AWD_10hr">Constants!$C$9</definedName>
    <definedName name="AWD_12hr">Constants!$C$10</definedName>
    <definedName name="AWD_DC_50th">Constants!$C$26</definedName>
    <definedName name="AWD_DC_95th">Constants!$C$25</definedName>
    <definedName name="BR">Constants!$C$19</definedName>
    <definedName name="C_mist_CT">'Spray App. of Paints Coatings'!$C$8</definedName>
    <definedName name="C_mist_HE">'Spray App. of Paints Coatings'!$D$8</definedName>
    <definedName name="ED_10">Constants!$C$5</definedName>
    <definedName name="ED_12">Constants!$C$6</definedName>
    <definedName name="ED_8">Constants!$C$4</definedName>
    <definedName name="ED_acute">'Aircraft Maintenance (CC)'!$D$17</definedName>
    <definedName name="ED_intermediate">Constants!$C$11</definedName>
    <definedName name="ED_spray">'Spray App. of Paints Coatings'!$C$2</definedName>
    <definedName name="EF_1_spray">'Spray App. of Paints Coatings'!$C$3</definedName>
    <definedName name="EF_2_spray">'Spray App. of Paints Coatings'!$C$4</definedName>
    <definedName name="EF_250_spray">'Spray App. of Paints Coatings'!$C$5</definedName>
    <definedName name="EF_intermediate">Constants!$C$12</definedName>
    <definedName name="F_D4_CT_Mist">'Spray App. of Paints Coatings'!$C$7</definedName>
    <definedName name="F_D4_HE_Mist">'Spray App. of Paints Coatings'!$D$7</definedName>
    <definedName name="F_D4_prod_CT_spray">'Spray App. of Paints Coatings'!$C$6</definedName>
    <definedName name="F_D4_prod_HE_spray">'Spray App. of Paints Coatings'!$D$6</definedName>
    <definedName name="LT_cancer">Constants!$C$15</definedName>
    <definedName name="LT_cancer_DC">Constants!$C$29</definedName>
    <definedName name="MW">Constants!$C$20</definedName>
    <definedName name="Pal_Workbook_GUID" hidden="1">"GTSENPWE6T58T8PMND41HTTT"</definedName>
    <definedName name="_xlnm.Print_Area" localSheetId="0">'Cover Page'!$A$1:$J$9</definedName>
    <definedName name="_xlnm.Print_Area" localSheetId="4">'Exposure Summary'!$A$2:$R$118</definedName>
    <definedName name="_xlnm.Print_Area" localSheetId="3">'Read Me'!$A$2:$B$15</definedName>
    <definedName name="_xlnm.Print_Titles" localSheetId="4">'Exposure Summary'!$A:$F,'Exposure Summary'!$2:$5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WA_8hr_CT">'Use of Animal Grooming Products'!$D$5</definedName>
    <definedName name="TWA_8hr_HE">'Use of Animal Grooming Products'!$E$5</definedName>
    <definedName name="WY_50th">Constants!$C$14</definedName>
    <definedName name="WY_50th_DC">Constants!$C$28</definedName>
    <definedName name="WY_95th">Constants!$C$13</definedName>
    <definedName name="WY_95th_DC">Constants!$C$27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 i="105" l="1"/>
  <c r="D7" i="107"/>
  <c r="E13" i="107" s="1"/>
  <c r="C7" i="107"/>
  <c r="D13" i="107" s="1"/>
  <c r="O118" i="4"/>
  <c r="P118" i="4"/>
  <c r="P117" i="4"/>
  <c r="O117" i="4"/>
  <c r="M118" i="4"/>
  <c r="N118" i="4"/>
  <c r="N117" i="4"/>
  <c r="M117" i="4"/>
  <c r="K118" i="4"/>
  <c r="L118" i="4"/>
  <c r="L117" i="4"/>
  <c r="K117" i="4"/>
  <c r="I118" i="4"/>
  <c r="J118" i="4"/>
  <c r="J117" i="4"/>
  <c r="I117" i="4"/>
  <c r="O116" i="4"/>
  <c r="P116" i="4"/>
  <c r="P115" i="4"/>
  <c r="O115" i="4"/>
  <c r="M116" i="4"/>
  <c r="N116" i="4"/>
  <c r="N115" i="4"/>
  <c r="M115" i="4"/>
  <c r="K116" i="4"/>
  <c r="L116" i="4"/>
  <c r="K115" i="4"/>
  <c r="L115" i="4"/>
  <c r="I116" i="4"/>
  <c r="J116" i="4"/>
  <c r="J115" i="4"/>
  <c r="I115" i="4"/>
  <c r="P100" i="4"/>
  <c r="P99" i="4"/>
  <c r="O100" i="4"/>
  <c r="O99" i="4"/>
  <c r="N100" i="4"/>
  <c r="N99" i="4"/>
  <c r="M100" i="4"/>
  <c r="M99" i="4"/>
  <c r="J100" i="4"/>
  <c r="J99" i="4"/>
  <c r="I100" i="4"/>
  <c r="I99" i="4"/>
  <c r="P98" i="4"/>
  <c r="P97" i="4"/>
  <c r="O98" i="4"/>
  <c r="O97" i="4"/>
  <c r="M97" i="4"/>
  <c r="N97" i="4"/>
  <c r="M98" i="4"/>
  <c r="N98" i="4"/>
  <c r="I98" i="4"/>
  <c r="J98" i="4"/>
  <c r="J97" i="4"/>
  <c r="I97" i="4"/>
  <c r="P62" i="4"/>
  <c r="O62" i="4"/>
  <c r="P61" i="4"/>
  <c r="O61" i="4"/>
  <c r="N62" i="4"/>
  <c r="M62" i="4"/>
  <c r="N61" i="4"/>
  <c r="M61" i="4"/>
  <c r="L62" i="4"/>
  <c r="K62" i="4"/>
  <c r="L61" i="4"/>
  <c r="K61" i="4"/>
  <c r="J61" i="4"/>
  <c r="J62" i="4"/>
  <c r="I62" i="4"/>
  <c r="I61" i="4"/>
  <c r="C9" i="9"/>
  <c r="C10" i="9"/>
  <c r="H119" i="4"/>
  <c r="G119" i="4"/>
  <c r="H13" i="4"/>
  <c r="G13" i="4"/>
  <c r="H12" i="4"/>
  <c r="H20" i="4" s="1"/>
  <c r="G12" i="4"/>
  <c r="G20" i="4" s="1"/>
  <c r="G11" i="4"/>
  <c r="G106" i="4" s="1"/>
  <c r="H11" i="4"/>
  <c r="H106" i="4" s="1"/>
  <c r="H10" i="4"/>
  <c r="H105" i="4" s="1"/>
  <c r="G10" i="4"/>
  <c r="G105" i="4" s="1"/>
  <c r="H9" i="4"/>
  <c r="H104" i="4" s="1"/>
  <c r="G9" i="4"/>
  <c r="H8" i="4"/>
  <c r="H103" i="4" s="1"/>
  <c r="G8" i="4"/>
  <c r="G103" i="4" s="1"/>
  <c r="H7" i="4"/>
  <c r="H102" i="4" s="1"/>
  <c r="G7" i="4"/>
  <c r="G102" i="4" s="1"/>
  <c r="X135" i="120"/>
  <c r="X106" i="120"/>
  <c r="X102" i="120"/>
  <c r="X91" i="120"/>
  <c r="X67" i="120"/>
  <c r="X68" i="120"/>
  <c r="X69" i="120"/>
  <c r="X64" i="120"/>
  <c r="X65" i="120"/>
  <c r="X66" i="120"/>
  <c r="X63" i="120"/>
  <c r="X62" i="120"/>
  <c r="X96" i="120"/>
  <c r="X94" i="120"/>
  <c r="X85" i="120"/>
  <c r="X81" i="120"/>
  <c r="X79" i="120"/>
  <c r="X74" i="120"/>
  <c r="X71" i="120"/>
  <c r="X38" i="120"/>
  <c r="X13" i="120"/>
  <c r="X17" i="120"/>
  <c r="X33" i="120"/>
  <c r="X26" i="120"/>
  <c r="X24" i="120"/>
  <c r="X4" i="120"/>
  <c r="V97" i="120"/>
  <c r="W97" i="120" s="1"/>
  <c r="Y97" i="120" s="1"/>
  <c r="X97" i="120"/>
  <c r="V129" i="120"/>
  <c r="W129" i="120" s="1"/>
  <c r="Y129" i="120" s="1"/>
  <c r="V130" i="120"/>
  <c r="W130" i="120" s="1"/>
  <c r="Y130" i="120" s="1"/>
  <c r="V127" i="120"/>
  <c r="W127" i="120" s="1"/>
  <c r="Y127" i="120" s="1"/>
  <c r="X134" i="120"/>
  <c r="X132" i="120"/>
  <c r="X129" i="120"/>
  <c r="X130" i="120"/>
  <c r="X125" i="120"/>
  <c r="X126" i="120"/>
  <c r="X127" i="120"/>
  <c r="X122" i="120"/>
  <c r="X123" i="120"/>
  <c r="X119" i="120"/>
  <c r="X120" i="120"/>
  <c r="X117" i="120"/>
  <c r="X115" i="120"/>
  <c r="X113" i="120"/>
  <c r="X111" i="120"/>
  <c r="X109" i="120"/>
  <c r="X107" i="120"/>
  <c r="X105" i="120"/>
  <c r="X103" i="120"/>
  <c r="X101" i="120"/>
  <c r="X98" i="120"/>
  <c r="X99" i="120"/>
  <c r="X93" i="120"/>
  <c r="X90" i="120"/>
  <c r="X14" i="120"/>
  <c r="X2" i="120"/>
  <c r="X11" i="120"/>
  <c r="X15" i="120"/>
  <c r="X12" i="120"/>
  <c r="X3" i="120"/>
  <c r="X8" i="120"/>
  <c r="X10" i="120"/>
  <c r="X20" i="120"/>
  <c r="X6" i="120"/>
  <c r="X18" i="120"/>
  <c r="X5" i="120"/>
  <c r="X9" i="120"/>
  <c r="X16" i="120"/>
  <c r="X60" i="120"/>
  <c r="X59" i="120"/>
  <c r="X54" i="120"/>
  <c r="X39" i="120"/>
  <c r="X29" i="120"/>
  <c r="X128" i="120"/>
  <c r="W128" i="120"/>
  <c r="AA128" i="120" s="1"/>
  <c r="X61" i="120"/>
  <c r="X55" i="120"/>
  <c r="X53" i="120"/>
  <c r="X51" i="120"/>
  <c r="X49" i="120"/>
  <c r="X45" i="120"/>
  <c r="X46" i="120"/>
  <c r="X47" i="120"/>
  <c r="X42" i="120"/>
  <c r="X43" i="120"/>
  <c r="X58" i="120"/>
  <c r="X40" i="120"/>
  <c r="X56" i="120"/>
  <c r="X52" i="120"/>
  <c r="X48" i="120"/>
  <c r="X50" i="120"/>
  <c r="X41" i="120"/>
  <c r="X44" i="120"/>
  <c r="X25" i="120"/>
  <c r="X37" i="120"/>
  <c r="X35" i="120"/>
  <c r="X36" i="120"/>
  <c r="X19" i="120"/>
  <c r="X34" i="120"/>
  <c r="X30" i="120"/>
  <c r="X31" i="120"/>
  <c r="X32" i="120"/>
  <c r="X28" i="120"/>
  <c r="X27" i="120"/>
  <c r="X7" i="120"/>
  <c r="X21" i="120"/>
  <c r="X23" i="120"/>
  <c r="X22" i="120"/>
  <c r="V82" i="120"/>
  <c r="W82" i="120" s="1"/>
  <c r="Y82" i="120" s="1"/>
  <c r="V76" i="120"/>
  <c r="W76" i="120" s="1"/>
  <c r="Y76" i="120" s="1"/>
  <c r="V138" i="120"/>
  <c r="W138" i="120" s="1"/>
  <c r="Y138" i="120" s="1"/>
  <c r="V136" i="120"/>
  <c r="W136" i="120" s="1"/>
  <c r="Y136" i="120" s="1"/>
  <c r="V133" i="120"/>
  <c r="W133" i="120" s="1"/>
  <c r="Y133" i="120" s="1"/>
  <c r="V131" i="120"/>
  <c r="W131" i="120" s="1"/>
  <c r="Y131" i="120" s="1"/>
  <c r="V124" i="120"/>
  <c r="W124" i="120" s="1"/>
  <c r="Y124" i="120" s="1"/>
  <c r="V121" i="120"/>
  <c r="W121" i="120" s="1"/>
  <c r="Y121" i="120" s="1"/>
  <c r="V118" i="120"/>
  <c r="W118" i="120" s="1"/>
  <c r="Y118" i="120" s="1"/>
  <c r="V116" i="120"/>
  <c r="W116" i="120" s="1"/>
  <c r="Y116" i="120" s="1"/>
  <c r="V114" i="120"/>
  <c r="W114" i="120" s="1"/>
  <c r="Y114" i="120" s="1"/>
  <c r="V112" i="120"/>
  <c r="W112" i="120" s="1"/>
  <c r="Y112" i="120" s="1"/>
  <c r="V110" i="120"/>
  <c r="W110" i="120" s="1"/>
  <c r="Y110" i="120" s="1"/>
  <c r="V108" i="120"/>
  <c r="W108" i="120" s="1"/>
  <c r="Y108" i="120" s="1"/>
  <c r="V104" i="120"/>
  <c r="W104" i="120" s="1"/>
  <c r="Y104" i="120" s="1"/>
  <c r="V100" i="120"/>
  <c r="W100" i="120" s="1"/>
  <c r="Y100" i="120" s="1"/>
  <c r="V95" i="120"/>
  <c r="W95" i="120" s="1"/>
  <c r="Y95" i="120" s="1"/>
  <c r="V88" i="120"/>
  <c r="W88" i="120" s="1"/>
  <c r="Y88" i="120" s="1"/>
  <c r="V23" i="120"/>
  <c r="W23" i="120" s="1"/>
  <c r="V22" i="120"/>
  <c r="W22" i="120" s="1"/>
  <c r="W139" i="120"/>
  <c r="W137" i="120"/>
  <c r="W134" i="120"/>
  <c r="Y134" i="120" s="1"/>
  <c r="W135" i="120"/>
  <c r="W132" i="120"/>
  <c r="Y132" i="120" s="1"/>
  <c r="W125" i="120"/>
  <c r="Y125" i="120" s="1"/>
  <c r="W126" i="120"/>
  <c r="Y126" i="120" s="1"/>
  <c r="W122" i="120"/>
  <c r="Y122" i="120" s="1"/>
  <c r="W123" i="120"/>
  <c r="Y123" i="120" s="1"/>
  <c r="W119" i="120"/>
  <c r="Y119" i="120" s="1"/>
  <c r="W120" i="120"/>
  <c r="Y120" i="120" s="1"/>
  <c r="W117" i="120"/>
  <c r="Y117" i="120" s="1"/>
  <c r="W115" i="120"/>
  <c r="Y115" i="120" s="1"/>
  <c r="W113" i="120"/>
  <c r="Y113" i="120" s="1"/>
  <c r="W111" i="120"/>
  <c r="Y111" i="120" s="1"/>
  <c r="W109" i="120"/>
  <c r="Y109" i="120" s="1"/>
  <c r="W105" i="120"/>
  <c r="Y105" i="120" s="1"/>
  <c r="W106" i="120"/>
  <c r="W107" i="120"/>
  <c r="Y107" i="120" s="1"/>
  <c r="W101" i="120"/>
  <c r="Y101" i="120" s="1"/>
  <c r="W102" i="120"/>
  <c r="Y102" i="120" s="1"/>
  <c r="W103" i="120"/>
  <c r="Y103" i="120" s="1"/>
  <c r="W96" i="120"/>
  <c r="W98" i="120"/>
  <c r="Y98" i="120" s="1"/>
  <c r="W99" i="120"/>
  <c r="Y99" i="120" s="1"/>
  <c r="W89" i="120"/>
  <c r="W90" i="120"/>
  <c r="Y90" i="120" s="1"/>
  <c r="W91" i="120"/>
  <c r="W92" i="120"/>
  <c r="W93" i="120"/>
  <c r="Y93" i="120" s="1"/>
  <c r="W94" i="120"/>
  <c r="W86" i="120"/>
  <c r="W83" i="120"/>
  <c r="W84" i="120"/>
  <c r="W80" i="120"/>
  <c r="Y80" i="120" s="1"/>
  <c r="W81" i="120"/>
  <c r="W78" i="120"/>
  <c r="Y78" i="120" s="1"/>
  <c r="W75" i="120"/>
  <c r="W73" i="120"/>
  <c r="W70" i="120"/>
  <c r="Y70" i="120" s="1"/>
  <c r="W71" i="120"/>
  <c r="W57" i="120"/>
  <c r="W62" i="120"/>
  <c r="Y62" i="120" s="1"/>
  <c r="W11" i="120"/>
  <c r="Y11" i="120" s="1"/>
  <c r="W63" i="120"/>
  <c r="W61" i="120"/>
  <c r="W64" i="120"/>
  <c r="Y64" i="120" s="1"/>
  <c r="W65" i="120"/>
  <c r="W66" i="120"/>
  <c r="Y66" i="120" s="1"/>
  <c r="W2" i="120"/>
  <c r="Y2" i="120" s="1"/>
  <c r="W67" i="120"/>
  <c r="W68" i="120"/>
  <c r="W69" i="120"/>
  <c r="W20" i="120"/>
  <c r="Y20" i="120" s="1"/>
  <c r="W58" i="120"/>
  <c r="W40" i="120"/>
  <c r="W10" i="120"/>
  <c r="Y10" i="120" s="1"/>
  <c r="W42" i="120"/>
  <c r="W43" i="120"/>
  <c r="W8" i="120"/>
  <c r="Y8" i="120" s="1"/>
  <c r="W45" i="120"/>
  <c r="W46" i="120"/>
  <c r="W47" i="120"/>
  <c r="W3" i="120"/>
  <c r="Y3" i="120" s="1"/>
  <c r="W49" i="120"/>
  <c r="W59" i="120"/>
  <c r="W51" i="120"/>
  <c r="W60" i="120"/>
  <c r="W53" i="120"/>
  <c r="W12" i="120"/>
  <c r="Y12" i="120" s="1"/>
  <c r="W55" i="120"/>
  <c r="W36" i="120"/>
  <c r="W13" i="120"/>
  <c r="W37" i="120"/>
  <c r="W5" i="120"/>
  <c r="Y5" i="120" s="1"/>
  <c r="W38" i="120"/>
  <c r="W39" i="120"/>
  <c r="W41" i="120"/>
  <c r="W44" i="120"/>
  <c r="W18" i="120"/>
  <c r="Y18" i="120" s="1"/>
  <c r="W48" i="120"/>
  <c r="W50" i="120"/>
  <c r="W6" i="120"/>
  <c r="Y6" i="120" s="1"/>
  <c r="W52" i="120"/>
  <c r="W54" i="120"/>
  <c r="W17" i="120"/>
  <c r="W33" i="120"/>
  <c r="W19" i="120"/>
  <c r="W31" i="120"/>
  <c r="W9" i="120"/>
  <c r="Y9" i="120" s="1"/>
  <c r="W28" i="120"/>
  <c r="W29" i="120"/>
  <c r="W24" i="120"/>
  <c r="W25" i="120"/>
  <c r="AA25" i="120" s="1"/>
  <c r="W26" i="120"/>
  <c r="Y26" i="120" s="1"/>
  <c r="W16" i="120"/>
  <c r="Y16" i="120" s="1"/>
  <c r="W4" i="120"/>
  <c r="Y4" i="120" s="1"/>
  <c r="W21" i="120"/>
  <c r="Y21" i="120" s="1"/>
  <c r="W87" i="120"/>
  <c r="W85" i="120"/>
  <c r="W79" i="120"/>
  <c r="W77" i="120"/>
  <c r="W74" i="120"/>
  <c r="Y74" i="120" s="1"/>
  <c r="W72" i="120"/>
  <c r="W14" i="120"/>
  <c r="Y14" i="120" s="1"/>
  <c r="W15" i="120"/>
  <c r="Y15" i="120" s="1"/>
  <c r="W56" i="120"/>
  <c r="W35" i="120"/>
  <c r="W34" i="120"/>
  <c r="W32" i="120"/>
  <c r="Y32" i="120" s="1"/>
  <c r="W30" i="120"/>
  <c r="W27" i="120"/>
  <c r="W7" i="120"/>
  <c r="Y7" i="120" s="1"/>
  <c r="G51" i="4" l="1"/>
  <c r="H51" i="4"/>
  <c r="G95" i="4"/>
  <c r="H37" i="4"/>
  <c r="H87" i="4"/>
  <c r="G37" i="4"/>
  <c r="G87" i="4"/>
  <c r="H77" i="4"/>
  <c r="G77" i="4"/>
  <c r="G59" i="4"/>
  <c r="H107" i="4"/>
  <c r="H69" i="4"/>
  <c r="H29" i="4"/>
  <c r="G107" i="4"/>
  <c r="G69" i="4"/>
  <c r="G29" i="4"/>
  <c r="H95" i="4"/>
  <c r="H59" i="4"/>
  <c r="Y38" i="120"/>
  <c r="AA47" i="120"/>
  <c r="Y71" i="120"/>
  <c r="G52" i="4"/>
  <c r="G88" i="4"/>
  <c r="G48" i="4"/>
  <c r="G84" i="4"/>
  <c r="G21" i="4"/>
  <c r="G60" i="4"/>
  <c r="G96" i="4"/>
  <c r="G17" i="4"/>
  <c r="G56" i="4"/>
  <c r="G92" i="4"/>
  <c r="G30" i="4"/>
  <c r="G70" i="4"/>
  <c r="G108" i="4"/>
  <c r="G66" i="4"/>
  <c r="G38" i="4"/>
  <c r="G78" i="4"/>
  <c r="G26" i="4"/>
  <c r="G104" i="4"/>
  <c r="G34" i="4"/>
  <c r="G74" i="4"/>
  <c r="Y23" i="120"/>
  <c r="AA55" i="120"/>
  <c r="AA44" i="120"/>
  <c r="Y17" i="120"/>
  <c r="AA46" i="120"/>
  <c r="Y33" i="120"/>
  <c r="Y91" i="120"/>
  <c r="Z29" i="120"/>
  <c r="AA48" i="120"/>
  <c r="Y94" i="120"/>
  <c r="AA52" i="120"/>
  <c r="Y106" i="120"/>
  <c r="Y36" i="120"/>
  <c r="AA58" i="120"/>
  <c r="AA45" i="120"/>
  <c r="Y63" i="120"/>
  <c r="Y34" i="120"/>
  <c r="AA50" i="120"/>
  <c r="AA41" i="120"/>
  <c r="AA61" i="120"/>
  <c r="Y30" i="120"/>
  <c r="Y67" i="120"/>
  <c r="Y13" i="120"/>
  <c r="Y96" i="120"/>
  <c r="Y69" i="120"/>
  <c r="Y85" i="120"/>
  <c r="Z60" i="120"/>
  <c r="Y68" i="120"/>
  <c r="Y81" i="120"/>
  <c r="Y28" i="120"/>
  <c r="AA51" i="120"/>
  <c r="AA43" i="120"/>
  <c r="Y37" i="120"/>
  <c r="Z59" i="120"/>
  <c r="Y31" i="120"/>
  <c r="AA53" i="120"/>
  <c r="AA40" i="120"/>
  <c r="Y79" i="120"/>
  <c r="Y24" i="120"/>
  <c r="Z39" i="120"/>
  <c r="Y35" i="120"/>
  <c r="Y135" i="120"/>
  <c r="AA56" i="120"/>
  <c r="AA49" i="120"/>
  <c r="Y27" i="120"/>
  <c r="Y65" i="120"/>
  <c r="Y22" i="120"/>
  <c r="Y19" i="120"/>
  <c r="F3" i="121" s="1"/>
  <c r="E3" i="121" s="1"/>
  <c r="G6" i="4" s="1"/>
  <c r="Z54" i="120"/>
  <c r="AA42" i="120"/>
  <c r="H19" i="4"/>
  <c r="H15" i="4"/>
  <c r="H28" i="4"/>
  <c r="H24" i="4"/>
  <c r="H36" i="4"/>
  <c r="H32" i="4"/>
  <c r="H50" i="4"/>
  <c r="H46" i="4"/>
  <c r="H58" i="4"/>
  <c r="H54" i="4"/>
  <c r="H68" i="4"/>
  <c r="H64" i="4"/>
  <c r="H76" i="4"/>
  <c r="H72" i="4"/>
  <c r="H86" i="4"/>
  <c r="H82" i="4"/>
  <c r="H94" i="4"/>
  <c r="H90" i="4"/>
  <c r="G19" i="4"/>
  <c r="G15" i="4"/>
  <c r="G28" i="4"/>
  <c r="G24" i="4"/>
  <c r="G36" i="4"/>
  <c r="G32" i="4"/>
  <c r="G50" i="4"/>
  <c r="G46" i="4"/>
  <c r="G58" i="4"/>
  <c r="G54" i="4"/>
  <c r="G68" i="4"/>
  <c r="G64" i="4"/>
  <c r="G76" i="4"/>
  <c r="G72" i="4"/>
  <c r="G86" i="4"/>
  <c r="G82" i="4"/>
  <c r="G94" i="4"/>
  <c r="G90" i="4"/>
  <c r="H18" i="4"/>
  <c r="H27" i="4"/>
  <c r="H35" i="4"/>
  <c r="H49" i="4"/>
  <c r="H57" i="4"/>
  <c r="H67" i="4"/>
  <c r="H75" i="4"/>
  <c r="H85" i="4"/>
  <c r="H93" i="4"/>
  <c r="G18" i="4"/>
  <c r="G27" i="4"/>
  <c r="G35" i="4"/>
  <c r="G49" i="4"/>
  <c r="G57" i="4"/>
  <c r="G67" i="4"/>
  <c r="G75" i="4"/>
  <c r="G85" i="4"/>
  <c r="G93" i="4"/>
  <c r="H21" i="4"/>
  <c r="H17" i="4"/>
  <c r="H30" i="4"/>
  <c r="H26" i="4"/>
  <c r="H38" i="4"/>
  <c r="H34" i="4"/>
  <c r="H52" i="4"/>
  <c r="H48" i="4"/>
  <c r="H60" i="4"/>
  <c r="H56" i="4"/>
  <c r="H70" i="4"/>
  <c r="H66" i="4"/>
  <c r="H78" i="4"/>
  <c r="H74" i="4"/>
  <c r="H88" i="4"/>
  <c r="H84" i="4"/>
  <c r="H96" i="4"/>
  <c r="H92" i="4"/>
  <c r="H108" i="4"/>
  <c r="H16" i="4"/>
  <c r="H25" i="4"/>
  <c r="H33" i="4"/>
  <c r="H47" i="4"/>
  <c r="H55" i="4"/>
  <c r="H65" i="4"/>
  <c r="H73" i="4"/>
  <c r="H83" i="4"/>
  <c r="H91" i="4"/>
  <c r="G16" i="4"/>
  <c r="G25" i="4"/>
  <c r="G33" i="4"/>
  <c r="G47" i="4"/>
  <c r="G55" i="4"/>
  <c r="G65" i="4"/>
  <c r="G73" i="4"/>
  <c r="G83" i="4"/>
  <c r="G91" i="4"/>
  <c r="H6" i="4" l="1"/>
  <c r="G101" i="4"/>
  <c r="G89" i="4"/>
  <c r="G81" i="4"/>
  <c r="G71" i="4"/>
  <c r="G63" i="4"/>
  <c r="G53" i="4"/>
  <c r="G45" i="4"/>
  <c r="G31" i="4"/>
  <c r="G23" i="4"/>
  <c r="G14" i="4"/>
  <c r="H63" i="4" l="1"/>
  <c r="H71" i="4"/>
  <c r="H101" i="4"/>
  <c r="H23" i="4"/>
  <c r="H81" i="4"/>
  <c r="H14" i="4"/>
  <c r="H89" i="4"/>
  <c r="H31" i="4"/>
  <c r="H45" i="4"/>
  <c r="H53" i="4"/>
  <c r="L14" i="4" l="1"/>
  <c r="H112" i="4"/>
  <c r="G112" i="4"/>
  <c r="H111" i="4"/>
  <c r="G111" i="4"/>
  <c r="C12" i="99"/>
  <c r="G99" i="4"/>
  <c r="H118" i="4"/>
  <c r="G118" i="4"/>
  <c r="H117" i="4"/>
  <c r="G117" i="4"/>
  <c r="H116" i="4"/>
  <c r="G116" i="4"/>
  <c r="H115" i="4"/>
  <c r="G115" i="4"/>
  <c r="H100" i="4"/>
  <c r="G100" i="4"/>
  <c r="H99" i="4"/>
  <c r="H98" i="4"/>
  <c r="H97" i="4"/>
  <c r="G98" i="4"/>
  <c r="G97" i="4"/>
  <c r="C19" i="9"/>
  <c r="J53" i="4" s="1"/>
  <c r="C16" i="9"/>
  <c r="C17" i="9"/>
  <c r="C18" i="9"/>
  <c r="F114" i="4"/>
  <c r="E114" i="4"/>
  <c r="F113" i="4"/>
  <c r="E113" i="4"/>
  <c r="F110" i="4"/>
  <c r="E110" i="4"/>
  <c r="F109" i="4"/>
  <c r="E109" i="4"/>
  <c r="H62" i="4"/>
  <c r="G62" i="4"/>
  <c r="H61" i="4"/>
  <c r="G61" i="4"/>
  <c r="J79" i="4"/>
  <c r="D6" i="100"/>
  <c r="E11" i="100" s="1"/>
  <c r="G113" i="4" s="1"/>
  <c r="C6" i="100"/>
  <c r="D11" i="100" s="1"/>
  <c r="D6" i="98"/>
  <c r="E11" i="98" s="1"/>
  <c r="G109" i="4" s="1"/>
  <c r="C6" i="98"/>
  <c r="D11" i="98" s="1"/>
  <c r="H109" i="4" s="1"/>
  <c r="G41" i="4"/>
  <c r="O15" i="93"/>
  <c r="P15" i="93"/>
  <c r="Q15" i="93"/>
  <c r="AI15" i="93"/>
  <c r="AJ15" i="93" s="1"/>
  <c r="AK15" i="93"/>
  <c r="AL15" i="93" s="1"/>
  <c r="AM15" i="93"/>
  <c r="AN15" i="93" s="1"/>
  <c r="AO15" i="93"/>
  <c r="AP15" i="93"/>
  <c r="AQ15" i="93"/>
  <c r="AR15" i="93"/>
  <c r="AS15" i="93"/>
  <c r="AT15" i="93" s="1"/>
  <c r="AU15" i="93"/>
  <c r="AV15" i="93"/>
  <c r="O16" i="93"/>
  <c r="P16" i="93"/>
  <c r="Q16" i="93"/>
  <c r="AI16" i="93"/>
  <c r="AJ16" i="93" s="1"/>
  <c r="AK16" i="93"/>
  <c r="AL16" i="93" s="1"/>
  <c r="AM16" i="93"/>
  <c r="AN16" i="93"/>
  <c r="AO16" i="93"/>
  <c r="AP16" i="93" s="1"/>
  <c r="AQ16" i="93"/>
  <c r="AR16" i="93"/>
  <c r="AS16" i="93"/>
  <c r="AT16" i="93" s="1"/>
  <c r="AU16" i="93"/>
  <c r="AV16" i="93"/>
  <c r="Y14" i="93"/>
  <c r="AI14" i="93"/>
  <c r="AJ14" i="93"/>
  <c r="AK14" i="93"/>
  <c r="AL14" i="93"/>
  <c r="AM14" i="93"/>
  <c r="AN14" i="93" s="1"/>
  <c r="AO14" i="93"/>
  <c r="AP14" i="93"/>
  <c r="AQ14" i="93"/>
  <c r="AR14" i="93" s="1"/>
  <c r="AS14" i="93"/>
  <c r="AT14" i="93"/>
  <c r="AU14" i="93"/>
  <c r="AV14" i="93"/>
  <c r="V33" i="105"/>
  <c r="V34" i="105"/>
  <c r="V35" i="105"/>
  <c r="V36" i="105"/>
  <c r="Y33" i="105"/>
  <c r="Y34" i="105"/>
  <c r="Y35" i="105"/>
  <c r="Y36" i="105"/>
  <c r="AS169" i="93"/>
  <c r="AT169" i="93" s="1"/>
  <c r="AQ169" i="93"/>
  <c r="AR169" i="93"/>
  <c r="AO169" i="93"/>
  <c r="AP169" i="93" s="1"/>
  <c r="AM169" i="93"/>
  <c r="AN169" i="93" s="1"/>
  <c r="AK169" i="93"/>
  <c r="AL169" i="93"/>
  <c r="AI169" i="93"/>
  <c r="AJ169" i="93"/>
  <c r="AS168" i="93"/>
  <c r="AT168" i="93" s="1"/>
  <c r="AQ168" i="93"/>
  <c r="AR168" i="93"/>
  <c r="AO168" i="93"/>
  <c r="AP168" i="93"/>
  <c r="AM168" i="93"/>
  <c r="AN168" i="93" s="1"/>
  <c r="AK168" i="93"/>
  <c r="AL168" i="93"/>
  <c r="AI168" i="93"/>
  <c r="AJ168" i="93" s="1"/>
  <c r="AS167" i="93"/>
  <c r="AT167" i="93"/>
  <c r="AQ167" i="93"/>
  <c r="AR167" i="93" s="1"/>
  <c r="AO167" i="93"/>
  <c r="AP167" i="93"/>
  <c r="AM167" i="93"/>
  <c r="AN167" i="93" s="1"/>
  <c r="AK167" i="93"/>
  <c r="AL167" i="93"/>
  <c r="AI167" i="93"/>
  <c r="AJ167" i="93"/>
  <c r="AS166" i="93"/>
  <c r="AT166" i="93"/>
  <c r="AQ166" i="93"/>
  <c r="AR166" i="93" s="1"/>
  <c r="AO166" i="93"/>
  <c r="AP166" i="93"/>
  <c r="AM166" i="93"/>
  <c r="AN166" i="93" s="1"/>
  <c r="AK166" i="93"/>
  <c r="AL166" i="93"/>
  <c r="AI166" i="93"/>
  <c r="AJ166" i="93" s="1"/>
  <c r="AS165" i="93"/>
  <c r="AT165" i="93" s="1"/>
  <c r="AQ165" i="93"/>
  <c r="AR165" i="93"/>
  <c r="AP165" i="93"/>
  <c r="AO165" i="93"/>
  <c r="AM165" i="93"/>
  <c r="AN165" i="93" s="1"/>
  <c r="AK165" i="93"/>
  <c r="AL165" i="93"/>
  <c r="AI165" i="93"/>
  <c r="AJ165" i="93"/>
  <c r="AS164" i="93"/>
  <c r="AT164" i="93"/>
  <c r="AQ164" i="93"/>
  <c r="AR164" i="93"/>
  <c r="AO164" i="93"/>
  <c r="AP164" i="93" s="1"/>
  <c r="AM164" i="93"/>
  <c r="AN164" i="93" s="1"/>
  <c r="AK164" i="93"/>
  <c r="AL164" i="93"/>
  <c r="AI164" i="93"/>
  <c r="AJ164" i="93" s="1"/>
  <c r="AS163" i="93"/>
  <c r="AT163" i="93" s="1"/>
  <c r="AQ163" i="93"/>
  <c r="AR163" i="93" s="1"/>
  <c r="AO163" i="93"/>
  <c r="AP163" i="93"/>
  <c r="AM163" i="93"/>
  <c r="AN163" i="93" s="1"/>
  <c r="AK163" i="93"/>
  <c r="AL163" i="93"/>
  <c r="AI163" i="93"/>
  <c r="AJ163" i="93"/>
  <c r="AS162" i="93"/>
  <c r="AT162" i="93"/>
  <c r="AQ162" i="93"/>
  <c r="AR162" i="93"/>
  <c r="AO162" i="93"/>
  <c r="AP162" i="93"/>
  <c r="AM162" i="93"/>
  <c r="AN162" i="93" s="1"/>
  <c r="AK162" i="93"/>
  <c r="AL162" i="93"/>
  <c r="AI162" i="93"/>
  <c r="AJ162" i="93"/>
  <c r="AS161" i="93"/>
  <c r="AT161" i="93" s="1"/>
  <c r="AQ161" i="93"/>
  <c r="AR161" i="93" s="1"/>
  <c r="AO161" i="93"/>
  <c r="AP161" i="93" s="1"/>
  <c r="AM161" i="93"/>
  <c r="AN161" i="93" s="1"/>
  <c r="AK161" i="93"/>
  <c r="AL161" i="93"/>
  <c r="AI161" i="93"/>
  <c r="AJ161" i="93"/>
  <c r="AS160" i="93"/>
  <c r="AT160" i="93"/>
  <c r="AQ160" i="93"/>
  <c r="AR160" i="93"/>
  <c r="AO160" i="93"/>
  <c r="AP160" i="93"/>
  <c r="AM160" i="93"/>
  <c r="AN160" i="93" s="1"/>
  <c r="AK160" i="93"/>
  <c r="AL160" i="93"/>
  <c r="AI160" i="93"/>
  <c r="AJ160" i="93" s="1"/>
  <c r="AS159" i="93"/>
  <c r="AT159" i="93"/>
  <c r="AQ159" i="93"/>
  <c r="AR159" i="93" s="1"/>
  <c r="AP159" i="93"/>
  <c r="AO159" i="93"/>
  <c r="AM159" i="93"/>
  <c r="AN159" i="93" s="1"/>
  <c r="AK159" i="93"/>
  <c r="AL159" i="93"/>
  <c r="AI159" i="93"/>
  <c r="AJ159" i="93" s="1"/>
  <c r="AS158" i="93"/>
  <c r="AT158" i="93"/>
  <c r="AQ158" i="93"/>
  <c r="AR158" i="93"/>
  <c r="AO158" i="93"/>
  <c r="AP158" i="93"/>
  <c r="AM158" i="93"/>
  <c r="AN158" i="93" s="1"/>
  <c r="AK158" i="93"/>
  <c r="AL158" i="93"/>
  <c r="AI158" i="93"/>
  <c r="AJ158" i="93"/>
  <c r="AS157" i="93"/>
  <c r="AT157" i="93" s="1"/>
  <c r="AQ157" i="93"/>
  <c r="AR157" i="93"/>
  <c r="AP157" i="93"/>
  <c r="AO157" i="93"/>
  <c r="AM157" i="93"/>
  <c r="AN157" i="93" s="1"/>
  <c r="AK157" i="93"/>
  <c r="AL157" i="93"/>
  <c r="AI157" i="93"/>
  <c r="AJ157" i="93"/>
  <c r="AS156" i="93"/>
  <c r="AT156" i="93" s="1"/>
  <c r="AQ156" i="93"/>
  <c r="AR156" i="93"/>
  <c r="AO156" i="93"/>
  <c r="AP156" i="93"/>
  <c r="AM156" i="93"/>
  <c r="AN156" i="93" s="1"/>
  <c r="AK156" i="93"/>
  <c r="AL156" i="93"/>
  <c r="AI156" i="93"/>
  <c r="AJ156" i="93" s="1"/>
  <c r="AS155" i="93"/>
  <c r="AT155" i="93"/>
  <c r="AQ155" i="93"/>
  <c r="AR155" i="93" s="1"/>
  <c r="AO155" i="93"/>
  <c r="AP155" i="93"/>
  <c r="AM155" i="93"/>
  <c r="AN155" i="93" s="1"/>
  <c r="AK155" i="93"/>
  <c r="AL155" i="93"/>
  <c r="AI155" i="93"/>
  <c r="AJ155" i="93"/>
  <c r="AS154" i="93"/>
  <c r="AT154" i="93"/>
  <c r="AQ154" i="93"/>
  <c r="AR154" i="93" s="1"/>
  <c r="AO154" i="93"/>
  <c r="AP154" i="93"/>
  <c r="AM154" i="93"/>
  <c r="AN154" i="93" s="1"/>
  <c r="AK154" i="93"/>
  <c r="AL154" i="93"/>
  <c r="AI154" i="93"/>
  <c r="AJ154" i="93" s="1"/>
  <c r="AS153" i="93"/>
  <c r="AT153" i="93" s="1"/>
  <c r="AQ153" i="93"/>
  <c r="AR153" i="93"/>
  <c r="AO153" i="93"/>
  <c r="AP153" i="93" s="1"/>
  <c r="AM153" i="93"/>
  <c r="AN153" i="93" s="1"/>
  <c r="AK153" i="93"/>
  <c r="AL153" i="93"/>
  <c r="AI153" i="93"/>
  <c r="AJ153" i="93"/>
  <c r="AS152" i="93"/>
  <c r="AT152" i="93"/>
  <c r="AQ152" i="93"/>
  <c r="AR152" i="93"/>
  <c r="AO152" i="93"/>
  <c r="AP152" i="93" s="1"/>
  <c r="AM152" i="93"/>
  <c r="AN152" i="93" s="1"/>
  <c r="AK152" i="93"/>
  <c r="AL152" i="93"/>
  <c r="AI152" i="93"/>
  <c r="AJ152" i="93" s="1"/>
  <c r="AS151" i="93"/>
  <c r="AT151" i="93" s="1"/>
  <c r="AQ151" i="93"/>
  <c r="AR151" i="93" s="1"/>
  <c r="AO151" i="93"/>
  <c r="AP151" i="93"/>
  <c r="AM151" i="93"/>
  <c r="AN151" i="93" s="1"/>
  <c r="AK151" i="93"/>
  <c r="AL151" i="93"/>
  <c r="AI151" i="93"/>
  <c r="AJ151" i="93"/>
  <c r="AS150" i="93"/>
  <c r="AT150" i="93" s="1"/>
  <c r="AQ150" i="93"/>
  <c r="AR150" i="93"/>
  <c r="AO150" i="93"/>
  <c r="AP150" i="93"/>
  <c r="AM150" i="93"/>
  <c r="AN150" i="93" s="1"/>
  <c r="AK150" i="93"/>
  <c r="AL150" i="93"/>
  <c r="AI150" i="93"/>
  <c r="AJ150" i="93"/>
  <c r="AS149" i="93"/>
  <c r="AT149" i="93" s="1"/>
  <c r="AQ149" i="93"/>
  <c r="AR149" i="93" s="1"/>
  <c r="AO149" i="93"/>
  <c r="AP149" i="93" s="1"/>
  <c r="AM149" i="93"/>
  <c r="AN149" i="93" s="1"/>
  <c r="AK149" i="93"/>
  <c r="AL149" i="93"/>
  <c r="AI149" i="93"/>
  <c r="AJ149" i="93"/>
  <c r="AS148" i="93"/>
  <c r="AT148" i="93" s="1"/>
  <c r="AQ148" i="93"/>
  <c r="AR148" i="93"/>
  <c r="AO148" i="93"/>
  <c r="AP148" i="93"/>
  <c r="AM148" i="93"/>
  <c r="AN148" i="93" s="1"/>
  <c r="AK148" i="93"/>
  <c r="AL148" i="93"/>
  <c r="AI148" i="93"/>
  <c r="AJ148" i="93" s="1"/>
  <c r="AS147" i="93"/>
  <c r="AT147" i="93"/>
  <c r="AQ147" i="93"/>
  <c r="AR147" i="93" s="1"/>
  <c r="AO147" i="93"/>
  <c r="AP147" i="93" s="1"/>
  <c r="AM147" i="93"/>
  <c r="AN147" i="93" s="1"/>
  <c r="AK147" i="93"/>
  <c r="AL147" i="93"/>
  <c r="AI147" i="93"/>
  <c r="AJ147" i="93" s="1"/>
  <c r="AS146" i="93"/>
  <c r="AT146" i="93" s="1"/>
  <c r="AQ146" i="93"/>
  <c r="AR146" i="93"/>
  <c r="AO146" i="93"/>
  <c r="AP146" i="93"/>
  <c r="AM146" i="93"/>
  <c r="AN146" i="93" s="1"/>
  <c r="AK146" i="93"/>
  <c r="AL146" i="93"/>
  <c r="AI146" i="93"/>
  <c r="AJ146" i="93"/>
  <c r="AS145" i="93"/>
  <c r="AT145" i="93" s="1"/>
  <c r="AQ145" i="93"/>
  <c r="AR145" i="93"/>
  <c r="AO145" i="93"/>
  <c r="AP145" i="93" s="1"/>
  <c r="AM145" i="93"/>
  <c r="AN145" i="93" s="1"/>
  <c r="AK145" i="93"/>
  <c r="AL145" i="93"/>
  <c r="AI145" i="93"/>
  <c r="AJ145" i="93"/>
  <c r="AS144" i="93"/>
  <c r="AT144" i="93" s="1"/>
  <c r="AQ144" i="93"/>
  <c r="AR144" i="93"/>
  <c r="AO144" i="93"/>
  <c r="AP144" i="93"/>
  <c r="AM144" i="93"/>
  <c r="AN144" i="93" s="1"/>
  <c r="AK144" i="93"/>
  <c r="AL144" i="93"/>
  <c r="AI144" i="93"/>
  <c r="AJ144" i="93" s="1"/>
  <c r="AS143" i="93"/>
  <c r="AT143" i="93" s="1"/>
  <c r="AQ143" i="93"/>
  <c r="AR143" i="93" s="1"/>
  <c r="AO143" i="93"/>
  <c r="AP143" i="93"/>
  <c r="AM143" i="93"/>
  <c r="AN143" i="93" s="1"/>
  <c r="AK143" i="93"/>
  <c r="AL143" i="93"/>
  <c r="AI143" i="93"/>
  <c r="AJ143" i="93"/>
  <c r="AS142" i="93"/>
  <c r="AT142" i="93" s="1"/>
  <c r="AQ142" i="93"/>
  <c r="AR142" i="93" s="1"/>
  <c r="AO142" i="93"/>
  <c r="AP142" i="93"/>
  <c r="AM142" i="93"/>
  <c r="AN142" i="93" s="1"/>
  <c r="AK142" i="93"/>
  <c r="AL142" i="93"/>
  <c r="AI142" i="93"/>
  <c r="AJ142" i="93" s="1"/>
  <c r="AS141" i="93"/>
  <c r="AT141" i="93" s="1"/>
  <c r="AQ141" i="93"/>
  <c r="AR141" i="93"/>
  <c r="AO141" i="93"/>
  <c r="AP141" i="93" s="1"/>
  <c r="AM141" i="93"/>
  <c r="AN141" i="93" s="1"/>
  <c r="AK141" i="93"/>
  <c r="AL141" i="93"/>
  <c r="AI141" i="93"/>
  <c r="AJ141" i="93"/>
  <c r="AS140" i="93"/>
  <c r="AT140" i="93" s="1"/>
  <c r="AQ140" i="93"/>
  <c r="AR140" i="93"/>
  <c r="AO140" i="93"/>
  <c r="AP140" i="93" s="1"/>
  <c r="AM140" i="93"/>
  <c r="AN140" i="93" s="1"/>
  <c r="AK140" i="93"/>
  <c r="AL140" i="93"/>
  <c r="AI140" i="93"/>
  <c r="AJ140" i="93" s="1"/>
  <c r="AS139" i="93"/>
  <c r="AT139" i="93" s="1"/>
  <c r="AQ139" i="93"/>
  <c r="AR139" i="93" s="1"/>
  <c r="AO139" i="93"/>
  <c r="AP139" i="93" s="1"/>
  <c r="AM139" i="93"/>
  <c r="AN139" i="93" s="1"/>
  <c r="AK139" i="93"/>
  <c r="AL139" i="93"/>
  <c r="AI139" i="93"/>
  <c r="AJ139" i="93"/>
  <c r="AS138" i="93"/>
  <c r="AT138" i="93"/>
  <c r="AQ138" i="93"/>
  <c r="AR138" i="93"/>
  <c r="AO138" i="93"/>
  <c r="AP138" i="93" s="1"/>
  <c r="AM138" i="93"/>
  <c r="AN138" i="93" s="1"/>
  <c r="AK138" i="93"/>
  <c r="AL138" i="93"/>
  <c r="AI138" i="93"/>
  <c r="AJ138" i="93"/>
  <c r="AS137" i="93"/>
  <c r="AT137" i="93" s="1"/>
  <c r="AQ137" i="93"/>
  <c r="AR137" i="93" s="1"/>
  <c r="AP137" i="93"/>
  <c r="AO137" i="93"/>
  <c r="AM137" i="93"/>
  <c r="AN137" i="93" s="1"/>
  <c r="AK137" i="93"/>
  <c r="AL137" i="93"/>
  <c r="AI137" i="93"/>
  <c r="AJ137" i="93"/>
  <c r="AS136" i="93"/>
  <c r="AT136" i="93"/>
  <c r="AQ136" i="93"/>
  <c r="AR136" i="93"/>
  <c r="AO136" i="93"/>
  <c r="AP136" i="93" s="1"/>
  <c r="AM136" i="93"/>
  <c r="AN136" i="93" s="1"/>
  <c r="AK136" i="93"/>
  <c r="AL136" i="93"/>
  <c r="AI136" i="93"/>
  <c r="AJ136" i="93" s="1"/>
  <c r="AS135" i="93"/>
  <c r="AT135" i="93"/>
  <c r="AQ135" i="93"/>
  <c r="AR135" i="93" s="1"/>
  <c r="AO135" i="93"/>
  <c r="AP135" i="93" s="1"/>
  <c r="AM135" i="93"/>
  <c r="AN135" i="93" s="1"/>
  <c r="AK135" i="93"/>
  <c r="AL135" i="93"/>
  <c r="AI135" i="93"/>
  <c r="AJ135" i="93" s="1"/>
  <c r="AS134" i="93"/>
  <c r="AT134" i="93"/>
  <c r="AQ134" i="93"/>
  <c r="AR134" i="93"/>
  <c r="AO134" i="93"/>
  <c r="AP134" i="93" s="1"/>
  <c r="AM134" i="93"/>
  <c r="AN134" i="93" s="1"/>
  <c r="AK134" i="93"/>
  <c r="AL134" i="93"/>
  <c r="AI134" i="93"/>
  <c r="AJ134" i="93"/>
  <c r="AS133" i="93"/>
  <c r="AT133" i="93" s="1"/>
  <c r="AQ133" i="93"/>
  <c r="AR133" i="93"/>
  <c r="AO133" i="93"/>
  <c r="AP133" i="93" s="1"/>
  <c r="AM133" i="93"/>
  <c r="AN133" i="93" s="1"/>
  <c r="AK133" i="93"/>
  <c r="AL133" i="93"/>
  <c r="AI133" i="93"/>
  <c r="AJ133" i="93"/>
  <c r="AT132" i="93"/>
  <c r="AS132" i="93"/>
  <c r="AQ132" i="93"/>
  <c r="AR132" i="93"/>
  <c r="AO132" i="93"/>
  <c r="AP132" i="93"/>
  <c r="AM132" i="93"/>
  <c r="AN132" i="93" s="1"/>
  <c r="AK132" i="93"/>
  <c r="AL132" i="93"/>
  <c r="AI132" i="93"/>
  <c r="AJ132" i="93" s="1"/>
  <c r="AS131" i="93"/>
  <c r="AT131" i="93"/>
  <c r="AQ131" i="93"/>
  <c r="AR131" i="93" s="1"/>
  <c r="AO131" i="93"/>
  <c r="AP131" i="93"/>
  <c r="AM131" i="93"/>
  <c r="AN131" i="93" s="1"/>
  <c r="AK131" i="93"/>
  <c r="AL131" i="93"/>
  <c r="AI131" i="93"/>
  <c r="AJ131" i="93"/>
  <c r="AS130" i="93"/>
  <c r="AT130" i="93"/>
  <c r="AQ130" i="93"/>
  <c r="AR130" i="93" s="1"/>
  <c r="AO130" i="93"/>
  <c r="AP130" i="93" s="1"/>
  <c r="AM130" i="93"/>
  <c r="AN130" i="93" s="1"/>
  <c r="AK130" i="93"/>
  <c r="AL130" i="93"/>
  <c r="AI130" i="93"/>
  <c r="AJ130" i="93" s="1"/>
  <c r="AS129" i="93"/>
  <c r="AT129" i="93" s="1"/>
  <c r="AQ129" i="93"/>
  <c r="AR129" i="93" s="1"/>
  <c r="AO129" i="93"/>
  <c r="AP129" i="93" s="1"/>
  <c r="AM129" i="93"/>
  <c r="AN129" i="93" s="1"/>
  <c r="AK129" i="93"/>
  <c r="AL129" i="93"/>
  <c r="AI129" i="93"/>
  <c r="AJ129" i="93"/>
  <c r="AS128" i="93"/>
  <c r="AT128" i="93"/>
  <c r="AQ128" i="93"/>
  <c r="AR128" i="93"/>
  <c r="AP128" i="93"/>
  <c r="AO128" i="93"/>
  <c r="AM128" i="93"/>
  <c r="AN128" i="93" s="1"/>
  <c r="AK128" i="93"/>
  <c r="AL128" i="93"/>
  <c r="AI128" i="93"/>
  <c r="AJ128" i="93" s="1"/>
  <c r="AS127" i="93"/>
  <c r="AT127" i="93" s="1"/>
  <c r="AQ127" i="93"/>
  <c r="AR127" i="93" s="1"/>
  <c r="AO127" i="93"/>
  <c r="AP127" i="93"/>
  <c r="AM127" i="93"/>
  <c r="AN127" i="93" s="1"/>
  <c r="AK127" i="93"/>
  <c r="AL127" i="93"/>
  <c r="AI127" i="93"/>
  <c r="AJ127" i="93"/>
  <c r="AS126" i="93"/>
  <c r="AT126" i="93" s="1"/>
  <c r="AQ126" i="93"/>
  <c r="AR126" i="93"/>
  <c r="AO126" i="93"/>
  <c r="AP126" i="93"/>
  <c r="AM126" i="93"/>
  <c r="AN126" i="93" s="1"/>
  <c r="AK126" i="93"/>
  <c r="AL126" i="93"/>
  <c r="AI126" i="93"/>
  <c r="AJ126" i="93"/>
  <c r="AT125" i="93"/>
  <c r="AS125" i="93"/>
  <c r="AQ125" i="93"/>
  <c r="AR125" i="93" s="1"/>
  <c r="AO125" i="93"/>
  <c r="AP125" i="93" s="1"/>
  <c r="AM125" i="93"/>
  <c r="AN125" i="93" s="1"/>
  <c r="AK125" i="93"/>
  <c r="AL125" i="93"/>
  <c r="AI125" i="93"/>
  <c r="AJ125" i="93"/>
  <c r="AS124" i="93"/>
  <c r="AT124" i="93"/>
  <c r="AQ124" i="93"/>
  <c r="AR124" i="93"/>
  <c r="AO124" i="93"/>
  <c r="AP124" i="93"/>
  <c r="AM124" i="93"/>
  <c r="AN124" i="93" s="1"/>
  <c r="AK124" i="93"/>
  <c r="AL124" i="93"/>
  <c r="AI124" i="93"/>
  <c r="AJ124" i="93" s="1"/>
  <c r="AS123" i="93"/>
  <c r="AT123" i="93"/>
  <c r="AQ123" i="93"/>
  <c r="AR123" i="93" s="1"/>
  <c r="AO123" i="93"/>
  <c r="AP123" i="93" s="1"/>
  <c r="AM123" i="93"/>
  <c r="AN123" i="93" s="1"/>
  <c r="AK123" i="93"/>
  <c r="AL123" i="93"/>
  <c r="AI123" i="93"/>
  <c r="AJ123" i="93" s="1"/>
  <c r="AS122" i="93"/>
  <c r="AT122" i="93"/>
  <c r="AQ122" i="93"/>
  <c r="AR122" i="93" s="1"/>
  <c r="AO122" i="93"/>
  <c r="AP122" i="93" s="1"/>
  <c r="AM122" i="93"/>
  <c r="AN122" i="93" s="1"/>
  <c r="AK122" i="93"/>
  <c r="AL122" i="93"/>
  <c r="AI122" i="93"/>
  <c r="AJ122" i="93"/>
  <c r="AS121" i="93"/>
  <c r="AT121" i="93" s="1"/>
  <c r="AQ121" i="93"/>
  <c r="AR121" i="93"/>
  <c r="AP121" i="93"/>
  <c r="AO121" i="93"/>
  <c r="AM121" i="93"/>
  <c r="AN121" i="93" s="1"/>
  <c r="AK121" i="93"/>
  <c r="AL121" i="93"/>
  <c r="AI121" i="93"/>
  <c r="AJ121" i="93"/>
  <c r="AS120" i="93"/>
  <c r="AT120" i="93"/>
  <c r="AQ120" i="93"/>
  <c r="AR120" i="93"/>
  <c r="AO120" i="93"/>
  <c r="AP120" i="93"/>
  <c r="AM120" i="93"/>
  <c r="AN120" i="93" s="1"/>
  <c r="AK120" i="93"/>
  <c r="AL120" i="93"/>
  <c r="AI120" i="93"/>
  <c r="AJ120" i="93" s="1"/>
  <c r="AS119" i="93"/>
  <c r="AT119" i="93"/>
  <c r="AQ119" i="93"/>
  <c r="AR119" i="93" s="1"/>
  <c r="AO119" i="93"/>
  <c r="AP119" i="93"/>
  <c r="AM119" i="93"/>
  <c r="AN119" i="93" s="1"/>
  <c r="AK119" i="93"/>
  <c r="AL119" i="93"/>
  <c r="AI119" i="93"/>
  <c r="AJ119" i="93"/>
  <c r="AS118" i="93"/>
  <c r="AT118" i="93" s="1"/>
  <c r="AQ118" i="93"/>
  <c r="AR118" i="93"/>
  <c r="AO118" i="93"/>
  <c r="AP118" i="93" s="1"/>
  <c r="AM118" i="93"/>
  <c r="AN118" i="93" s="1"/>
  <c r="AK118" i="93"/>
  <c r="AL118" i="93"/>
  <c r="AI118" i="93"/>
  <c r="AJ118" i="93" s="1"/>
  <c r="AT117" i="93"/>
  <c r="AS117" i="93"/>
  <c r="AQ117" i="93"/>
  <c r="AR117" i="93" s="1"/>
  <c r="AO117" i="93"/>
  <c r="AP117" i="93" s="1"/>
  <c r="AM117" i="93"/>
  <c r="AN117" i="93" s="1"/>
  <c r="AK117" i="93"/>
  <c r="AL117" i="93"/>
  <c r="AI117" i="93"/>
  <c r="AJ117" i="93"/>
  <c r="AS116" i="93"/>
  <c r="AT116" i="93"/>
  <c r="AQ116" i="93"/>
  <c r="AR116" i="93"/>
  <c r="AP116" i="93"/>
  <c r="AO116" i="93"/>
  <c r="AM116" i="93"/>
  <c r="AN116" i="93" s="1"/>
  <c r="AK116" i="93"/>
  <c r="AL116" i="93"/>
  <c r="AI116" i="93"/>
  <c r="AJ116" i="93" s="1"/>
  <c r="AS115" i="93"/>
  <c r="AT115" i="93" s="1"/>
  <c r="AQ115" i="93"/>
  <c r="AR115" i="93" s="1"/>
  <c r="AO115" i="93"/>
  <c r="AP115" i="93" s="1"/>
  <c r="AM115" i="93"/>
  <c r="AN115" i="93" s="1"/>
  <c r="AK115" i="93"/>
  <c r="AL115" i="93"/>
  <c r="AI115" i="93"/>
  <c r="AJ115" i="93"/>
  <c r="AS114" i="93"/>
  <c r="AT114" i="93"/>
  <c r="AQ114" i="93"/>
  <c r="AR114" i="93"/>
  <c r="AO114" i="93"/>
  <c r="AP114" i="93" s="1"/>
  <c r="AM114" i="93"/>
  <c r="AN114" i="93" s="1"/>
  <c r="AK114" i="93"/>
  <c r="AL114" i="93" s="1"/>
  <c r="AI114" i="93"/>
  <c r="AJ114" i="93"/>
  <c r="AS113" i="93"/>
  <c r="AT113" i="93" s="1"/>
  <c r="AQ113" i="93"/>
  <c r="AR113" i="93" s="1"/>
  <c r="AP113" i="93"/>
  <c r="AO113" i="93"/>
  <c r="AM113" i="93"/>
  <c r="AN113" i="93" s="1"/>
  <c r="AK113" i="93"/>
  <c r="AL113" i="93" s="1"/>
  <c r="AI113" i="93"/>
  <c r="AJ113" i="93"/>
  <c r="AS112" i="93"/>
  <c r="AT112" i="93" s="1"/>
  <c r="AQ112" i="93"/>
  <c r="AR112" i="93"/>
  <c r="AO112" i="93"/>
  <c r="AP112" i="93" s="1"/>
  <c r="AM112" i="93"/>
  <c r="AN112" i="93" s="1"/>
  <c r="AK112" i="93"/>
  <c r="AL112" i="93"/>
  <c r="AI112" i="93"/>
  <c r="AJ112" i="93" s="1"/>
  <c r="AS111" i="93"/>
  <c r="AT111" i="93"/>
  <c r="AQ111" i="93"/>
  <c r="AR111" i="93" s="1"/>
  <c r="AO111" i="93"/>
  <c r="AP111" i="93" s="1"/>
  <c r="AM111" i="93"/>
  <c r="AN111" i="93" s="1"/>
  <c r="AK111" i="93"/>
  <c r="AL111" i="93"/>
  <c r="AI111" i="93"/>
  <c r="AJ111" i="93"/>
  <c r="AS110" i="93"/>
  <c r="AT110" i="93"/>
  <c r="AQ110" i="93"/>
  <c r="AR110" i="93" s="1"/>
  <c r="AO110" i="93"/>
  <c r="AP110" i="93" s="1"/>
  <c r="AM110" i="93"/>
  <c r="AN110" i="93" s="1"/>
  <c r="AK110" i="93"/>
  <c r="AL110" i="93" s="1"/>
  <c r="AI110" i="93"/>
  <c r="AJ110" i="93"/>
  <c r="AS109" i="93"/>
  <c r="AT109" i="93" s="1"/>
  <c r="AQ109" i="93"/>
  <c r="AR109" i="93"/>
  <c r="AO109" i="93"/>
  <c r="AP109" i="93" s="1"/>
  <c r="AM109" i="93"/>
  <c r="AN109" i="93" s="1"/>
  <c r="AK109" i="93"/>
  <c r="AL109" i="93"/>
  <c r="AI109" i="93"/>
  <c r="AJ109" i="93"/>
  <c r="AT108" i="93"/>
  <c r="AS108" i="93"/>
  <c r="AQ108" i="93"/>
  <c r="AR108" i="93"/>
  <c r="AO108" i="93"/>
  <c r="AP108" i="93"/>
  <c r="AM108" i="93"/>
  <c r="AN108" i="93" s="1"/>
  <c r="AK108" i="93"/>
  <c r="AL108" i="93" s="1"/>
  <c r="AI108" i="93"/>
  <c r="AJ108" i="93" s="1"/>
  <c r="AS107" i="93"/>
  <c r="AT107" i="93"/>
  <c r="AQ107" i="93"/>
  <c r="AR107" i="93" s="1"/>
  <c r="AO107" i="93"/>
  <c r="AP107" i="93"/>
  <c r="AM107" i="93"/>
  <c r="AN107" i="93" s="1"/>
  <c r="AK107" i="93"/>
  <c r="AL107" i="93"/>
  <c r="AI107" i="93"/>
  <c r="AJ107" i="93"/>
  <c r="AS106" i="93"/>
  <c r="AT106" i="93" s="1"/>
  <c r="AQ106" i="93"/>
  <c r="AR106" i="93" s="1"/>
  <c r="AO106" i="93"/>
  <c r="AP106" i="93"/>
  <c r="AM106" i="93"/>
  <c r="AN106" i="93" s="1"/>
  <c r="AK106" i="93"/>
  <c r="AL106" i="93" s="1"/>
  <c r="AI106" i="93"/>
  <c r="AJ106" i="93" s="1"/>
  <c r="AT105" i="93"/>
  <c r="AS105" i="93"/>
  <c r="AQ105" i="93"/>
  <c r="AR105" i="93" s="1"/>
  <c r="AO105" i="93"/>
  <c r="AP105" i="93" s="1"/>
  <c r="AM105" i="93"/>
  <c r="AN105" i="93" s="1"/>
  <c r="AK105" i="93"/>
  <c r="AL105" i="93"/>
  <c r="AI105" i="93"/>
  <c r="AJ105" i="93"/>
  <c r="AS104" i="93"/>
  <c r="AT104" i="93"/>
  <c r="AQ104" i="93"/>
  <c r="AR104" i="93"/>
  <c r="AO104" i="93"/>
  <c r="AP104" i="93" s="1"/>
  <c r="AM104" i="93"/>
  <c r="AN104" i="93" s="1"/>
  <c r="AK104" i="93"/>
  <c r="AL104" i="93"/>
  <c r="AI104" i="93"/>
  <c r="AJ104" i="93" s="1"/>
  <c r="AS103" i="93"/>
  <c r="AT103" i="93" s="1"/>
  <c r="AQ103" i="93"/>
  <c r="AR103" i="93" s="1"/>
  <c r="AO103" i="93"/>
  <c r="AP103" i="93"/>
  <c r="AM103" i="93"/>
  <c r="AN103" i="93" s="1"/>
  <c r="AK103" i="93"/>
  <c r="AL103" i="93"/>
  <c r="AI103" i="93"/>
  <c r="AJ103" i="93"/>
  <c r="AS102" i="93"/>
  <c r="AT102" i="93" s="1"/>
  <c r="AQ102" i="93"/>
  <c r="AR102" i="93"/>
  <c r="AO102" i="93"/>
  <c r="AP102" i="93" s="1"/>
  <c r="AM102" i="93"/>
  <c r="AN102" i="93" s="1"/>
  <c r="AK102" i="93"/>
  <c r="AL102" i="93" s="1"/>
  <c r="AI102" i="93"/>
  <c r="AJ102" i="93"/>
  <c r="AS101" i="93"/>
  <c r="AT101" i="93" s="1"/>
  <c r="AQ101" i="93"/>
  <c r="AR101" i="93" s="1"/>
  <c r="AP101" i="93"/>
  <c r="AO101" i="93"/>
  <c r="AM101" i="93"/>
  <c r="AN101" i="93" s="1"/>
  <c r="AK101" i="93"/>
  <c r="AL101" i="93"/>
  <c r="AI101" i="93"/>
  <c r="AJ101" i="93"/>
  <c r="AS100" i="93"/>
  <c r="AT100" i="93"/>
  <c r="AQ100" i="93"/>
  <c r="AR100" i="93"/>
  <c r="AO100" i="93"/>
  <c r="AP100" i="93"/>
  <c r="AM100" i="93"/>
  <c r="AN100" i="93" s="1"/>
  <c r="AK100" i="93"/>
  <c r="AL100" i="93" s="1"/>
  <c r="AI100" i="93"/>
  <c r="AJ100" i="93" s="1"/>
  <c r="AS99" i="93"/>
  <c r="AT99" i="93" s="1"/>
  <c r="AQ99" i="93"/>
  <c r="AR99" i="93" s="1"/>
  <c r="AO99" i="93"/>
  <c r="AP99" i="93" s="1"/>
  <c r="AM99" i="93"/>
  <c r="AN99" i="93" s="1"/>
  <c r="AK99" i="93"/>
  <c r="AL99" i="93"/>
  <c r="AI99" i="93"/>
  <c r="AJ99" i="93"/>
  <c r="AS98" i="93"/>
  <c r="AT98" i="93" s="1"/>
  <c r="AQ98" i="93"/>
  <c r="AR98" i="93"/>
  <c r="AO98" i="93"/>
  <c r="AP98" i="93"/>
  <c r="AM98" i="93"/>
  <c r="AN98" i="93" s="1"/>
  <c r="AK98" i="93"/>
  <c r="AL98" i="93" s="1"/>
  <c r="AI98" i="93"/>
  <c r="AJ98" i="93" s="1"/>
  <c r="AS97" i="93"/>
  <c r="AT97" i="93" s="1"/>
  <c r="AQ97" i="93"/>
  <c r="AR97" i="93"/>
  <c r="AO97" i="93"/>
  <c r="AP97" i="93" s="1"/>
  <c r="AM97" i="93"/>
  <c r="AN97" i="93" s="1"/>
  <c r="AK97" i="93"/>
  <c r="AL97" i="93"/>
  <c r="AI97" i="93"/>
  <c r="AJ97" i="93"/>
  <c r="AS96" i="93"/>
  <c r="AT96" i="93" s="1"/>
  <c r="AQ96" i="93"/>
  <c r="AR96" i="93"/>
  <c r="AO96" i="93"/>
  <c r="AP96" i="93"/>
  <c r="AM96" i="93"/>
  <c r="AN96" i="93" s="1"/>
  <c r="AK96" i="93"/>
  <c r="AL96" i="93" s="1"/>
  <c r="AI96" i="93"/>
  <c r="AJ96" i="93" s="1"/>
  <c r="AS95" i="93"/>
  <c r="AT95" i="93" s="1"/>
  <c r="AQ95" i="93"/>
  <c r="AR95" i="93" s="1"/>
  <c r="AO95" i="93"/>
  <c r="AP95" i="93"/>
  <c r="AM95" i="93"/>
  <c r="AN95" i="93" s="1"/>
  <c r="AK95" i="93"/>
  <c r="AL95" i="93"/>
  <c r="AI95" i="93"/>
  <c r="AJ95" i="93"/>
  <c r="AS94" i="93"/>
  <c r="AT94" i="93" s="1"/>
  <c r="AQ94" i="93"/>
  <c r="AR94" i="93"/>
  <c r="AO94" i="93"/>
  <c r="AP94" i="93"/>
  <c r="AM94" i="93"/>
  <c r="AN94" i="93" s="1"/>
  <c r="AK94" i="93"/>
  <c r="AL94" i="93" s="1"/>
  <c r="AI94" i="93"/>
  <c r="AJ94" i="93" s="1"/>
  <c r="AS93" i="93"/>
  <c r="AT93" i="93" s="1"/>
  <c r="AQ93" i="93"/>
  <c r="AR93" i="93"/>
  <c r="AO93" i="93"/>
  <c r="AP93" i="93" s="1"/>
  <c r="AM93" i="93"/>
  <c r="AN93" i="93" s="1"/>
  <c r="AK93" i="93"/>
  <c r="AL93" i="93"/>
  <c r="AI93" i="93"/>
  <c r="AJ93" i="93"/>
  <c r="AS92" i="93"/>
  <c r="AT92" i="93"/>
  <c r="AQ92" i="93"/>
  <c r="AR92" i="93"/>
  <c r="AO92" i="93"/>
  <c r="AP92" i="93" s="1"/>
  <c r="AM92" i="93"/>
  <c r="AN92" i="93" s="1"/>
  <c r="AK92" i="93"/>
  <c r="AL92" i="93"/>
  <c r="AI92" i="93"/>
  <c r="AJ92" i="93" s="1"/>
  <c r="AS91" i="93"/>
  <c r="AT91" i="93" s="1"/>
  <c r="AQ91" i="93"/>
  <c r="AR91" i="93" s="1"/>
  <c r="AO91" i="93"/>
  <c r="AP91" i="93"/>
  <c r="AM91" i="93"/>
  <c r="AN91" i="93" s="1"/>
  <c r="AK91" i="93"/>
  <c r="AL91" i="93"/>
  <c r="AI91" i="93"/>
  <c r="AJ91" i="93"/>
  <c r="AS90" i="93"/>
  <c r="AT90" i="93"/>
  <c r="AQ90" i="93"/>
  <c r="AR90" i="93"/>
  <c r="AO90" i="93"/>
  <c r="AP90" i="93"/>
  <c r="AM90" i="93"/>
  <c r="AN90" i="93" s="1"/>
  <c r="AK90" i="93"/>
  <c r="AL90" i="93" s="1"/>
  <c r="AI90" i="93"/>
  <c r="AJ90" i="93" s="1"/>
  <c r="AT89" i="93"/>
  <c r="AS89" i="93"/>
  <c r="AQ89" i="93"/>
  <c r="AR89" i="93" s="1"/>
  <c r="AP89" i="93"/>
  <c r="AO89" i="93"/>
  <c r="AM89" i="93"/>
  <c r="AN89" i="93" s="1"/>
  <c r="AK89" i="93"/>
  <c r="AL89" i="93"/>
  <c r="AI89" i="93"/>
  <c r="AJ89" i="93"/>
  <c r="AS88" i="93"/>
  <c r="AT88" i="93" s="1"/>
  <c r="AQ88" i="93"/>
  <c r="AR88" i="93"/>
  <c r="AO88" i="93"/>
  <c r="AP88" i="93"/>
  <c r="AM88" i="93"/>
  <c r="AN88" i="93" s="1"/>
  <c r="AK88" i="93"/>
  <c r="AL88" i="93" s="1"/>
  <c r="AI88" i="93"/>
  <c r="AJ88" i="93" s="1"/>
  <c r="AS87" i="93"/>
  <c r="AT87" i="93" s="1"/>
  <c r="AQ87" i="93"/>
  <c r="AR87" i="93" s="1"/>
  <c r="AO87" i="93"/>
  <c r="AP87" i="93" s="1"/>
  <c r="AM87" i="93"/>
  <c r="AN87" i="93" s="1"/>
  <c r="AK87" i="93"/>
  <c r="AL87" i="93"/>
  <c r="AI87" i="93"/>
  <c r="AJ87" i="93"/>
  <c r="AS86" i="93"/>
  <c r="AT86" i="93"/>
  <c r="AQ86" i="93"/>
  <c r="AR86" i="93"/>
  <c r="AO86" i="93"/>
  <c r="AP86" i="93" s="1"/>
  <c r="AM86" i="93"/>
  <c r="AN86" i="93" s="1"/>
  <c r="AK86" i="93"/>
  <c r="AL86" i="93" s="1"/>
  <c r="AI86" i="93"/>
  <c r="AJ86" i="93"/>
  <c r="AS85" i="93"/>
  <c r="AT85" i="93" s="1"/>
  <c r="AQ85" i="93"/>
  <c r="AR85" i="93"/>
  <c r="AP85" i="93"/>
  <c r="AO85" i="93"/>
  <c r="AM85" i="93"/>
  <c r="AN85" i="93" s="1"/>
  <c r="AK85" i="93"/>
  <c r="AL85" i="93"/>
  <c r="AI85" i="93"/>
  <c r="AJ85" i="93"/>
  <c r="AS84" i="93"/>
  <c r="AT84" i="93"/>
  <c r="AQ84" i="93"/>
  <c r="AR84" i="93"/>
  <c r="AO84" i="93"/>
  <c r="AP84" i="93" s="1"/>
  <c r="AM84" i="93"/>
  <c r="AN84" i="93" s="1"/>
  <c r="AK84" i="93"/>
  <c r="AL84" i="93" s="1"/>
  <c r="AI84" i="93"/>
  <c r="AJ84" i="93" s="1"/>
  <c r="AS83" i="93"/>
  <c r="AT83" i="93" s="1"/>
  <c r="AQ83" i="93"/>
  <c r="AR83" i="93" s="1"/>
  <c r="AO83" i="93"/>
  <c r="AP83" i="93"/>
  <c r="AN83" i="93"/>
  <c r="AM83" i="93"/>
  <c r="AL83" i="93"/>
  <c r="AK83" i="93"/>
  <c r="AI83" i="93"/>
  <c r="AJ83" i="93" s="1"/>
  <c r="AS82" i="93"/>
  <c r="AT82" i="93"/>
  <c r="AQ82" i="93"/>
  <c r="AR82" i="93" s="1"/>
  <c r="AO82" i="93"/>
  <c r="AP82" i="93" s="1"/>
  <c r="AM82" i="93"/>
  <c r="AN82" i="93" s="1"/>
  <c r="AK82" i="93"/>
  <c r="AL82" i="93"/>
  <c r="AI82" i="93"/>
  <c r="AJ82" i="93"/>
  <c r="AS81" i="93"/>
  <c r="AT81" i="93" s="1"/>
  <c r="AQ81" i="93"/>
  <c r="AR81" i="93"/>
  <c r="AO81" i="93"/>
  <c r="AP81" i="93"/>
  <c r="AM81" i="93"/>
  <c r="AN81" i="93" s="1"/>
  <c r="AK81" i="93"/>
  <c r="AL81" i="93" s="1"/>
  <c r="AI81" i="93"/>
  <c r="AJ81" i="93" s="1"/>
  <c r="AS80" i="93"/>
  <c r="AT80" i="93" s="1"/>
  <c r="AQ80" i="93"/>
  <c r="AR80" i="93"/>
  <c r="AO80" i="93"/>
  <c r="AP80" i="93" s="1"/>
  <c r="AM80" i="93"/>
  <c r="AN80" i="93" s="1"/>
  <c r="AK80" i="93"/>
  <c r="AL80" i="93"/>
  <c r="AI80" i="93"/>
  <c r="AJ80" i="93"/>
  <c r="AS79" i="93"/>
  <c r="AT79" i="93" s="1"/>
  <c r="AQ79" i="93"/>
  <c r="AR79" i="93"/>
  <c r="AO79" i="93"/>
  <c r="AP79" i="93" s="1"/>
  <c r="AM79" i="93"/>
  <c r="AN79" i="93" s="1"/>
  <c r="AL79" i="93"/>
  <c r="AK79" i="93"/>
  <c r="AI79" i="93"/>
  <c r="AJ79" i="93" s="1"/>
  <c r="AS78" i="93"/>
  <c r="AT78" i="93" s="1"/>
  <c r="AQ78" i="93"/>
  <c r="AR78" i="93" s="1"/>
  <c r="AO78" i="93"/>
  <c r="AP78" i="93"/>
  <c r="AM78" i="93"/>
  <c r="AN78" i="93" s="1"/>
  <c r="AK78" i="93"/>
  <c r="AL78" i="93"/>
  <c r="AI78" i="93"/>
  <c r="AJ78" i="93"/>
  <c r="AS77" i="93"/>
  <c r="AT77" i="93" s="1"/>
  <c r="AQ77" i="93"/>
  <c r="AR77" i="93"/>
  <c r="AO77" i="93"/>
  <c r="AP77" i="93"/>
  <c r="AM77" i="93"/>
  <c r="AN77" i="93" s="1"/>
  <c r="AK77" i="93"/>
  <c r="AL77" i="93" s="1"/>
  <c r="AI77" i="93"/>
  <c r="AJ77" i="93"/>
  <c r="AS76" i="93"/>
  <c r="AT76" i="93" s="1"/>
  <c r="AQ76" i="93"/>
  <c r="AR76" i="93" s="1"/>
  <c r="AO76" i="93"/>
  <c r="AP76" i="93" s="1"/>
  <c r="AM76" i="93"/>
  <c r="AN76" i="93" s="1"/>
  <c r="AK76" i="93"/>
  <c r="AL76" i="93" s="1"/>
  <c r="AI76" i="93"/>
  <c r="AJ76" i="93"/>
  <c r="AS75" i="93"/>
  <c r="AT75" i="93" s="1"/>
  <c r="AQ75" i="93"/>
  <c r="AR75" i="93"/>
  <c r="AO75" i="93"/>
  <c r="AP75" i="93"/>
  <c r="AM75" i="93"/>
  <c r="AN75" i="93" s="1"/>
  <c r="AK75" i="93"/>
  <c r="AL75" i="93" s="1"/>
  <c r="AI75" i="93"/>
  <c r="AJ75" i="93" s="1"/>
  <c r="AS74" i="93"/>
  <c r="AT74" i="93"/>
  <c r="AQ74" i="93"/>
  <c r="AR74" i="93" s="1"/>
  <c r="AO74" i="93"/>
  <c r="AP74" i="93" s="1"/>
  <c r="AM74" i="93"/>
  <c r="AN74" i="93" s="1"/>
  <c r="AK74" i="93"/>
  <c r="AL74" i="93"/>
  <c r="AI74" i="93"/>
  <c r="AJ74" i="93"/>
  <c r="AS73" i="93"/>
  <c r="AT73" i="93" s="1"/>
  <c r="AQ73" i="93"/>
  <c r="AR73" i="93" s="1"/>
  <c r="AO73" i="93"/>
  <c r="AP73" i="93"/>
  <c r="AM73" i="93"/>
  <c r="AN73" i="93" s="1"/>
  <c r="AK73" i="93"/>
  <c r="AL73" i="93" s="1"/>
  <c r="AI73" i="93"/>
  <c r="AJ73" i="93"/>
  <c r="AS72" i="93"/>
  <c r="AT72" i="93" s="1"/>
  <c r="AQ72" i="93"/>
  <c r="AR72" i="93"/>
  <c r="AO72" i="93"/>
  <c r="AP72" i="93" s="1"/>
  <c r="AM72" i="93"/>
  <c r="AN72" i="93" s="1"/>
  <c r="AK72" i="93"/>
  <c r="AL72" i="93"/>
  <c r="AI72" i="93"/>
  <c r="AJ72" i="93"/>
  <c r="AT71" i="93"/>
  <c r="AS71" i="93"/>
  <c r="AQ71" i="93"/>
  <c r="AR71" i="93"/>
  <c r="AO71" i="93"/>
  <c r="AP71" i="93"/>
  <c r="AM71" i="93"/>
  <c r="AN71" i="93" s="1"/>
  <c r="AK71" i="93"/>
  <c r="AL71" i="93" s="1"/>
  <c r="AI71" i="93"/>
  <c r="AJ71" i="93" s="1"/>
  <c r="AS70" i="93"/>
  <c r="AT70" i="93"/>
  <c r="AQ70" i="93"/>
  <c r="AR70" i="93" s="1"/>
  <c r="AO70" i="93"/>
  <c r="AP70" i="93" s="1"/>
  <c r="AM70" i="93"/>
  <c r="AN70" i="93" s="1"/>
  <c r="AK70" i="93"/>
  <c r="AL70" i="93"/>
  <c r="AI70" i="93"/>
  <c r="AJ70" i="93"/>
  <c r="AS69" i="93"/>
  <c r="AT69" i="93"/>
  <c r="AQ69" i="93"/>
  <c r="AR69" i="93"/>
  <c r="AO69" i="93"/>
  <c r="AP69" i="93"/>
  <c r="AM69" i="93"/>
  <c r="AN69" i="93" s="1"/>
  <c r="AL69" i="93"/>
  <c r="AK69" i="93"/>
  <c r="AI69" i="93"/>
  <c r="AJ69" i="93" s="1"/>
  <c r="AS68" i="93"/>
  <c r="AT68" i="93" s="1"/>
  <c r="AQ68" i="93"/>
  <c r="AR68" i="93" s="1"/>
  <c r="AO68" i="93"/>
  <c r="AP68" i="93" s="1"/>
  <c r="AM68" i="93"/>
  <c r="AN68" i="93" s="1"/>
  <c r="AK68" i="93"/>
  <c r="AL68" i="93" s="1"/>
  <c r="AI68" i="93"/>
  <c r="AJ68" i="93"/>
  <c r="AS67" i="93"/>
  <c r="AT67" i="93"/>
  <c r="AQ67" i="93"/>
  <c r="AR67" i="93"/>
  <c r="AO67" i="93"/>
  <c r="AP67" i="93" s="1"/>
  <c r="AM67" i="93"/>
  <c r="AN67" i="93" s="1"/>
  <c r="AK67" i="93"/>
  <c r="AL67" i="93"/>
  <c r="AI67" i="93"/>
  <c r="AJ67" i="93" s="1"/>
  <c r="AS66" i="93"/>
  <c r="AT66" i="93" s="1"/>
  <c r="AQ66" i="93"/>
  <c r="AR66" i="93" s="1"/>
  <c r="AO66" i="93"/>
  <c r="AP66" i="93"/>
  <c r="AM66" i="93"/>
  <c r="AN66" i="93" s="1"/>
  <c r="AK66" i="93"/>
  <c r="AL66" i="93"/>
  <c r="AI66" i="93"/>
  <c r="AJ66" i="93" s="1"/>
  <c r="AS65" i="93"/>
  <c r="AT65" i="93"/>
  <c r="AQ65" i="93"/>
  <c r="AR65" i="93"/>
  <c r="AO65" i="93"/>
  <c r="AP65" i="93"/>
  <c r="AM65" i="93"/>
  <c r="AN65" i="93" s="1"/>
  <c r="AK65" i="93"/>
  <c r="AL65" i="93" s="1"/>
  <c r="AI65" i="93"/>
  <c r="AJ65" i="93"/>
  <c r="AS64" i="93"/>
  <c r="AT64" i="93" s="1"/>
  <c r="AQ64" i="93"/>
  <c r="AR64" i="93" s="1"/>
  <c r="AO64" i="93"/>
  <c r="AP64" i="93" s="1"/>
  <c r="AM64" i="93"/>
  <c r="AN64" i="93" s="1"/>
  <c r="AK64" i="93"/>
  <c r="AL64" i="93"/>
  <c r="AI64" i="93"/>
  <c r="AJ64" i="93"/>
  <c r="AS63" i="93"/>
  <c r="AT63" i="93" s="1"/>
  <c r="AQ63" i="93"/>
  <c r="AR63" i="93"/>
  <c r="AO63" i="93"/>
  <c r="AP63" i="93"/>
  <c r="AM63" i="93"/>
  <c r="AN63" i="93" s="1"/>
  <c r="AK63" i="93"/>
  <c r="AL63" i="93" s="1"/>
  <c r="AI63" i="93"/>
  <c r="AJ63" i="93" s="1"/>
  <c r="AS62" i="93"/>
  <c r="AT62" i="93"/>
  <c r="AQ62" i="93"/>
  <c r="AR62" i="93" s="1"/>
  <c r="AO62" i="93"/>
  <c r="AP62" i="93" s="1"/>
  <c r="AM62" i="93"/>
  <c r="AN62" i="93" s="1"/>
  <c r="AK62" i="93"/>
  <c r="AL62" i="93"/>
  <c r="AI62" i="93"/>
  <c r="AJ62" i="93"/>
  <c r="AS61" i="93"/>
  <c r="AT61" i="93"/>
  <c r="AQ61" i="93"/>
  <c r="AR61" i="93" s="1"/>
  <c r="AO61" i="93"/>
  <c r="AP61" i="93"/>
  <c r="AM61" i="93"/>
  <c r="AN61" i="93" s="1"/>
  <c r="AK61" i="93"/>
  <c r="AL61" i="93" s="1"/>
  <c r="AI61" i="93"/>
  <c r="AJ61" i="93" s="1"/>
  <c r="AS60" i="93"/>
  <c r="AT60" i="93" s="1"/>
  <c r="AQ60" i="93"/>
  <c r="AR60" i="93"/>
  <c r="AO60" i="93"/>
  <c r="AP60" i="93" s="1"/>
  <c r="AM60" i="93"/>
  <c r="AN60" i="93" s="1"/>
  <c r="AK60" i="93"/>
  <c r="AL60" i="93"/>
  <c r="AI60" i="93"/>
  <c r="AJ60" i="93"/>
  <c r="AS59" i="93"/>
  <c r="AT59" i="93"/>
  <c r="AQ59" i="93"/>
  <c r="AR59" i="93"/>
  <c r="AO59" i="93"/>
  <c r="AP59" i="93"/>
  <c r="AM59" i="93"/>
  <c r="AN59" i="93" s="1"/>
  <c r="AK59" i="93"/>
  <c r="AL59" i="93" s="1"/>
  <c r="AI59" i="93"/>
  <c r="AJ59" i="93" s="1"/>
  <c r="AS58" i="93"/>
  <c r="AT58" i="93"/>
  <c r="AQ58" i="93"/>
  <c r="AR58" i="93" s="1"/>
  <c r="AO58" i="93"/>
  <c r="AP58" i="93"/>
  <c r="AM58" i="93"/>
  <c r="AN58" i="93" s="1"/>
  <c r="AK58" i="93"/>
  <c r="AL58" i="93"/>
  <c r="AI58" i="93"/>
  <c r="AJ58" i="93"/>
  <c r="AS57" i="93"/>
  <c r="AT57" i="93"/>
  <c r="AQ57" i="93"/>
  <c r="AR57" i="93"/>
  <c r="AO57" i="93"/>
  <c r="AP57" i="93"/>
  <c r="AM57" i="93"/>
  <c r="AN57" i="93" s="1"/>
  <c r="AK57" i="93"/>
  <c r="AL57" i="93" s="1"/>
  <c r="AI57" i="93"/>
  <c r="AJ57" i="93" s="1"/>
  <c r="AS56" i="93"/>
  <c r="AT56" i="93" s="1"/>
  <c r="AQ56" i="93"/>
  <c r="AR56" i="93" s="1"/>
  <c r="AO56" i="93"/>
  <c r="AP56" i="93" s="1"/>
  <c r="AM56" i="93"/>
  <c r="AN56" i="93" s="1"/>
  <c r="AK56" i="93"/>
  <c r="AL56" i="93" s="1"/>
  <c r="AI56" i="93"/>
  <c r="AJ56" i="93"/>
  <c r="AS55" i="93"/>
  <c r="AT55" i="93"/>
  <c r="AQ55" i="93"/>
  <c r="AR55" i="93"/>
  <c r="AO55" i="93"/>
  <c r="AP55" i="93"/>
  <c r="AM55" i="93"/>
  <c r="AN55" i="93" s="1"/>
  <c r="AK55" i="93"/>
  <c r="AL55" i="93" s="1"/>
  <c r="AI55" i="93"/>
  <c r="AJ55" i="93" s="1"/>
  <c r="AS54" i="93"/>
  <c r="AT54" i="93" s="1"/>
  <c r="AQ54" i="93"/>
  <c r="AR54" i="93" s="1"/>
  <c r="AO54" i="93"/>
  <c r="AP54" i="93" s="1"/>
  <c r="AM54" i="93"/>
  <c r="AN54" i="93" s="1"/>
  <c r="AK54" i="93"/>
  <c r="AL54" i="93" s="1"/>
  <c r="AI54" i="93"/>
  <c r="AJ54" i="93" s="1"/>
  <c r="AS53" i="93"/>
  <c r="AT53" i="93"/>
  <c r="AQ53" i="93"/>
  <c r="AR53" i="93"/>
  <c r="AO53" i="93"/>
  <c r="AP53" i="93"/>
  <c r="AM53" i="93"/>
  <c r="AN53" i="93" s="1"/>
  <c r="AK53" i="93"/>
  <c r="AL53" i="93" s="1"/>
  <c r="AI53" i="93"/>
  <c r="AJ53" i="93"/>
  <c r="AS52" i="93"/>
  <c r="AT52" i="93" s="1"/>
  <c r="AQ52" i="93"/>
  <c r="AR52" i="93" s="1"/>
  <c r="AO52" i="93"/>
  <c r="AP52" i="93" s="1"/>
  <c r="AM52" i="93"/>
  <c r="AN52" i="93" s="1"/>
  <c r="AK52" i="93"/>
  <c r="AL52" i="93"/>
  <c r="AI52" i="93"/>
  <c r="AJ52" i="93" s="1"/>
  <c r="AS51" i="93"/>
  <c r="AT51" i="93"/>
  <c r="AQ51" i="93"/>
  <c r="AR51" i="93"/>
  <c r="AO51" i="93"/>
  <c r="AP51" i="93"/>
  <c r="AM51" i="93"/>
  <c r="AN51" i="93" s="1"/>
  <c r="AK51" i="93"/>
  <c r="AL51" i="93"/>
  <c r="AI51" i="93"/>
  <c r="AJ51" i="93"/>
  <c r="AS50" i="93"/>
  <c r="AT50" i="93"/>
  <c r="AQ50" i="93"/>
  <c r="AR50" i="93" s="1"/>
  <c r="AO50" i="93"/>
  <c r="AP50" i="93" s="1"/>
  <c r="AM50" i="93"/>
  <c r="AN50" i="93" s="1"/>
  <c r="AK50" i="93"/>
  <c r="AL50" i="93"/>
  <c r="AI50" i="93"/>
  <c r="AJ50" i="93" s="1"/>
  <c r="AS49" i="93"/>
  <c r="AT49" i="93"/>
  <c r="AQ49" i="93"/>
  <c r="AR49" i="93" s="1"/>
  <c r="AO49" i="93"/>
  <c r="AP49" i="93"/>
  <c r="AM49" i="93"/>
  <c r="AN49" i="93" s="1"/>
  <c r="AK49" i="93"/>
  <c r="AL49" i="93" s="1"/>
  <c r="AI49" i="93"/>
  <c r="AJ49" i="93"/>
  <c r="AS48" i="93"/>
  <c r="AT48" i="93" s="1"/>
  <c r="AQ48" i="93"/>
  <c r="AR48" i="93"/>
  <c r="AO48" i="93"/>
  <c r="AP48" i="93" s="1"/>
  <c r="AM48" i="93"/>
  <c r="AN48" i="93" s="1"/>
  <c r="AK48" i="93"/>
  <c r="AL48" i="93"/>
  <c r="AI48" i="93"/>
  <c r="AJ48" i="93"/>
  <c r="AS47" i="93"/>
  <c r="AT47" i="93"/>
  <c r="AQ47" i="93"/>
  <c r="AR47" i="93" s="1"/>
  <c r="AO47" i="93"/>
  <c r="AP47" i="93"/>
  <c r="AM47" i="93"/>
  <c r="AN47" i="93" s="1"/>
  <c r="AK47" i="93"/>
  <c r="AL47" i="93" s="1"/>
  <c r="AI47" i="93"/>
  <c r="AJ47" i="93" s="1"/>
  <c r="AS46" i="93"/>
  <c r="AT46" i="93" s="1"/>
  <c r="AQ46" i="93"/>
  <c r="AR46" i="93" s="1"/>
  <c r="AO46" i="93"/>
  <c r="AP46" i="93"/>
  <c r="AM46" i="93"/>
  <c r="AN46" i="93" s="1"/>
  <c r="AK46" i="93"/>
  <c r="AL46" i="93"/>
  <c r="AI46" i="93"/>
  <c r="AJ46" i="93"/>
  <c r="AS45" i="93"/>
  <c r="AT45" i="93"/>
  <c r="AQ45" i="93"/>
  <c r="AR45" i="93"/>
  <c r="AO45" i="93"/>
  <c r="AP45" i="93"/>
  <c r="AM45" i="93"/>
  <c r="AN45" i="93" s="1"/>
  <c r="AK45" i="93"/>
  <c r="AL45" i="93" s="1"/>
  <c r="AI45" i="93"/>
  <c r="AJ45" i="93" s="1"/>
  <c r="AS44" i="93"/>
  <c r="AT44" i="93" s="1"/>
  <c r="AQ44" i="93"/>
  <c r="AR44" i="93" s="1"/>
  <c r="AO44" i="93"/>
  <c r="AP44" i="93" s="1"/>
  <c r="AM44" i="93"/>
  <c r="AN44" i="93" s="1"/>
  <c r="AK44" i="93"/>
  <c r="AL44" i="93" s="1"/>
  <c r="AI44" i="93"/>
  <c r="AJ44" i="93"/>
  <c r="AS43" i="93"/>
  <c r="AT43" i="93"/>
  <c r="AQ43" i="93"/>
  <c r="AR43" i="93"/>
  <c r="AO43" i="93"/>
  <c r="AP43" i="93"/>
  <c r="AM43" i="93"/>
  <c r="AN43" i="93" s="1"/>
  <c r="AK43" i="93"/>
  <c r="AL43" i="93"/>
  <c r="AI43" i="93"/>
  <c r="AJ43" i="93" s="1"/>
  <c r="AS42" i="93"/>
  <c r="AT42" i="93" s="1"/>
  <c r="AQ42" i="93"/>
  <c r="AR42" i="93" s="1"/>
  <c r="AO42" i="93"/>
  <c r="AP42" i="93"/>
  <c r="AM42" i="93"/>
  <c r="AN42" i="93" s="1"/>
  <c r="AK42" i="93"/>
  <c r="AL42" i="93" s="1"/>
  <c r="AI42" i="93"/>
  <c r="AJ42" i="93" s="1"/>
  <c r="AS41" i="93"/>
  <c r="AT41" i="93"/>
  <c r="AQ41" i="93"/>
  <c r="AR41" i="93"/>
  <c r="AO41" i="93"/>
  <c r="AP41" i="93"/>
  <c r="AM41" i="93"/>
  <c r="AN41" i="93" s="1"/>
  <c r="AK41" i="93"/>
  <c r="AL41" i="93" s="1"/>
  <c r="AI41" i="93"/>
  <c r="AJ41" i="93"/>
  <c r="AS40" i="93"/>
  <c r="AT40" i="93" s="1"/>
  <c r="AQ40" i="93"/>
  <c r="AR40" i="93" s="1"/>
  <c r="AO40" i="93"/>
  <c r="AP40" i="93" s="1"/>
  <c r="AM40" i="93"/>
  <c r="AN40" i="93" s="1"/>
  <c r="AK40" i="93"/>
  <c r="AL40" i="93" s="1"/>
  <c r="AI40" i="93"/>
  <c r="AJ40" i="93"/>
  <c r="AS39" i="93"/>
  <c r="AT39" i="93" s="1"/>
  <c r="AQ39" i="93"/>
  <c r="AR39" i="93"/>
  <c r="AO39" i="93"/>
  <c r="AP39" i="93"/>
  <c r="AM39" i="93"/>
  <c r="AN39" i="93" s="1"/>
  <c r="AK39" i="93"/>
  <c r="AL39" i="93" s="1"/>
  <c r="AI39" i="93"/>
  <c r="AJ39" i="93" s="1"/>
  <c r="AS38" i="93"/>
  <c r="AT38" i="93"/>
  <c r="AQ38" i="93"/>
  <c r="AR38" i="93" s="1"/>
  <c r="AO38" i="93"/>
  <c r="AP38" i="93" s="1"/>
  <c r="AM38" i="93"/>
  <c r="AN38" i="93" s="1"/>
  <c r="AK38" i="93"/>
  <c r="AL38" i="93"/>
  <c r="AI38" i="93"/>
  <c r="AJ38" i="93" s="1"/>
  <c r="AS37" i="93"/>
  <c r="AT37" i="93" s="1"/>
  <c r="AQ37" i="93"/>
  <c r="AR37" i="93"/>
  <c r="AO37" i="93"/>
  <c r="AP37" i="93"/>
  <c r="AM37" i="93"/>
  <c r="AN37" i="93" s="1"/>
  <c r="AK37" i="93"/>
  <c r="AL37" i="93" s="1"/>
  <c r="AI37" i="93"/>
  <c r="AJ37" i="93" s="1"/>
  <c r="AS36" i="93"/>
  <c r="AT36" i="93" s="1"/>
  <c r="AQ36" i="93"/>
  <c r="AR36" i="93" s="1"/>
  <c r="AO36" i="93"/>
  <c r="AP36" i="93" s="1"/>
  <c r="AM36" i="93"/>
  <c r="AN36" i="93" s="1"/>
  <c r="AK36" i="93"/>
  <c r="AL36" i="93"/>
  <c r="AI36" i="93"/>
  <c r="AJ36" i="93"/>
  <c r="AS35" i="93"/>
  <c r="AT35" i="93" s="1"/>
  <c r="AQ35" i="93"/>
  <c r="AR35" i="93" s="1"/>
  <c r="AO35" i="93"/>
  <c r="AP35" i="93" s="1"/>
  <c r="AM35" i="93"/>
  <c r="AN35" i="93" s="1"/>
  <c r="AL35" i="93"/>
  <c r="AK35" i="93"/>
  <c r="AI35" i="93"/>
  <c r="AJ35" i="93" s="1"/>
  <c r="AS34" i="93"/>
  <c r="AT34" i="93"/>
  <c r="AQ34" i="93"/>
  <c r="AR34" i="93" s="1"/>
  <c r="AO34" i="93"/>
  <c r="AP34" i="93" s="1"/>
  <c r="AM34" i="93"/>
  <c r="AN34" i="93" s="1"/>
  <c r="AK34" i="93"/>
  <c r="AL34" i="93"/>
  <c r="AI34" i="93"/>
  <c r="AJ34" i="93"/>
  <c r="AS33" i="93"/>
  <c r="AT33" i="93"/>
  <c r="AQ33" i="93"/>
  <c r="AR33" i="93" s="1"/>
  <c r="AO33" i="93"/>
  <c r="AP33" i="93"/>
  <c r="AM33" i="93"/>
  <c r="AN33" i="93" s="1"/>
  <c r="AK33" i="93"/>
  <c r="AL33" i="93" s="1"/>
  <c r="AI33" i="93"/>
  <c r="AJ33" i="93" s="1"/>
  <c r="AS32" i="93"/>
  <c r="AT32" i="93" s="1"/>
  <c r="AQ32" i="93"/>
  <c r="AR32" i="93"/>
  <c r="AO32" i="93"/>
  <c r="AP32" i="93" s="1"/>
  <c r="AM32" i="93"/>
  <c r="AN32" i="93" s="1"/>
  <c r="AK32" i="93"/>
  <c r="AL32" i="93" s="1"/>
  <c r="AI32" i="93"/>
  <c r="AJ32" i="93"/>
  <c r="AS31" i="93"/>
  <c r="AT31" i="93"/>
  <c r="AQ31" i="93"/>
  <c r="AR31" i="93"/>
  <c r="AO31" i="93"/>
  <c r="AP31" i="93" s="1"/>
  <c r="AM31" i="93"/>
  <c r="AN31" i="93" s="1"/>
  <c r="AK31" i="93"/>
  <c r="AL31" i="93"/>
  <c r="AI31" i="93"/>
  <c r="AJ31" i="93" s="1"/>
  <c r="AS30" i="93"/>
  <c r="AT30" i="93" s="1"/>
  <c r="AQ30" i="93"/>
  <c r="AR30" i="93" s="1"/>
  <c r="AO30" i="93"/>
  <c r="AP30" i="93"/>
  <c r="AM30" i="93"/>
  <c r="AN30" i="93" s="1"/>
  <c r="AK30" i="93"/>
  <c r="AL30" i="93"/>
  <c r="AI30" i="93"/>
  <c r="AJ30" i="93" s="1"/>
  <c r="AS29" i="93"/>
  <c r="AT29" i="93"/>
  <c r="AQ29" i="93"/>
  <c r="AR29" i="93"/>
  <c r="AO29" i="93"/>
  <c r="AP29" i="93"/>
  <c r="AM29" i="93"/>
  <c r="AN29" i="93" s="1"/>
  <c r="AK29" i="93"/>
  <c r="AL29" i="93"/>
  <c r="AI29" i="93"/>
  <c r="AJ29" i="93"/>
  <c r="AS28" i="93"/>
  <c r="AT28" i="93" s="1"/>
  <c r="AQ28" i="93"/>
  <c r="AR28" i="93" s="1"/>
  <c r="AO28" i="93"/>
  <c r="AP28" i="93" s="1"/>
  <c r="AM28" i="93"/>
  <c r="AN28" i="93" s="1"/>
  <c r="AK28" i="93"/>
  <c r="AL28" i="93" s="1"/>
  <c r="AI28" i="93"/>
  <c r="AJ28" i="93" s="1"/>
  <c r="AS27" i="93"/>
  <c r="AT27" i="93"/>
  <c r="AQ27" i="93"/>
  <c r="AR27" i="93"/>
  <c r="AO27" i="93"/>
  <c r="AP27" i="93"/>
  <c r="AM27" i="93"/>
  <c r="AN27" i="93" s="1"/>
  <c r="AK27" i="93"/>
  <c r="AL27" i="93"/>
  <c r="AI27" i="93"/>
  <c r="AJ27" i="93"/>
  <c r="AS26" i="93"/>
  <c r="AT26" i="93" s="1"/>
  <c r="AQ26" i="93"/>
  <c r="AR26" i="93" s="1"/>
  <c r="AO26" i="93"/>
  <c r="AP26" i="93" s="1"/>
  <c r="AM26" i="93"/>
  <c r="AN26" i="93" s="1"/>
  <c r="AK26" i="93"/>
  <c r="AL26" i="93"/>
  <c r="AI26" i="93"/>
  <c r="AJ26" i="93" s="1"/>
  <c r="AS25" i="93"/>
  <c r="AT25" i="93" s="1"/>
  <c r="AQ25" i="93"/>
  <c r="AR25" i="93" s="1"/>
  <c r="AO25" i="93"/>
  <c r="AP25" i="93"/>
  <c r="AM25" i="93"/>
  <c r="AN25" i="93" s="1"/>
  <c r="AK25" i="93"/>
  <c r="AL25" i="93" s="1"/>
  <c r="AI25" i="93"/>
  <c r="AJ25" i="93"/>
  <c r="AS24" i="93"/>
  <c r="AT24" i="93" s="1"/>
  <c r="AQ24" i="93"/>
  <c r="AR24" i="93" s="1"/>
  <c r="AO24" i="93"/>
  <c r="AP24" i="93" s="1"/>
  <c r="AM24" i="93"/>
  <c r="AN24" i="93" s="1"/>
  <c r="AK24" i="93"/>
  <c r="AL24" i="93"/>
  <c r="AI24" i="93"/>
  <c r="AJ24" i="93"/>
  <c r="AS23" i="93"/>
  <c r="AT23" i="93"/>
  <c r="AQ23" i="93"/>
  <c r="AR23" i="93" s="1"/>
  <c r="AO23" i="93"/>
  <c r="AP23" i="93" s="1"/>
  <c r="AM23" i="93"/>
  <c r="AN23" i="93" s="1"/>
  <c r="AK23" i="93"/>
  <c r="AL23" i="93" s="1"/>
  <c r="AI23" i="93"/>
  <c r="AJ23" i="93" s="1"/>
  <c r="AS22" i="93"/>
  <c r="AT22" i="93"/>
  <c r="AQ22" i="93"/>
  <c r="AR22" i="93" s="1"/>
  <c r="AO22" i="93"/>
  <c r="AP22" i="93" s="1"/>
  <c r="AM22" i="93"/>
  <c r="AN22" i="93" s="1"/>
  <c r="AK22" i="93"/>
  <c r="AL22" i="93"/>
  <c r="AI22" i="93"/>
  <c r="AJ22" i="93"/>
  <c r="AS21" i="93"/>
  <c r="AT21" i="93"/>
  <c r="AQ21" i="93"/>
  <c r="AR21" i="93"/>
  <c r="AO21" i="93"/>
  <c r="AP21" i="93"/>
  <c r="AM21" i="93"/>
  <c r="AN21" i="93" s="1"/>
  <c r="AK21" i="93"/>
  <c r="AL21" i="93" s="1"/>
  <c r="AI21" i="93"/>
  <c r="AJ21" i="93" s="1"/>
  <c r="AS20" i="93"/>
  <c r="AT20" i="93" s="1"/>
  <c r="AQ20" i="93"/>
  <c r="AR20" i="93"/>
  <c r="AO20" i="93"/>
  <c r="AP20" i="93"/>
  <c r="AM20" i="93"/>
  <c r="AN20" i="93" s="1"/>
  <c r="AK20" i="93"/>
  <c r="AL20" i="93" s="1"/>
  <c r="AI20" i="93"/>
  <c r="AJ20" i="93"/>
  <c r="AS19" i="93"/>
  <c r="AT19" i="93"/>
  <c r="AQ19" i="93"/>
  <c r="AR19" i="93"/>
  <c r="AO19" i="93"/>
  <c r="AP19" i="93" s="1"/>
  <c r="AM19" i="93"/>
  <c r="AN19" i="93" s="1"/>
  <c r="AK19" i="93"/>
  <c r="AL19" i="93" s="1"/>
  <c r="AI19" i="93"/>
  <c r="AJ19" i="93" s="1"/>
  <c r="AS18" i="93"/>
  <c r="AT18" i="93" s="1"/>
  <c r="AQ18" i="93"/>
  <c r="AR18" i="93" s="1"/>
  <c r="AO18" i="93"/>
  <c r="AP18" i="93"/>
  <c r="AM18" i="93"/>
  <c r="AN18" i="93" s="1"/>
  <c r="AK18" i="93"/>
  <c r="AL18" i="93"/>
  <c r="AI18" i="93"/>
  <c r="AJ18" i="93"/>
  <c r="AS17" i="93"/>
  <c r="AT17" i="93"/>
  <c r="AQ17" i="93"/>
  <c r="AR17" i="93"/>
  <c r="AO17" i="93"/>
  <c r="AP17" i="93"/>
  <c r="AM17" i="93"/>
  <c r="AN17" i="93" s="1"/>
  <c r="AK17" i="93"/>
  <c r="AL17" i="93"/>
  <c r="AI17" i="93"/>
  <c r="AJ17" i="93" s="1"/>
  <c r="AS12" i="93"/>
  <c r="AT12" i="93" s="1"/>
  <c r="AQ12" i="93"/>
  <c r="AR12" i="93" s="1"/>
  <c r="AO12" i="93"/>
  <c r="AP12" i="93" s="1"/>
  <c r="AM12" i="93"/>
  <c r="AN12" i="93" s="1"/>
  <c r="AK12" i="93"/>
  <c r="AL12" i="93"/>
  <c r="AI12" i="93"/>
  <c r="AJ12" i="93"/>
  <c r="AS11" i="93"/>
  <c r="AT11" i="93"/>
  <c r="AQ11" i="93"/>
  <c r="AR11" i="93"/>
  <c r="AO11" i="93"/>
  <c r="AP11" i="93"/>
  <c r="AM11" i="93"/>
  <c r="AN11" i="93" s="1"/>
  <c r="AK11" i="93"/>
  <c r="AL11" i="93"/>
  <c r="AI11" i="93"/>
  <c r="AJ11" i="93" s="1"/>
  <c r="AS10" i="93"/>
  <c r="AT10" i="93" s="1"/>
  <c r="AQ10" i="93"/>
  <c r="AR10" i="93" s="1"/>
  <c r="AO10" i="93"/>
  <c r="AP10" i="93" s="1"/>
  <c r="AM10" i="93"/>
  <c r="AN10" i="93" s="1"/>
  <c r="AK10" i="93"/>
  <c r="AL10" i="93"/>
  <c r="AI10" i="93"/>
  <c r="AJ10" i="93"/>
  <c r="AS9" i="93"/>
  <c r="AT9" i="93" s="1"/>
  <c r="AQ9" i="93"/>
  <c r="AR9" i="93"/>
  <c r="AO9" i="93"/>
  <c r="AP9" i="93"/>
  <c r="AM9" i="93"/>
  <c r="AN9" i="93" s="1"/>
  <c r="AK9" i="93"/>
  <c r="AL9" i="93" s="1"/>
  <c r="AI9" i="93"/>
  <c r="AJ9" i="93"/>
  <c r="AS8" i="93"/>
  <c r="AT8" i="93"/>
  <c r="AQ8" i="93"/>
  <c r="AR8" i="93" s="1"/>
  <c r="AO8" i="93"/>
  <c r="AP8" i="93" s="1"/>
  <c r="AM8" i="93"/>
  <c r="AN8" i="93" s="1"/>
  <c r="AK8" i="93"/>
  <c r="AL8" i="93"/>
  <c r="AI8" i="93"/>
  <c r="AJ8" i="93"/>
  <c r="AS7" i="93"/>
  <c r="AT7" i="93"/>
  <c r="AQ7" i="93"/>
  <c r="AR7" i="93"/>
  <c r="AO7" i="93"/>
  <c r="AP7" i="93" s="1"/>
  <c r="AM7" i="93"/>
  <c r="AN7" i="93" s="1"/>
  <c r="AK7" i="93"/>
  <c r="AL7" i="93" s="1"/>
  <c r="AI7" i="93"/>
  <c r="AJ7" i="93" s="1"/>
  <c r="AS6" i="93"/>
  <c r="AT6" i="93" s="1"/>
  <c r="AQ6" i="93"/>
  <c r="AR6" i="93"/>
  <c r="AP6" i="93"/>
  <c r="AO6" i="93"/>
  <c r="AM6" i="93"/>
  <c r="AN6" i="93" s="1"/>
  <c r="AK6" i="93"/>
  <c r="AL6" i="93"/>
  <c r="AI6" i="93"/>
  <c r="AJ6" i="93"/>
  <c r="AS5" i="93"/>
  <c r="AT5" i="93"/>
  <c r="AQ5" i="93"/>
  <c r="AR5" i="93" s="1"/>
  <c r="AO5" i="93"/>
  <c r="AP5" i="93"/>
  <c r="AM5" i="93"/>
  <c r="AN5" i="93" s="1"/>
  <c r="AK5" i="93"/>
  <c r="AL5" i="93" s="1"/>
  <c r="AI5" i="93"/>
  <c r="AJ5" i="93" s="1"/>
  <c r="AS4" i="93"/>
  <c r="AT4" i="93" s="1"/>
  <c r="AQ4" i="93"/>
  <c r="AR4" i="93"/>
  <c r="AO4" i="93"/>
  <c r="AP4" i="93"/>
  <c r="AM4" i="93"/>
  <c r="AN4" i="93" s="1"/>
  <c r="AK4" i="93"/>
  <c r="AL4" i="93"/>
  <c r="AI4" i="93"/>
  <c r="AJ4" i="93"/>
  <c r="AS3" i="93"/>
  <c r="AT3" i="93"/>
  <c r="AQ3" i="93"/>
  <c r="AR3" i="93"/>
  <c r="AO3" i="93"/>
  <c r="AP3" i="93" s="1"/>
  <c r="AM3" i="93"/>
  <c r="AN3" i="93" s="1"/>
  <c r="AL3" i="93"/>
  <c r="AK3" i="93"/>
  <c r="AI3" i="93"/>
  <c r="AJ3" i="93" s="1"/>
  <c r="AS36" i="105"/>
  <c r="AT36" i="105" s="1"/>
  <c r="AQ36" i="105"/>
  <c r="AR36" i="105" s="1"/>
  <c r="AO36" i="105"/>
  <c r="AP36" i="105" s="1"/>
  <c r="AM36" i="105"/>
  <c r="AN36" i="105" s="1"/>
  <c r="AK36" i="105"/>
  <c r="AL36" i="105" s="1"/>
  <c r="AI36" i="105"/>
  <c r="AJ36" i="105" s="1"/>
  <c r="AS35" i="105"/>
  <c r="AT35" i="105" s="1"/>
  <c r="AQ35" i="105"/>
  <c r="AR35" i="105" s="1"/>
  <c r="AO35" i="105"/>
  <c r="AP35" i="105" s="1"/>
  <c r="AM35" i="105"/>
  <c r="AN35" i="105" s="1"/>
  <c r="AK35" i="105"/>
  <c r="AL35" i="105" s="1"/>
  <c r="AI35" i="105"/>
  <c r="AJ35" i="105" s="1"/>
  <c r="AS34" i="105"/>
  <c r="AT34" i="105" s="1"/>
  <c r="AQ34" i="105"/>
  <c r="AR34" i="105" s="1"/>
  <c r="AO34" i="105"/>
  <c r="AP34" i="105" s="1"/>
  <c r="AM34" i="105"/>
  <c r="AN34" i="105" s="1"/>
  <c r="AK34" i="105"/>
  <c r="AL34" i="105" s="1"/>
  <c r="AI34" i="105"/>
  <c r="AJ34" i="105" s="1"/>
  <c r="AS33" i="105"/>
  <c r="AT33" i="105" s="1"/>
  <c r="AQ33" i="105"/>
  <c r="AR33" i="105" s="1"/>
  <c r="AO33" i="105"/>
  <c r="AP33" i="105" s="1"/>
  <c r="AM33" i="105"/>
  <c r="AN33" i="105" s="1"/>
  <c r="AK33" i="105"/>
  <c r="AL33" i="105" s="1"/>
  <c r="AI33" i="105"/>
  <c r="AJ33" i="105" s="1"/>
  <c r="AV142" i="93"/>
  <c r="AU142" i="93"/>
  <c r="AV141" i="93"/>
  <c r="AU141" i="93"/>
  <c r="AV140" i="93"/>
  <c r="AU140" i="93"/>
  <c r="AV139" i="93"/>
  <c r="AU139" i="93"/>
  <c r="AV138" i="93"/>
  <c r="AU138" i="93"/>
  <c r="AV137" i="93"/>
  <c r="AU137" i="93"/>
  <c r="AV136" i="93"/>
  <c r="AU136" i="93"/>
  <c r="AV135" i="93"/>
  <c r="AU135" i="93"/>
  <c r="AV134" i="93"/>
  <c r="AU134" i="93"/>
  <c r="AV133" i="93"/>
  <c r="AU133" i="93"/>
  <c r="AV132" i="93"/>
  <c r="AU132" i="93"/>
  <c r="AV131" i="93"/>
  <c r="AU131" i="93"/>
  <c r="AV130" i="93"/>
  <c r="AU130" i="93"/>
  <c r="AV129" i="93"/>
  <c r="AU129" i="93"/>
  <c r="AV128" i="93"/>
  <c r="AU128" i="93"/>
  <c r="AV127" i="93"/>
  <c r="AU127" i="93"/>
  <c r="AV126" i="93"/>
  <c r="AU126" i="93"/>
  <c r="AV125" i="93"/>
  <c r="AU125" i="93"/>
  <c r="AV124" i="93"/>
  <c r="AU124" i="93"/>
  <c r="AV123" i="93"/>
  <c r="AU123" i="93"/>
  <c r="AV122" i="93"/>
  <c r="AU122" i="93"/>
  <c r="AV121" i="93"/>
  <c r="AU121" i="93"/>
  <c r="AV120" i="93"/>
  <c r="AU120" i="93"/>
  <c r="AV119" i="93"/>
  <c r="AU119" i="93"/>
  <c r="AV118" i="93"/>
  <c r="AU118" i="93"/>
  <c r="AV117" i="93"/>
  <c r="AU117" i="93"/>
  <c r="AV116" i="93"/>
  <c r="AU116" i="93"/>
  <c r="AV115" i="93"/>
  <c r="AU115" i="93"/>
  <c r="AV114" i="93"/>
  <c r="AU114" i="93"/>
  <c r="AV113" i="93"/>
  <c r="AU113" i="93"/>
  <c r="AV112" i="93"/>
  <c r="AU112" i="93"/>
  <c r="AV111" i="93"/>
  <c r="AU111" i="93"/>
  <c r="AV110" i="93"/>
  <c r="AU110" i="93"/>
  <c r="AV109" i="93"/>
  <c r="AU109" i="93"/>
  <c r="AV108" i="93"/>
  <c r="AU108" i="93"/>
  <c r="AV107" i="93"/>
  <c r="AU107" i="93"/>
  <c r="AV106" i="93"/>
  <c r="AU106" i="93"/>
  <c r="AV105" i="93"/>
  <c r="AU105" i="93"/>
  <c r="AV104" i="93"/>
  <c r="AU104" i="93"/>
  <c r="AV103" i="93"/>
  <c r="AU103" i="93"/>
  <c r="AV102" i="93"/>
  <c r="AU102" i="93"/>
  <c r="AV101" i="93"/>
  <c r="AU101" i="93"/>
  <c r="AV100" i="93"/>
  <c r="AU100" i="93"/>
  <c r="AV99" i="93"/>
  <c r="AU99" i="93"/>
  <c r="AV98" i="93"/>
  <c r="AU98" i="93"/>
  <c r="AV97" i="93"/>
  <c r="AU97" i="93"/>
  <c r="AV96" i="93"/>
  <c r="AU96" i="93"/>
  <c r="AV95" i="93"/>
  <c r="AU95" i="93"/>
  <c r="AV94" i="93"/>
  <c r="AU94" i="93"/>
  <c r="AV93" i="93"/>
  <c r="AU93" i="93"/>
  <c r="AV92" i="93"/>
  <c r="AU92" i="93"/>
  <c r="AV91" i="93"/>
  <c r="AU91" i="93"/>
  <c r="AV90" i="93"/>
  <c r="AU90" i="93"/>
  <c r="AV89" i="93"/>
  <c r="AU89" i="93"/>
  <c r="AV88" i="93"/>
  <c r="AU88" i="93"/>
  <c r="AV87" i="93"/>
  <c r="AU87" i="93"/>
  <c r="AV86" i="93"/>
  <c r="AU86" i="93"/>
  <c r="AV85" i="93"/>
  <c r="AU85" i="93"/>
  <c r="AV84" i="93"/>
  <c r="AU84" i="93"/>
  <c r="AV83" i="93"/>
  <c r="AU83" i="93"/>
  <c r="AV82" i="93"/>
  <c r="AU82" i="93"/>
  <c r="AV81" i="93"/>
  <c r="AU81" i="93"/>
  <c r="AV80" i="93"/>
  <c r="AU80" i="93"/>
  <c r="AV79" i="93"/>
  <c r="AU79" i="93"/>
  <c r="AV78" i="93"/>
  <c r="AU78" i="93"/>
  <c r="AV77" i="93"/>
  <c r="AU77" i="93"/>
  <c r="AV76" i="93"/>
  <c r="AU76" i="93"/>
  <c r="AV75" i="93"/>
  <c r="AU75" i="93"/>
  <c r="AV74" i="93"/>
  <c r="AU74" i="93"/>
  <c r="AV73" i="93"/>
  <c r="AU73" i="93"/>
  <c r="AV72" i="93"/>
  <c r="AU72" i="93"/>
  <c r="AV71" i="93"/>
  <c r="AU71" i="93"/>
  <c r="AV70" i="93"/>
  <c r="AU70" i="93"/>
  <c r="AV69" i="93"/>
  <c r="AU69" i="93"/>
  <c r="AV68" i="93"/>
  <c r="AU68" i="93"/>
  <c r="AV67" i="93"/>
  <c r="AU67" i="93"/>
  <c r="AV66" i="93"/>
  <c r="AU66" i="93"/>
  <c r="AV65" i="93"/>
  <c r="AU65" i="93"/>
  <c r="AV64" i="93"/>
  <c r="AU64" i="93"/>
  <c r="AV63" i="93"/>
  <c r="AU63" i="93"/>
  <c r="AV62" i="93"/>
  <c r="AU62" i="93"/>
  <c r="AV61" i="93"/>
  <c r="AU61" i="93"/>
  <c r="AV60" i="93"/>
  <c r="AU60" i="93"/>
  <c r="AV59" i="93"/>
  <c r="AU59" i="93"/>
  <c r="AV58" i="93"/>
  <c r="AU58" i="93"/>
  <c r="AV57" i="93"/>
  <c r="AU57" i="93"/>
  <c r="AV56" i="93"/>
  <c r="AU56" i="93"/>
  <c r="AV55" i="93"/>
  <c r="AU55" i="93"/>
  <c r="AV54" i="93"/>
  <c r="AU54" i="93"/>
  <c r="AV53" i="93"/>
  <c r="AU53" i="93"/>
  <c r="AV52" i="93"/>
  <c r="AU52" i="93"/>
  <c r="AV51" i="93"/>
  <c r="AU51" i="93"/>
  <c r="AV50" i="93"/>
  <c r="AU50" i="93"/>
  <c r="AV49" i="93"/>
  <c r="AU49" i="93"/>
  <c r="AV48" i="93"/>
  <c r="AU48" i="93"/>
  <c r="AV47" i="93"/>
  <c r="AU47" i="93"/>
  <c r="AV46" i="93"/>
  <c r="AU46" i="93"/>
  <c r="AV45" i="93"/>
  <c r="AU45" i="93"/>
  <c r="AV44" i="93"/>
  <c r="AU44" i="93"/>
  <c r="AV43" i="93"/>
  <c r="AU43" i="93"/>
  <c r="AV42" i="93"/>
  <c r="AU42" i="93"/>
  <c r="AV41" i="93"/>
  <c r="AU41" i="93"/>
  <c r="AV40" i="93"/>
  <c r="AU40" i="93"/>
  <c r="AV39" i="93"/>
  <c r="AU39" i="93"/>
  <c r="AV38" i="93"/>
  <c r="AU38" i="93"/>
  <c r="AV37" i="93"/>
  <c r="AU37" i="93"/>
  <c r="AV36" i="93"/>
  <c r="AU36" i="93"/>
  <c r="AV35" i="93"/>
  <c r="AU35" i="93"/>
  <c r="AV34" i="93"/>
  <c r="AU34" i="93"/>
  <c r="AV33" i="93"/>
  <c r="AU33" i="93"/>
  <c r="AV32" i="93"/>
  <c r="AU32" i="93"/>
  <c r="AV31" i="93"/>
  <c r="AU31" i="93"/>
  <c r="AV30" i="93"/>
  <c r="AU30" i="93"/>
  <c r="AV29" i="93"/>
  <c r="AU29" i="93"/>
  <c r="AV28" i="93"/>
  <c r="AU28" i="93"/>
  <c r="AV27" i="93"/>
  <c r="AU27" i="93"/>
  <c r="AV26" i="93"/>
  <c r="AU26" i="93"/>
  <c r="AV25" i="93"/>
  <c r="AU25" i="93"/>
  <c r="AV24" i="93"/>
  <c r="AU24" i="93"/>
  <c r="AV23" i="93"/>
  <c r="AU23" i="93"/>
  <c r="AV22" i="93"/>
  <c r="AU22" i="93"/>
  <c r="AV21" i="93"/>
  <c r="AU21" i="93"/>
  <c r="AV20" i="93"/>
  <c r="AU20" i="93"/>
  <c r="AV19" i="93"/>
  <c r="AU19" i="93"/>
  <c r="AV18" i="93"/>
  <c r="AU18" i="93"/>
  <c r="AV17" i="93"/>
  <c r="AU17" i="93"/>
  <c r="AV12" i="93"/>
  <c r="AU12" i="93"/>
  <c r="AV11" i="93"/>
  <c r="AU11" i="93"/>
  <c r="AV10" i="93"/>
  <c r="AU10" i="93"/>
  <c r="AV9" i="93"/>
  <c r="AU9" i="93"/>
  <c r="AV8" i="93"/>
  <c r="AU8" i="93"/>
  <c r="AV7" i="93"/>
  <c r="AU7" i="93"/>
  <c r="AV6" i="93"/>
  <c r="AU6" i="93"/>
  <c r="AV5" i="93"/>
  <c r="AU5" i="93"/>
  <c r="BD4" i="93"/>
  <c r="BC4" i="93"/>
  <c r="BB4" i="93"/>
  <c r="BA4" i="93"/>
  <c r="AZ4" i="93"/>
  <c r="AY4" i="93"/>
  <c r="AV4" i="93"/>
  <c r="AU4" i="93"/>
  <c r="BD3" i="93"/>
  <c r="BC3" i="93"/>
  <c r="BB3" i="93"/>
  <c r="BA3" i="93"/>
  <c r="AZ3" i="93"/>
  <c r="AY3" i="93"/>
  <c r="AV3" i="93"/>
  <c r="AU3" i="93"/>
  <c r="Y15" i="93"/>
  <c r="V14" i="93"/>
  <c r="X14" i="93"/>
  <c r="AV36" i="105"/>
  <c r="AU36" i="105"/>
  <c r="AV35" i="105"/>
  <c r="AU35" i="105"/>
  <c r="AV34" i="105"/>
  <c r="AU34" i="105"/>
  <c r="BD4" i="105"/>
  <c r="BD5" i="105" s="1"/>
  <c r="BC4" i="105"/>
  <c r="BB4" i="105"/>
  <c r="BA4" i="105"/>
  <c r="AZ4" i="105"/>
  <c r="AY4" i="105"/>
  <c r="BD3" i="105"/>
  <c r="BC3" i="105"/>
  <c r="BB3" i="105"/>
  <c r="BA3" i="105"/>
  <c r="AZ3" i="105"/>
  <c r="AY5" i="93"/>
  <c r="AZ5" i="93"/>
  <c r="BA5" i="93"/>
  <c r="BB5" i="93"/>
  <c r="BC5" i="93"/>
  <c r="BD5" i="93"/>
  <c r="BE4" i="93"/>
  <c r="U15" i="93"/>
  <c r="W15" i="93"/>
  <c r="V15" i="93"/>
  <c r="X15" i="93"/>
  <c r="W14" i="93"/>
  <c r="AB15" i="93"/>
  <c r="R11" i="93"/>
  <c r="Q11" i="93"/>
  <c r="P11" i="93"/>
  <c r="O11" i="93"/>
  <c r="Q9" i="93"/>
  <c r="P9" i="93"/>
  <c r="O9" i="93"/>
  <c r="Q8" i="93"/>
  <c r="P8" i="93"/>
  <c r="O8" i="93"/>
  <c r="Q5" i="93"/>
  <c r="P5" i="93"/>
  <c r="O5" i="93"/>
  <c r="Q4" i="93"/>
  <c r="P4" i="93"/>
  <c r="O4" i="93"/>
  <c r="T13" i="93"/>
  <c r="Q36" i="105"/>
  <c r="Q35" i="105"/>
  <c r="Q34" i="105"/>
  <c r="Q33" i="105"/>
  <c r="P33" i="105"/>
  <c r="O33" i="105"/>
  <c r="T32" i="105"/>
  <c r="AO32" i="105" s="1"/>
  <c r="AP32" i="105" s="1"/>
  <c r="T31" i="105"/>
  <c r="AI31" i="105" s="1"/>
  <c r="AJ31" i="105" s="1"/>
  <c r="AK31" i="105"/>
  <c r="AL31" i="105" s="1"/>
  <c r="T30" i="105"/>
  <c r="AK30" i="105" s="1"/>
  <c r="AL30" i="105" s="1"/>
  <c r="Y30" i="105"/>
  <c r="T29" i="105"/>
  <c r="T28" i="105"/>
  <c r="T27" i="105"/>
  <c r="AM27" i="105" s="1"/>
  <c r="AN27" i="105" s="1"/>
  <c r="T26" i="105"/>
  <c r="AM26" i="105" s="1"/>
  <c r="AN26" i="105" s="1"/>
  <c r="T25" i="105"/>
  <c r="AM25" i="105" s="1"/>
  <c r="AN25" i="105" s="1"/>
  <c r="V25" i="105"/>
  <c r="T24" i="105"/>
  <c r="Y24" i="105" s="1"/>
  <c r="AM24" i="105"/>
  <c r="AN24" i="105" s="1"/>
  <c r="T23" i="105"/>
  <c r="AS23" i="105" s="1"/>
  <c r="AT23" i="105" s="1"/>
  <c r="T22" i="105"/>
  <c r="Y22" i="105" s="1"/>
  <c r="T21" i="105"/>
  <c r="AU21" i="105" s="1"/>
  <c r="T20" i="105"/>
  <c r="T19" i="105"/>
  <c r="V19" i="105" s="1"/>
  <c r="AM19" i="105"/>
  <c r="AN19" i="105" s="1"/>
  <c r="T18" i="105"/>
  <c r="Y18" i="105" s="1"/>
  <c r="T17" i="105"/>
  <c r="T16" i="105"/>
  <c r="T15" i="105"/>
  <c r="V15" i="105" s="1"/>
  <c r="T14" i="105"/>
  <c r="AK14" i="105" s="1"/>
  <c r="AL14" i="105" s="1"/>
  <c r="T13" i="105"/>
  <c r="AI13" i="105" s="1"/>
  <c r="AJ13" i="105" s="1"/>
  <c r="T12" i="105"/>
  <c r="AQ12" i="105" s="1"/>
  <c r="AR12" i="105" s="1"/>
  <c r="T11" i="105"/>
  <c r="AS11" i="105" s="1"/>
  <c r="AT11" i="105" s="1"/>
  <c r="T10" i="105"/>
  <c r="AM10" i="105" s="1"/>
  <c r="AN10" i="105" s="1"/>
  <c r="T9" i="105"/>
  <c r="T8" i="105"/>
  <c r="AU8" i="105" s="1"/>
  <c r="T7" i="105"/>
  <c r="AV7" i="105" s="1"/>
  <c r="T6" i="105"/>
  <c r="AO6" i="105" s="1"/>
  <c r="AP6" i="105" s="1"/>
  <c r="T5" i="105"/>
  <c r="U5" i="105" s="1"/>
  <c r="T4" i="105"/>
  <c r="U4" i="105" s="1"/>
  <c r="V4" i="105"/>
  <c r="T3" i="105"/>
  <c r="AI3" i="105" s="1"/>
  <c r="AJ3" i="105" s="1"/>
  <c r="AS3" i="105"/>
  <c r="AT3" i="105" s="1"/>
  <c r="AM3" i="105"/>
  <c r="AN3" i="105" s="1"/>
  <c r="M32" i="105"/>
  <c r="AV32" i="105" s="1"/>
  <c r="M31" i="105"/>
  <c r="AU31" i="105" s="1"/>
  <c r="M30" i="105"/>
  <c r="AU30" i="105"/>
  <c r="M29" i="105"/>
  <c r="M33" i="105" s="1"/>
  <c r="AU33" i="105" s="1"/>
  <c r="M28" i="105"/>
  <c r="M27" i="105"/>
  <c r="M26" i="105"/>
  <c r="AV26" i="105" s="1"/>
  <c r="M25" i="105"/>
  <c r="U25" i="105"/>
  <c r="M24" i="105"/>
  <c r="AV24" i="105" s="1"/>
  <c r="M23" i="105"/>
  <c r="M22" i="105"/>
  <c r="AI22" i="105" s="1"/>
  <c r="AJ22" i="105" s="1"/>
  <c r="M21" i="105"/>
  <c r="M20" i="105"/>
  <c r="M19" i="105"/>
  <c r="AV19" i="105" s="1"/>
  <c r="M18" i="105"/>
  <c r="AV18" i="105" s="1"/>
  <c r="M15" i="105"/>
  <c r="AV15" i="105" s="1"/>
  <c r="M14" i="105"/>
  <c r="AU14" i="105" s="1"/>
  <c r="AO11" i="105"/>
  <c r="AP11" i="105" s="1"/>
  <c r="AK23" i="105"/>
  <c r="AL23" i="105" s="1"/>
  <c r="AQ26" i="105"/>
  <c r="AR26" i="105" s="1"/>
  <c r="AQ3" i="105"/>
  <c r="AR3" i="105" s="1"/>
  <c r="AO3" i="105"/>
  <c r="AP3" i="105" s="1"/>
  <c r="AK3" i="105"/>
  <c r="AL3" i="105" s="1"/>
  <c r="AV3" i="105"/>
  <c r="AU3" i="105"/>
  <c r="AK19" i="105"/>
  <c r="AL19" i="105" s="1"/>
  <c r="AO8" i="105"/>
  <c r="AP8" i="105" s="1"/>
  <c r="AK32" i="105"/>
  <c r="AL32" i="105" s="1"/>
  <c r="AM32" i="105"/>
  <c r="AN32" i="105" s="1"/>
  <c r="AS32" i="105"/>
  <c r="AT32" i="105" s="1"/>
  <c r="AI30" i="105"/>
  <c r="AJ30" i="105" s="1"/>
  <c r="Y4" i="105"/>
  <c r="V12" i="105"/>
  <c r="AS12" i="105"/>
  <c r="AT12" i="105" s="1"/>
  <c r="V28" i="105"/>
  <c r="AK9" i="105"/>
  <c r="AL9" i="105" s="1"/>
  <c r="U7" i="105"/>
  <c r="U17" i="105"/>
  <c r="Z14" i="93"/>
  <c r="Y26" i="105"/>
  <c r="V26" i="105"/>
  <c r="U26" i="105"/>
  <c r="U14" i="93"/>
  <c r="AS17" i="105"/>
  <c r="AT17" i="105" s="1"/>
  <c r="V3" i="105"/>
  <c r="U3" i="105"/>
  <c r="Y3" i="105"/>
  <c r="Y13" i="93"/>
  <c r="AS13" i="93"/>
  <c r="AT13" i="93" s="1"/>
  <c r="BD6" i="93" s="1"/>
  <c r="AQ13" i="93"/>
  <c r="AR13" i="93" s="1"/>
  <c r="BC6" i="93" s="1"/>
  <c r="V11" i="93" s="1"/>
  <c r="V8" i="93"/>
  <c r="AI21" i="105"/>
  <c r="AJ21" i="105" s="1"/>
  <c r="V29" i="105"/>
  <c r="AS21" i="105"/>
  <c r="AT21" i="105" s="1"/>
  <c r="AS22" i="105"/>
  <c r="AT22" i="105" s="1"/>
  <c r="AI8" i="105"/>
  <c r="AJ8" i="105" s="1"/>
  <c r="AU13" i="93"/>
  <c r="U19" i="105"/>
  <c r="AV13" i="93"/>
  <c r="AI28" i="105"/>
  <c r="AJ28" i="105" s="1"/>
  <c r="AI32" i="105"/>
  <c r="AJ32" i="105" s="1"/>
  <c r="V30" i="105"/>
  <c r="V23" i="105"/>
  <c r="AQ28" i="105"/>
  <c r="AR28" i="105" s="1"/>
  <c r="AO22" i="105"/>
  <c r="AP22" i="105" s="1"/>
  <c r="AQ32" i="105"/>
  <c r="AR32" i="105" s="1"/>
  <c r="AV30" i="105"/>
  <c r="AA14" i="93"/>
  <c r="AB14" i="93"/>
  <c r="BE3" i="93"/>
  <c r="BE5" i="93" s="1"/>
  <c r="V6" i="93"/>
  <c r="V13" i="93"/>
  <c r="V10" i="93"/>
  <c r="AQ7" i="105"/>
  <c r="AR7" i="105" s="1"/>
  <c r="AU7" i="105"/>
  <c r="AI7" i="105"/>
  <c r="AJ7" i="105" s="1"/>
  <c r="AS14" i="105"/>
  <c r="AT14" i="105" s="1"/>
  <c r="AU28" i="105"/>
  <c r="AV28" i="105"/>
  <c r="AS19" i="105"/>
  <c r="AT19" i="105" s="1"/>
  <c r="AI19" i="105"/>
  <c r="AJ19" i="105" s="1"/>
  <c r="Y19" i="105"/>
  <c r="AI6" i="105"/>
  <c r="AJ6" i="105" s="1"/>
  <c r="U13" i="105"/>
  <c r="AU23" i="105"/>
  <c r="AU25" i="105"/>
  <c r="AO23" i="105"/>
  <c r="AP23" i="105" s="1"/>
  <c r="AQ23" i="105"/>
  <c r="AR23" i="105" s="1"/>
  <c r="AM23" i="105"/>
  <c r="AN23" i="105" s="1"/>
  <c r="Y23" i="105"/>
  <c r="AK28" i="105"/>
  <c r="AL28" i="105" s="1"/>
  <c r="AS28" i="105"/>
  <c r="AT28" i="105" s="1"/>
  <c r="AO28" i="105"/>
  <c r="AP28" i="105" s="1"/>
  <c r="V8" i="105"/>
  <c r="AQ17" i="105"/>
  <c r="AR17" i="105" s="1"/>
  <c r="AI29" i="105"/>
  <c r="AJ29" i="105" s="1"/>
  <c r="AS29" i="105"/>
  <c r="AT29" i="105" s="1"/>
  <c r="AU17" i="105"/>
  <c r="AM11" i="105"/>
  <c r="AN11" i="105" s="1"/>
  <c r="AK11" i="105"/>
  <c r="AL11" i="105" s="1"/>
  <c r="AV21" i="105"/>
  <c r="AI4" i="105"/>
  <c r="AJ4" i="105" s="1"/>
  <c r="AS26" i="105"/>
  <c r="AT26" i="105" s="1"/>
  <c r="AI13" i="93"/>
  <c r="AJ13" i="93" s="1"/>
  <c r="AY6" i="93" s="1"/>
  <c r="AA13" i="93"/>
  <c r="V21" i="105"/>
  <c r="AA15" i="93"/>
  <c r="Z15" i="93"/>
  <c r="AV14" i="105"/>
  <c r="AU4" i="105"/>
  <c r="Z5" i="93"/>
  <c r="AA6" i="93"/>
  <c r="Z12" i="93"/>
  <c r="Z8" i="93"/>
  <c r="AA10" i="93"/>
  <c r="AB8" i="93"/>
  <c r="AA3" i="93"/>
  <c r="AA4" i="93"/>
  <c r="AA11" i="93"/>
  <c r="U4" i="93"/>
  <c r="AB7" i="93"/>
  <c r="U24" i="105"/>
  <c r="AV31" i="105"/>
  <c r="V5" i="105"/>
  <c r="AO5" i="105"/>
  <c r="AP5" i="105" s="1"/>
  <c r="AV5" i="105"/>
  <c r="V9" i="105"/>
  <c r="AU9" i="105"/>
  <c r="AI9" i="105"/>
  <c r="AJ9" i="105" s="1"/>
  <c r="U9" i="105"/>
  <c r="AV9" i="105"/>
  <c r="Y9" i="105"/>
  <c r="AO9" i="105"/>
  <c r="AP9" i="105" s="1"/>
  <c r="AS9" i="105"/>
  <c r="AT9" i="105" s="1"/>
  <c r="AM9" i="105"/>
  <c r="AN9" i="105" s="1"/>
  <c r="AQ15" i="105"/>
  <c r="AR15" i="105" s="1"/>
  <c r="AK15" i="105"/>
  <c r="AL15" i="105" s="1"/>
  <c r="Y15" i="105"/>
  <c r="AO15" i="105"/>
  <c r="AP15" i="105" s="1"/>
  <c r="AI15" i="105"/>
  <c r="AJ15" i="105" s="1"/>
  <c r="U15" i="105"/>
  <c r="AK27" i="105"/>
  <c r="AL27" i="105" s="1"/>
  <c r="AI27" i="105"/>
  <c r="AJ27" i="105" s="1"/>
  <c r="AS27" i="105"/>
  <c r="AT27" i="105" s="1"/>
  <c r="U27" i="105"/>
  <c r="AO27" i="105"/>
  <c r="AP27" i="105" s="1"/>
  <c r="AM15" i="105"/>
  <c r="AN15" i="105" s="1"/>
  <c r="Y6" i="105"/>
  <c r="AK6" i="105"/>
  <c r="AL6" i="105" s="1"/>
  <c r="AK10" i="105"/>
  <c r="AL10" i="105" s="1"/>
  <c r="AQ9" i="105"/>
  <c r="AR9" i="105" s="1"/>
  <c r="V3" i="93"/>
  <c r="V9" i="93"/>
  <c r="V4" i="93"/>
  <c r="V12" i="93"/>
  <c r="V7" i="93"/>
  <c r="V5" i="93"/>
  <c r="AU20" i="105"/>
  <c r="AM14" i="105"/>
  <c r="AN14" i="105" s="1"/>
  <c r="V14" i="105"/>
  <c r="Y14" i="105"/>
  <c r="AO14" i="105"/>
  <c r="AP14" i="105" s="1"/>
  <c r="AQ6" i="105"/>
  <c r="AR6" i="105" s="1"/>
  <c r="V6" i="105"/>
  <c r="AO18" i="105"/>
  <c r="AP18" i="105" s="1"/>
  <c r="AQ13" i="105"/>
  <c r="AR13" i="105" s="1"/>
  <c r="Y13" i="105"/>
  <c r="AU26" i="105"/>
  <c r="AO17" i="105"/>
  <c r="AP17" i="105" s="1"/>
  <c r="AM17" i="105"/>
  <c r="AN17" i="105" s="1"/>
  <c r="U21" i="105"/>
  <c r="AQ21" i="105"/>
  <c r="AR21" i="105" s="1"/>
  <c r="V24" i="105"/>
  <c r="Y28" i="105"/>
  <c r="AM28" i="105"/>
  <c r="AN28" i="105" s="1"/>
  <c r="Y31" i="105"/>
  <c r="AV13" i="105"/>
  <c r="AQ22" i="105"/>
  <c r="AR22" i="105" s="1"/>
  <c r="AK8" i="105"/>
  <c r="AL8" i="105" s="1"/>
  <c r="AK26" i="105"/>
  <c r="AL26" i="105" s="1"/>
  <c r="AV17" i="105"/>
  <c r="AM8" i="105"/>
  <c r="AN8" i="105" s="1"/>
  <c r="AK12" i="105"/>
  <c r="AL12" i="105" s="1"/>
  <c r="AV12" i="105"/>
  <c r="AI23" i="105"/>
  <c r="AJ23" i="105" s="1"/>
  <c r="J80" i="4" l="1"/>
  <c r="J14" i="4"/>
  <c r="K79" i="4"/>
  <c r="L89" i="4"/>
  <c r="L79" i="4"/>
  <c r="P53" i="4"/>
  <c r="J89" i="4"/>
  <c r="L80" i="4"/>
  <c r="L71" i="4"/>
  <c r="J71" i="4"/>
  <c r="L101" i="4"/>
  <c r="J101" i="4"/>
  <c r="L31" i="4"/>
  <c r="J31" i="4"/>
  <c r="L63" i="4"/>
  <c r="J63" i="4"/>
  <c r="L23" i="4"/>
  <c r="L45" i="4"/>
  <c r="J23" i="4"/>
  <c r="J45" i="4"/>
  <c r="I79" i="4"/>
  <c r="L53" i="4"/>
  <c r="L81" i="4"/>
  <c r="I80" i="4"/>
  <c r="J81" i="4"/>
  <c r="BA5" i="105"/>
  <c r="K97" i="4"/>
  <c r="P13" i="4"/>
  <c r="I9" i="4"/>
  <c r="P69" i="4"/>
  <c r="P59" i="4"/>
  <c r="P29" i="4"/>
  <c r="P20" i="4"/>
  <c r="M12" i="4"/>
  <c r="J109" i="4"/>
  <c r="J111" i="4"/>
  <c r="J112" i="4"/>
  <c r="L119" i="4"/>
  <c r="L121" i="4"/>
  <c r="L122" i="4"/>
  <c r="I13" i="4"/>
  <c r="P9" i="4"/>
  <c r="I69" i="4"/>
  <c r="I51" i="4"/>
  <c r="I29" i="4"/>
  <c r="L12" i="4"/>
  <c r="K109" i="4"/>
  <c r="K111" i="4"/>
  <c r="K112" i="4"/>
  <c r="K113" i="4"/>
  <c r="M119" i="4"/>
  <c r="M121" i="4"/>
  <c r="M122" i="4"/>
  <c r="J13" i="4"/>
  <c r="O9" i="4"/>
  <c r="K12" i="4"/>
  <c r="L109" i="4"/>
  <c r="L111" i="4"/>
  <c r="L112" i="4"/>
  <c r="N119" i="4"/>
  <c r="N121" i="4"/>
  <c r="N122" i="4"/>
  <c r="K13" i="4"/>
  <c r="N9" i="4"/>
  <c r="J12" i="4"/>
  <c r="M109" i="4"/>
  <c r="M111" i="4"/>
  <c r="M112" i="4"/>
  <c r="M113" i="4"/>
  <c r="O119" i="4"/>
  <c r="O121" i="4"/>
  <c r="O122" i="4"/>
  <c r="K99" i="4"/>
  <c r="L13" i="4"/>
  <c r="M9" i="4"/>
  <c r="I12" i="4"/>
  <c r="N109" i="4"/>
  <c r="N111" i="4"/>
  <c r="N112" i="4"/>
  <c r="P119" i="4"/>
  <c r="P121" i="4"/>
  <c r="P122" i="4"/>
  <c r="L98" i="4"/>
  <c r="M13" i="4"/>
  <c r="L9" i="4"/>
  <c r="M87" i="4"/>
  <c r="M69" i="4"/>
  <c r="M51" i="4"/>
  <c r="M29" i="4"/>
  <c r="P12" i="4"/>
  <c r="K98" i="4"/>
  <c r="N13" i="4"/>
  <c r="K9" i="4"/>
  <c r="N69" i="4"/>
  <c r="N59" i="4"/>
  <c r="N29" i="4"/>
  <c r="N20" i="4"/>
  <c r="O12" i="4"/>
  <c r="L97" i="4"/>
  <c r="O13" i="4"/>
  <c r="J9" i="4"/>
  <c r="N12" i="4"/>
  <c r="I109" i="4"/>
  <c r="I111" i="4"/>
  <c r="I112" i="4"/>
  <c r="I113" i="4"/>
  <c r="K119" i="4"/>
  <c r="K121" i="4"/>
  <c r="K122" i="4"/>
  <c r="L100" i="4"/>
  <c r="O109" i="4"/>
  <c r="O113" i="4"/>
  <c r="P22" i="4"/>
  <c r="P10" i="4"/>
  <c r="P11" i="4"/>
  <c r="P7" i="4"/>
  <c r="P8" i="4"/>
  <c r="P109" i="4"/>
  <c r="I41" i="4"/>
  <c r="I22" i="4"/>
  <c r="I10" i="4"/>
  <c r="I11" i="4"/>
  <c r="I7" i="4"/>
  <c r="I8" i="4"/>
  <c r="I121" i="4"/>
  <c r="L99" i="4"/>
  <c r="J22" i="4"/>
  <c r="J10" i="4"/>
  <c r="J11" i="4"/>
  <c r="J7" i="4"/>
  <c r="J8" i="4"/>
  <c r="J121" i="4"/>
  <c r="K100" i="4"/>
  <c r="K41" i="4"/>
  <c r="K22" i="4"/>
  <c r="K10" i="4"/>
  <c r="K11" i="4"/>
  <c r="K7" i="4"/>
  <c r="K8" i="4"/>
  <c r="O111" i="4"/>
  <c r="I122" i="4"/>
  <c r="L22" i="4"/>
  <c r="L10" i="4"/>
  <c r="L11" i="4"/>
  <c r="L7" i="4"/>
  <c r="L8" i="4"/>
  <c r="P111" i="4"/>
  <c r="J122" i="4"/>
  <c r="M41" i="4"/>
  <c r="M22" i="4"/>
  <c r="M10" i="4"/>
  <c r="M11" i="4"/>
  <c r="M7" i="4"/>
  <c r="M8" i="4"/>
  <c r="O112" i="4"/>
  <c r="I119" i="4"/>
  <c r="N22" i="4"/>
  <c r="N10" i="4"/>
  <c r="N11" i="4"/>
  <c r="N7" i="4"/>
  <c r="N8" i="4"/>
  <c r="P112" i="4"/>
  <c r="J119" i="4"/>
  <c r="O41" i="4"/>
  <c r="O22" i="4"/>
  <c r="O10" i="4"/>
  <c r="O11" i="4"/>
  <c r="O7" i="4"/>
  <c r="O8" i="4"/>
  <c r="P105" i="4"/>
  <c r="K102" i="4"/>
  <c r="O106" i="4"/>
  <c r="K29" i="4"/>
  <c r="J59" i="4"/>
  <c r="O95" i="4"/>
  <c r="N103" i="4"/>
  <c r="O51" i="4"/>
  <c r="N51" i="4"/>
  <c r="M77" i="4"/>
  <c r="L69" i="4"/>
  <c r="K77" i="4"/>
  <c r="I95" i="4"/>
  <c r="J103" i="4"/>
  <c r="O69" i="4"/>
  <c r="J95" i="4"/>
  <c r="O102" i="4"/>
  <c r="M105" i="4"/>
  <c r="M102" i="4"/>
  <c r="P107" i="4"/>
  <c r="K106" i="4"/>
  <c r="I103" i="4"/>
  <c r="J20" i="4"/>
  <c r="I59" i="4"/>
  <c r="P87" i="4"/>
  <c r="I106" i="4"/>
  <c r="O59" i="4"/>
  <c r="N77" i="4"/>
  <c r="L95" i="4"/>
  <c r="L77" i="4"/>
  <c r="K87" i="4"/>
  <c r="I107" i="4"/>
  <c r="O105" i="4"/>
  <c r="K103" i="4"/>
  <c r="L87" i="4"/>
  <c r="N102" i="4"/>
  <c r="J69" i="4"/>
  <c r="P51" i="4"/>
  <c r="L107" i="4"/>
  <c r="J105" i="4"/>
  <c r="K105" i="4"/>
  <c r="N106" i="4"/>
  <c r="J29" i="4"/>
  <c r="M103" i="4"/>
  <c r="L103" i="4"/>
  <c r="I87" i="4"/>
  <c r="O77" i="4"/>
  <c r="M95" i="4"/>
  <c r="L20" i="4"/>
  <c r="K95" i="4"/>
  <c r="J107" i="4"/>
  <c r="L105" i="4"/>
  <c r="O103" i="4"/>
  <c r="M37" i="4"/>
  <c r="P77" i="4"/>
  <c r="I105" i="4"/>
  <c r="P106" i="4"/>
  <c r="J102" i="4"/>
  <c r="P103" i="4"/>
  <c r="P104" i="4"/>
  <c r="K51" i="4"/>
  <c r="O87" i="4"/>
  <c r="M107" i="4"/>
  <c r="L29" i="4"/>
  <c r="K107" i="4"/>
  <c r="J37" i="4"/>
  <c r="I37" i="4"/>
  <c r="N107" i="4"/>
  <c r="J77" i="4"/>
  <c r="P37" i="4"/>
  <c r="I77" i="4"/>
  <c r="L102" i="4"/>
  <c r="J104" i="4"/>
  <c r="O20" i="4"/>
  <c r="N95" i="4"/>
  <c r="M20" i="4"/>
  <c r="L37" i="4"/>
  <c r="K20" i="4"/>
  <c r="J51" i="4"/>
  <c r="O29" i="4"/>
  <c r="L51" i="4"/>
  <c r="P102" i="4"/>
  <c r="O107" i="4"/>
  <c r="L104" i="4"/>
  <c r="K37" i="4"/>
  <c r="N105" i="4"/>
  <c r="I102" i="4"/>
  <c r="M106" i="4"/>
  <c r="K69" i="4"/>
  <c r="P95" i="4"/>
  <c r="J106" i="4"/>
  <c r="N104" i="4"/>
  <c r="O37" i="4"/>
  <c r="N37" i="4"/>
  <c r="M59" i="4"/>
  <c r="L59" i="4"/>
  <c r="K59" i="4"/>
  <c r="J87" i="4"/>
  <c r="L106" i="4"/>
  <c r="I20" i="4"/>
  <c r="N87" i="4"/>
  <c r="K49" i="4"/>
  <c r="P19" i="4"/>
  <c r="I27" i="4"/>
  <c r="P50" i="4"/>
  <c r="P48" i="4"/>
  <c r="J72" i="4"/>
  <c r="I70" i="4"/>
  <c r="I85" i="4"/>
  <c r="I104" i="4"/>
  <c r="I75" i="4"/>
  <c r="I26" i="4"/>
  <c r="P88" i="4"/>
  <c r="I48" i="4"/>
  <c r="I54" i="4"/>
  <c r="L108" i="4"/>
  <c r="N108" i="4"/>
  <c r="O49" i="4"/>
  <c r="O86" i="4"/>
  <c r="N19" i="4"/>
  <c r="O55" i="4"/>
  <c r="N96" i="4"/>
  <c r="O27" i="4"/>
  <c r="O76" i="4"/>
  <c r="N50" i="4"/>
  <c r="N55" i="4"/>
  <c r="N48" i="4"/>
  <c r="O18" i="4"/>
  <c r="O64" i="4"/>
  <c r="N72" i="4"/>
  <c r="K6" i="4"/>
  <c r="O70" i="4"/>
  <c r="O34" i="4"/>
  <c r="O85" i="4"/>
  <c r="O30" i="4"/>
  <c r="O104" i="4"/>
  <c r="O88" i="4"/>
  <c r="O25" i="4"/>
  <c r="O75" i="4"/>
  <c r="O16" i="4"/>
  <c r="O26" i="4"/>
  <c r="O52" i="4"/>
  <c r="N88" i="4"/>
  <c r="N93" i="4"/>
  <c r="O28" i="4"/>
  <c r="O48" i="4"/>
  <c r="N34" i="4"/>
  <c r="O54" i="4"/>
  <c r="N24" i="4"/>
  <c r="N25" i="4"/>
  <c r="N38" i="4"/>
  <c r="N75" i="4"/>
  <c r="O58" i="4"/>
  <c r="N28" i="4"/>
  <c r="N91" i="4"/>
  <c r="N66" i="4"/>
  <c r="O57" i="4"/>
  <c r="O82" i="4"/>
  <c r="N90" i="4"/>
  <c r="N15" i="4"/>
  <c r="O17" i="4"/>
  <c r="M73" i="4"/>
  <c r="P83" i="4"/>
  <c r="M96" i="4"/>
  <c r="P49" i="4"/>
  <c r="M66" i="4"/>
  <c r="L30" i="4"/>
  <c r="M65" i="4"/>
  <c r="L17" i="4"/>
  <c r="M72" i="4"/>
  <c r="P82" i="4"/>
  <c r="P86" i="4"/>
  <c r="M21" i="4"/>
  <c r="P80" i="4"/>
  <c r="P70" i="4"/>
  <c r="J57" i="4"/>
  <c r="J94" i="4"/>
  <c r="P56" i="4"/>
  <c r="J65" i="4"/>
  <c r="P21" i="4"/>
  <c r="P35" i="4"/>
  <c r="I36" i="4"/>
  <c r="I47" i="4"/>
  <c r="I93" i="4"/>
  <c r="I24" i="4"/>
  <c r="P32" i="4"/>
  <c r="I84" i="4"/>
  <c r="P47" i="4"/>
  <c r="J64" i="4"/>
  <c r="I92" i="4"/>
  <c r="P74" i="4"/>
  <c r="I90" i="4"/>
  <c r="I56" i="4"/>
  <c r="I33" i="4"/>
  <c r="P18" i="4"/>
  <c r="P36" i="4"/>
  <c r="J85" i="4"/>
  <c r="I91" i="4"/>
  <c r="P78" i="4"/>
  <c r="I94" i="4"/>
  <c r="P84" i="4"/>
  <c r="P27" i="4"/>
  <c r="I74" i="4"/>
  <c r="J76" i="4"/>
  <c r="I68" i="4"/>
  <c r="I19" i="4"/>
  <c r="P52" i="4"/>
  <c r="P33" i="4"/>
  <c r="I15" i="4"/>
  <c r="I67" i="4"/>
  <c r="L70" i="4"/>
  <c r="N70" i="4"/>
  <c r="N57" i="4"/>
  <c r="N94" i="4"/>
  <c r="N56" i="4"/>
  <c r="N65" i="4"/>
  <c r="N21" i="4"/>
  <c r="N35" i="4"/>
  <c r="O36" i="4"/>
  <c r="O47" i="4"/>
  <c r="N84" i="4"/>
  <c r="O93" i="4"/>
  <c r="N27" i="4"/>
  <c r="O24" i="4"/>
  <c r="N32" i="4"/>
  <c r="O74" i="4"/>
  <c r="O84" i="4"/>
  <c r="N47" i="4"/>
  <c r="N76" i="4"/>
  <c r="N64" i="4"/>
  <c r="O92" i="4"/>
  <c r="O68" i="4"/>
  <c r="N74" i="4"/>
  <c r="O90" i="4"/>
  <c r="O19" i="4"/>
  <c r="O56" i="4"/>
  <c r="O33" i="4"/>
  <c r="N52" i="4"/>
  <c r="N18" i="4"/>
  <c r="N36" i="4"/>
  <c r="N33" i="4"/>
  <c r="N85" i="4"/>
  <c r="O15" i="4"/>
  <c r="O91" i="4"/>
  <c r="N78" i="4"/>
  <c r="O67" i="4"/>
  <c r="O94" i="4"/>
  <c r="N68" i="4"/>
  <c r="O83" i="4"/>
  <c r="N16" i="4"/>
  <c r="N26" i="4"/>
  <c r="N67" i="4"/>
  <c r="O46" i="4"/>
  <c r="N54" i="4"/>
  <c r="O78" i="4"/>
  <c r="M38" i="4"/>
  <c r="M50" i="4"/>
  <c r="P73" i="4"/>
  <c r="L46" i="4"/>
  <c r="M60" i="4"/>
  <c r="P58" i="4"/>
  <c r="L92" i="4"/>
  <c r="M35" i="4"/>
  <c r="M32" i="4"/>
  <c r="L60" i="4"/>
  <c r="M108" i="4"/>
  <c r="P79" i="4"/>
  <c r="P108" i="4"/>
  <c r="I86" i="4"/>
  <c r="I55" i="4"/>
  <c r="P96" i="4"/>
  <c r="I76" i="4"/>
  <c r="J55" i="4"/>
  <c r="I18" i="4"/>
  <c r="I64" i="4"/>
  <c r="I6" i="4"/>
  <c r="I34" i="4"/>
  <c r="I30" i="4"/>
  <c r="I88" i="4"/>
  <c r="I25" i="4"/>
  <c r="I16" i="4"/>
  <c r="I52" i="4"/>
  <c r="J93" i="4"/>
  <c r="I28" i="4"/>
  <c r="P34" i="4"/>
  <c r="P90" i="4"/>
  <c r="N86" i="4"/>
  <c r="J70" i="4"/>
  <c r="P65" i="4"/>
  <c r="M47" i="4"/>
  <c r="M74" i="4"/>
  <c r="M68" i="4"/>
  <c r="M56" i="4"/>
  <c r="L36" i="4"/>
  <c r="K91" i="4"/>
  <c r="M94" i="4"/>
  <c r="L26" i="4"/>
  <c r="M78" i="4"/>
  <c r="L83" i="4"/>
  <c r="P92" i="4"/>
  <c r="I108" i="4"/>
  <c r="N80" i="4"/>
  <c r="K52" i="4"/>
  <c r="L38" i="4"/>
  <c r="I57" i="4"/>
  <c r="I73" i="4"/>
  <c r="N30" i="4"/>
  <c r="K108" i="4"/>
  <c r="L47" i="4"/>
  <c r="K82" i="4"/>
  <c r="N46" i="4"/>
  <c r="L82" i="4"/>
  <c r="L93" i="4"/>
  <c r="L28" i="4"/>
  <c r="L54" i="4"/>
  <c r="L73" i="4"/>
  <c r="N82" i="4"/>
  <c r="O80" i="4"/>
  <c r="I49" i="4"/>
  <c r="J19" i="4"/>
  <c r="J96" i="4"/>
  <c r="K76" i="4"/>
  <c r="L55" i="4"/>
  <c r="K18" i="4"/>
  <c r="L72" i="4"/>
  <c r="K70" i="4"/>
  <c r="K85" i="4"/>
  <c r="K104" i="4"/>
  <c r="K16" i="4"/>
  <c r="K54" i="4"/>
  <c r="I58" i="4"/>
  <c r="M82" i="4"/>
  <c r="N83" i="4"/>
  <c r="I72" i="4"/>
  <c r="M49" i="4"/>
  <c r="L19" i="4"/>
  <c r="L96" i="4"/>
  <c r="M76" i="4"/>
  <c r="P55" i="4"/>
  <c r="M18" i="4"/>
  <c r="P72" i="4"/>
  <c r="M70" i="4"/>
  <c r="M85" i="4"/>
  <c r="M104" i="4"/>
  <c r="M25" i="4"/>
  <c r="M16" i="4"/>
  <c r="M52" i="4"/>
  <c r="P93" i="4"/>
  <c r="M48" i="4"/>
  <c r="M54" i="4"/>
  <c r="P25" i="4"/>
  <c r="K67" i="4"/>
  <c r="K58" i="4"/>
  <c r="I83" i="4"/>
  <c r="L16" i="4"/>
  <c r="K57" i="4"/>
  <c r="I46" i="4"/>
  <c r="P54" i="4"/>
  <c r="K17" i="4"/>
  <c r="K73" i="4"/>
  <c r="I50" i="4"/>
  <c r="N73" i="4"/>
  <c r="K66" i="4"/>
  <c r="J58" i="4"/>
  <c r="N92" i="4"/>
  <c r="K72" i="4"/>
  <c r="P60" i="4"/>
  <c r="O108" i="4"/>
  <c r="L57" i="4"/>
  <c r="J56" i="4"/>
  <c r="J21" i="4"/>
  <c r="K36" i="4"/>
  <c r="J84" i="4"/>
  <c r="J27" i="4"/>
  <c r="J32" i="4"/>
  <c r="K84" i="4"/>
  <c r="L76" i="4"/>
  <c r="K92" i="4"/>
  <c r="J74" i="4"/>
  <c r="K19" i="4"/>
  <c r="K33" i="4"/>
  <c r="J18" i="4"/>
  <c r="J33" i="4"/>
  <c r="K15" i="4"/>
  <c r="J25" i="4"/>
  <c r="M67" i="4"/>
  <c r="M58" i="4"/>
  <c r="K83" i="4"/>
  <c r="P66" i="4"/>
  <c r="M57" i="4"/>
  <c r="K46" i="4"/>
  <c r="P15" i="4"/>
  <c r="M17" i="4"/>
  <c r="O73" i="4"/>
  <c r="K50" i="4"/>
  <c r="J49" i="4"/>
  <c r="O66" i="4"/>
  <c r="L58" i="4"/>
  <c r="O72" i="4"/>
  <c r="J60" i="4"/>
  <c r="I21" i="4"/>
  <c r="P57" i="4"/>
  <c r="L56" i="4"/>
  <c r="L21" i="4"/>
  <c r="M36" i="4"/>
  <c r="L27" i="4"/>
  <c r="L32" i="4"/>
  <c r="M84" i="4"/>
  <c r="P76" i="4"/>
  <c r="L74" i="4"/>
  <c r="M19" i="4"/>
  <c r="L18" i="4"/>
  <c r="M15" i="4"/>
  <c r="J75" i="4"/>
  <c r="M83" i="4"/>
  <c r="M46" i="4"/>
  <c r="O50" i="4"/>
  <c r="I60" i="4"/>
  <c r="J17" i="4"/>
  <c r="N60" i="4"/>
  <c r="K34" i="4"/>
  <c r="K28" i="4"/>
  <c r="P24" i="4"/>
  <c r="L68" i="4"/>
  <c r="L15" i="4"/>
  <c r="N49" i="4"/>
  <c r="N17" i="4"/>
  <c r="P17" i="4"/>
  <c r="L84" i="4"/>
  <c r="M92" i="4"/>
  <c r="M33" i="4"/>
  <c r="L25" i="4"/>
  <c r="J68" i="4"/>
  <c r="J66" i="4"/>
  <c r="J67" i="4"/>
  <c r="J15" i="4"/>
  <c r="I38" i="4"/>
  <c r="L49" i="4"/>
  <c r="I32" i="4"/>
  <c r="K21" i="4"/>
  <c r="M79" i="4"/>
  <c r="K75" i="4"/>
  <c r="J78" i="4"/>
  <c r="J91" i="4"/>
  <c r="J90" i="4"/>
  <c r="K60" i="4"/>
  <c r="J86" i="4"/>
  <c r="N79" i="4"/>
  <c r="L33" i="4"/>
  <c r="N58" i="4"/>
  <c r="K88" i="4"/>
  <c r="L75" i="4"/>
  <c r="L67" i="4"/>
  <c r="K38" i="4"/>
  <c r="I65" i="4"/>
  <c r="O21" i="4"/>
  <c r="K86" i="4"/>
  <c r="K55" i="4"/>
  <c r="K27" i="4"/>
  <c r="J50" i="4"/>
  <c r="J48" i="4"/>
  <c r="K64" i="4"/>
  <c r="O6" i="4"/>
  <c r="K30" i="4"/>
  <c r="K26" i="4"/>
  <c r="J88" i="4"/>
  <c r="J34" i="4"/>
  <c r="L66" i="4"/>
  <c r="I96" i="4"/>
  <c r="K32" i="4"/>
  <c r="M86" i="4"/>
  <c r="M55" i="4"/>
  <c r="M27" i="4"/>
  <c r="L50" i="4"/>
  <c r="L48" i="4"/>
  <c r="M64" i="4"/>
  <c r="M6" i="4"/>
  <c r="M34" i="4"/>
  <c r="M30" i="4"/>
  <c r="M88" i="4"/>
  <c r="M75" i="4"/>
  <c r="M26" i="4"/>
  <c r="L88" i="4"/>
  <c r="M28" i="4"/>
  <c r="L34" i="4"/>
  <c r="J24" i="4"/>
  <c r="L78" i="4"/>
  <c r="P75" i="4"/>
  <c r="P68" i="4"/>
  <c r="L91" i="4"/>
  <c r="P26" i="4"/>
  <c r="P67" i="4"/>
  <c r="L90" i="4"/>
  <c r="I78" i="4"/>
  <c r="O38" i="4"/>
  <c r="K96" i="4"/>
  <c r="P46" i="4"/>
  <c r="O60" i="4"/>
  <c r="K65" i="4"/>
  <c r="I35" i="4"/>
  <c r="O32" i="4"/>
  <c r="L86" i="4"/>
  <c r="O79" i="4"/>
  <c r="J108" i="4"/>
  <c r="L94" i="4"/>
  <c r="L65" i="4"/>
  <c r="J35" i="4"/>
  <c r="K47" i="4"/>
  <c r="K93" i="4"/>
  <c r="K24" i="4"/>
  <c r="K74" i="4"/>
  <c r="J47" i="4"/>
  <c r="L64" i="4"/>
  <c r="K68" i="4"/>
  <c r="K90" i="4"/>
  <c r="K56" i="4"/>
  <c r="J52" i="4"/>
  <c r="J36" i="4"/>
  <c r="L85" i="4"/>
  <c r="L24" i="4"/>
  <c r="P38" i="4"/>
  <c r="K94" i="4"/>
  <c r="P28" i="4"/>
  <c r="P91" i="4"/>
  <c r="J26" i="4"/>
  <c r="I82" i="4"/>
  <c r="K78" i="4"/>
  <c r="J83" i="4"/>
  <c r="O96" i="4"/>
  <c r="J46" i="4"/>
  <c r="P30" i="4"/>
  <c r="O65" i="4"/>
  <c r="K35" i="4"/>
  <c r="J82" i="4"/>
  <c r="M80" i="4"/>
  <c r="P94" i="4"/>
  <c r="L35" i="4"/>
  <c r="M93" i="4"/>
  <c r="M24" i="4"/>
  <c r="P64" i="4"/>
  <c r="M90" i="4"/>
  <c r="L52" i="4"/>
  <c r="P85" i="4"/>
  <c r="J38" i="4"/>
  <c r="J28" i="4"/>
  <c r="P16" i="4"/>
  <c r="J54" i="4"/>
  <c r="J73" i="4"/>
  <c r="J30" i="4"/>
  <c r="O35" i="4"/>
  <c r="K25" i="4"/>
  <c r="K48" i="4"/>
  <c r="M91" i="4"/>
  <c r="J16" i="4"/>
  <c r="I17" i="4"/>
  <c r="I66" i="4"/>
  <c r="J92" i="4"/>
  <c r="L6" i="4"/>
  <c r="M71" i="4"/>
  <c r="M23" i="4"/>
  <c r="M31" i="4"/>
  <c r="M53" i="4"/>
  <c r="M14" i="4"/>
  <c r="J6" i="4"/>
  <c r="O71" i="4"/>
  <c r="O23" i="4"/>
  <c r="O31" i="4"/>
  <c r="O53" i="4"/>
  <c r="O14" i="4"/>
  <c r="I63" i="4"/>
  <c r="I81" i="4"/>
  <c r="I101" i="4"/>
  <c r="I45" i="4"/>
  <c r="I89" i="4"/>
  <c r="K63" i="4"/>
  <c r="K81" i="4"/>
  <c r="K101" i="4"/>
  <c r="K45" i="4"/>
  <c r="K89" i="4"/>
  <c r="I23" i="4"/>
  <c r="I31" i="4"/>
  <c r="I53" i="4"/>
  <c r="N6" i="4"/>
  <c r="K23" i="4"/>
  <c r="K53" i="4"/>
  <c r="M63" i="4"/>
  <c r="M81" i="4"/>
  <c r="M101" i="4"/>
  <c r="M45" i="4"/>
  <c r="M89" i="4"/>
  <c r="O63" i="4"/>
  <c r="O81" i="4"/>
  <c r="O101" i="4"/>
  <c r="O45" i="4"/>
  <c r="O89" i="4"/>
  <c r="P6" i="4"/>
  <c r="I71" i="4"/>
  <c r="I14" i="4"/>
  <c r="K71" i="4"/>
  <c r="K31" i="4"/>
  <c r="K14" i="4"/>
  <c r="N23" i="4"/>
  <c r="N14" i="4"/>
  <c r="N71" i="4"/>
  <c r="N31" i="4"/>
  <c r="N45" i="4"/>
  <c r="P71" i="4"/>
  <c r="P23" i="4"/>
  <c r="P14" i="4"/>
  <c r="P31" i="4"/>
  <c r="P45" i="4"/>
  <c r="K80" i="4"/>
  <c r="N81" i="4"/>
  <c r="N89" i="4"/>
  <c r="N101" i="4"/>
  <c r="N63" i="4"/>
  <c r="N53" i="4"/>
  <c r="P81" i="4"/>
  <c r="P89" i="4"/>
  <c r="P101" i="4"/>
  <c r="P63" i="4"/>
  <c r="AQ30" i="105"/>
  <c r="AR30" i="105" s="1"/>
  <c r="AQ19" i="105"/>
  <c r="AR19" i="105" s="1"/>
  <c r="AI14" i="105"/>
  <c r="AJ14" i="105" s="1"/>
  <c r="AO24" i="105"/>
  <c r="AP24" i="105" s="1"/>
  <c r="V11" i="105"/>
  <c r="V18" i="105"/>
  <c r="AM4" i="105"/>
  <c r="AN4" i="105" s="1"/>
  <c r="AK4" i="105"/>
  <c r="AL4" i="105" s="1"/>
  <c r="AI18" i="105"/>
  <c r="AJ18" i="105" s="1"/>
  <c r="AM6" i="105"/>
  <c r="AN6" i="105" s="1"/>
  <c r="U14" i="105"/>
  <c r="AV27" i="105"/>
  <c r="AQ27" i="105"/>
  <c r="AR27" i="105" s="1"/>
  <c r="AU15" i="105"/>
  <c r="AK5" i="105"/>
  <c r="AL5" i="105" s="1"/>
  <c r="AM5" i="105"/>
  <c r="AN5" i="105" s="1"/>
  <c r="AS13" i="105"/>
  <c r="AT13" i="105" s="1"/>
  <c r="AM12" i="105"/>
  <c r="AN12" i="105" s="1"/>
  <c r="AS7" i="105"/>
  <c r="AT7" i="105" s="1"/>
  <c r="AO30" i="105"/>
  <c r="AP30" i="105" s="1"/>
  <c r="Y21" i="105"/>
  <c r="Y11" i="105"/>
  <c r="AS4" i="105"/>
  <c r="AT4" i="105" s="1"/>
  <c r="AQ4" i="105"/>
  <c r="AR4" i="105" s="1"/>
  <c r="AU19" i="105"/>
  <c r="Y7" i="105"/>
  <c r="AK21" i="105"/>
  <c r="AL21" i="105" s="1"/>
  <c r="AQ18" i="105"/>
  <c r="AR18" i="105" s="1"/>
  <c r="AU29" i="105"/>
  <c r="AQ5" i="105"/>
  <c r="AR5" i="105" s="1"/>
  <c r="AI11" i="105"/>
  <c r="AJ11" i="105" s="1"/>
  <c r="AU18" i="105"/>
  <c r="U11" i="105"/>
  <c r="AQ24" i="105"/>
  <c r="AR24" i="105" s="1"/>
  <c r="AK18" i="105"/>
  <c r="AL18" i="105" s="1"/>
  <c r="AS30" i="105"/>
  <c r="AT30" i="105" s="1"/>
  <c r="AU5" i="105"/>
  <c r="AO13" i="105"/>
  <c r="AP13" i="105" s="1"/>
  <c r="V31" i="105"/>
  <c r="AI12" i="105"/>
  <c r="AJ12" i="105" s="1"/>
  <c r="AV4" i="105"/>
  <c r="AK25" i="105"/>
  <c r="AL25" i="105" s="1"/>
  <c r="V7" i="105"/>
  <c r="AS24" i="105"/>
  <c r="AT24" i="105" s="1"/>
  <c r="AM21" i="105"/>
  <c r="AN21" i="105" s="1"/>
  <c r="AO4" i="105"/>
  <c r="AP4" i="105" s="1"/>
  <c r="V32" i="105"/>
  <c r="AU11" i="105"/>
  <c r="AU27" i="105"/>
  <c r="AM18" i="105"/>
  <c r="AN18" i="105" s="1"/>
  <c r="AU24" i="105"/>
  <c r="AI5" i="105"/>
  <c r="AJ5" i="105" s="1"/>
  <c r="AU6" i="105"/>
  <c r="Y5" i="105"/>
  <c r="AS18" i="105"/>
  <c r="AT18" i="105" s="1"/>
  <c r="AK24" i="105"/>
  <c r="AL24" i="105" s="1"/>
  <c r="AM30" i="105"/>
  <c r="AN30" i="105" s="1"/>
  <c r="U18" i="105"/>
  <c r="U6" i="105"/>
  <c r="AQ14" i="105"/>
  <c r="AR14" i="105" s="1"/>
  <c r="AS6" i="105"/>
  <c r="AT6" i="105" s="1"/>
  <c r="V27" i="105"/>
  <c r="AS15" i="105"/>
  <c r="AT15" i="105" s="1"/>
  <c r="AS5" i="105"/>
  <c r="AT5" i="105" s="1"/>
  <c r="AV11" i="105"/>
  <c r="AK13" i="105"/>
  <c r="AL13" i="105" s="1"/>
  <c r="AO12" i="105"/>
  <c r="AP12" i="105" s="1"/>
  <c r="AO21" i="105"/>
  <c r="AP21" i="105" s="1"/>
  <c r="AV20" i="105"/>
  <c r="AV29" i="105"/>
  <c r="AI24" i="105"/>
  <c r="AJ24" i="105" s="1"/>
  <c r="AV6" i="105"/>
  <c r="Y27" i="105"/>
  <c r="AI25" i="105"/>
  <c r="AJ25" i="105" s="1"/>
  <c r="AO25" i="105"/>
  <c r="AP25" i="105" s="1"/>
  <c r="AQ11" i="105"/>
  <c r="AR11" i="105" s="1"/>
  <c r="AU13" i="105"/>
  <c r="AO19" i="105"/>
  <c r="AP19" i="105" s="1"/>
  <c r="U22" i="105"/>
  <c r="AQ25" i="105"/>
  <c r="AR25" i="105" s="1"/>
  <c r="V13" i="105"/>
  <c r="AV33" i="105"/>
  <c r="BB5" i="105"/>
  <c r="AY5" i="105"/>
  <c r="AZ5" i="105"/>
  <c r="BC5" i="105"/>
  <c r="BE3" i="105"/>
  <c r="BE4" i="105"/>
  <c r="X10" i="93"/>
  <c r="X5" i="93"/>
  <c r="X3" i="93"/>
  <c r="X8" i="93"/>
  <c r="X4" i="93"/>
  <c r="X6" i="93"/>
  <c r="X9" i="93"/>
  <c r="X12" i="93"/>
  <c r="X7" i="93"/>
  <c r="X11" i="93"/>
  <c r="X13" i="93"/>
  <c r="Z13" i="93"/>
  <c r="U13" i="93"/>
  <c r="AA9" i="93"/>
  <c r="Z10" i="93"/>
  <c r="Z9" i="93"/>
  <c r="AB4" i="93"/>
  <c r="U6" i="93"/>
  <c r="Z6" i="93"/>
  <c r="AA5" i="93"/>
  <c r="Z3" i="93"/>
  <c r="AB6" i="93"/>
  <c r="U8" i="93"/>
  <c r="U7" i="93"/>
  <c r="AB3" i="93"/>
  <c r="U12" i="93"/>
  <c r="U3" i="93"/>
  <c r="AB13" i="93"/>
  <c r="AB9" i="93"/>
  <c r="AB12" i="93"/>
  <c r="U5" i="93"/>
  <c r="AA8" i="93"/>
  <c r="AA7" i="93"/>
  <c r="AA12" i="93"/>
  <c r="AB5" i="93"/>
  <c r="U10" i="93"/>
  <c r="Z4" i="93"/>
  <c r="U11" i="93"/>
  <c r="Z11" i="93"/>
  <c r="U9" i="93"/>
  <c r="AB11" i="93"/>
  <c r="Z7" i="93"/>
  <c r="AB10" i="93"/>
  <c r="AU10" i="105"/>
  <c r="Y10" i="105"/>
  <c r="AO10" i="105"/>
  <c r="AP10" i="105" s="1"/>
  <c r="AQ10" i="105"/>
  <c r="AR10" i="105" s="1"/>
  <c r="AS10" i="105"/>
  <c r="AT10" i="105" s="1"/>
  <c r="AI10" i="105"/>
  <c r="AJ10" i="105" s="1"/>
  <c r="AV10" i="105"/>
  <c r="U10" i="105"/>
  <c r="V10" i="105"/>
  <c r="AM20" i="105"/>
  <c r="AN20" i="105" s="1"/>
  <c r="AO20" i="105"/>
  <c r="AP20" i="105" s="1"/>
  <c r="AS20" i="105"/>
  <c r="AT20" i="105" s="1"/>
  <c r="AQ20" i="105"/>
  <c r="AR20" i="105" s="1"/>
  <c r="V20" i="105"/>
  <c r="U20" i="105"/>
  <c r="Y20" i="105"/>
  <c r="AI20" i="105"/>
  <c r="AJ20" i="105" s="1"/>
  <c r="AK20" i="105"/>
  <c r="AL20" i="105" s="1"/>
  <c r="AQ16" i="105"/>
  <c r="AR16" i="105" s="1"/>
  <c r="AO16" i="105"/>
  <c r="AP16" i="105" s="1"/>
  <c r="AU16" i="105"/>
  <c r="AM16" i="105"/>
  <c r="AN16" i="105" s="1"/>
  <c r="AI16" i="105"/>
  <c r="AJ16" i="105" s="1"/>
  <c r="AV16" i="105"/>
  <c r="AS16" i="105"/>
  <c r="AT16" i="105" s="1"/>
  <c r="Y16" i="105"/>
  <c r="V16" i="105"/>
  <c r="U16" i="105"/>
  <c r="AK16" i="105"/>
  <c r="AL16" i="105" s="1"/>
  <c r="AQ31" i="105"/>
  <c r="AR31" i="105" s="1"/>
  <c r="AO31" i="105"/>
  <c r="AP31" i="105" s="1"/>
  <c r="AM31" i="105"/>
  <c r="AN31" i="105" s="1"/>
  <c r="AS31" i="105"/>
  <c r="AT31" i="105" s="1"/>
  <c r="AS25" i="105"/>
  <c r="AT25" i="105" s="1"/>
  <c r="AU12" i="105"/>
  <c r="U12" i="105"/>
  <c r="Y12" i="105"/>
  <c r="Y32" i="105"/>
  <c r="AK13" i="93"/>
  <c r="AL13" i="93" s="1"/>
  <c r="AZ6" i="93" s="1"/>
  <c r="AM13" i="93"/>
  <c r="AN13" i="93" s="1"/>
  <c r="BA6" i="93" s="1"/>
  <c r="AO13" i="93"/>
  <c r="AP13" i="93" s="1"/>
  <c r="BB6" i="93" s="1"/>
  <c r="Y25" i="105"/>
  <c r="AV25" i="105"/>
  <c r="AI26" i="105"/>
  <c r="AJ26" i="105" s="1"/>
  <c r="AO26" i="105"/>
  <c r="AP26" i="105" s="1"/>
  <c r="AO7" i="105"/>
  <c r="AP7" i="105" s="1"/>
  <c r="AK7" i="105"/>
  <c r="AL7" i="105" s="1"/>
  <c r="AM7" i="105"/>
  <c r="AN7" i="105" s="1"/>
  <c r="AU22" i="105"/>
  <c r="AV22" i="105"/>
  <c r="AU32" i="105"/>
  <c r="AM22" i="105"/>
  <c r="AN22" i="105" s="1"/>
  <c r="V22" i="105"/>
  <c r="AK22" i="105"/>
  <c r="AL22" i="105" s="1"/>
  <c r="Y29" i="105"/>
  <c r="AM29" i="105"/>
  <c r="AN29" i="105" s="1"/>
  <c r="AO29" i="105"/>
  <c r="AP29" i="105" s="1"/>
  <c r="AQ29" i="105"/>
  <c r="AR29" i="105" s="1"/>
  <c r="AK29" i="105"/>
  <c r="AL29" i="105" s="1"/>
  <c r="AV23" i="105"/>
  <c r="U23" i="105"/>
  <c r="AS8" i="105"/>
  <c r="AT8" i="105" s="1"/>
  <c r="Y8" i="105"/>
  <c r="U8" i="105"/>
  <c r="AV8" i="105"/>
  <c r="AQ8" i="105"/>
  <c r="AR8" i="105" s="1"/>
  <c r="V17" i="105"/>
  <c r="AI17" i="105"/>
  <c r="AJ17" i="105" s="1"/>
  <c r="Y17" i="105"/>
  <c r="AK17" i="105"/>
  <c r="AL17" i="105" s="1"/>
  <c r="AM13" i="105"/>
  <c r="AN13" i="105" s="1"/>
  <c r="H44" i="4"/>
  <c r="P44" i="4" s="1"/>
  <c r="H42" i="4"/>
  <c r="P42" i="4" s="1"/>
  <c r="H39" i="4"/>
  <c r="P39" i="4" s="1"/>
  <c r="H41" i="4"/>
  <c r="L41" i="4" s="1"/>
  <c r="H40" i="4"/>
  <c r="L40" i="4" s="1"/>
  <c r="H43" i="4"/>
  <c r="L43" i="4" s="1"/>
  <c r="G114" i="4"/>
  <c r="M114" i="4" s="1"/>
  <c r="H113" i="4"/>
  <c r="L113" i="4" s="1"/>
  <c r="H114" i="4"/>
  <c r="N114" i="4" s="1"/>
  <c r="G110" i="4"/>
  <c r="H110" i="4"/>
  <c r="G39" i="4"/>
  <c r="K39" i="4" s="1"/>
  <c r="G43" i="4"/>
  <c r="K43" i="4" s="1"/>
  <c r="P113" i="4" l="1"/>
  <c r="N113" i="4"/>
  <c r="I114" i="4"/>
  <c r="K114" i="4"/>
  <c r="J114" i="4"/>
  <c r="O114" i="4"/>
  <c r="L114" i="4"/>
  <c r="J113" i="4"/>
  <c r="P114" i="4"/>
  <c r="L44" i="4"/>
  <c r="P41" i="4"/>
  <c r="L39" i="4"/>
  <c r="N44" i="4"/>
  <c r="N40" i="4"/>
  <c r="N39" i="4"/>
  <c r="J41" i="4"/>
  <c r="J40" i="4"/>
  <c r="P40" i="4"/>
  <c r="J39" i="4"/>
  <c r="N43" i="4"/>
  <c r="N42" i="4"/>
  <c r="L42" i="4"/>
  <c r="J43" i="4"/>
  <c r="P43" i="4"/>
  <c r="J44" i="4"/>
  <c r="N41" i="4"/>
  <c r="J42" i="4"/>
  <c r="O43" i="4"/>
  <c r="I43" i="4"/>
  <c r="M43" i="4"/>
  <c r="O39" i="4"/>
  <c r="I39" i="4"/>
  <c r="M39" i="4"/>
  <c r="J110" i="4"/>
  <c r="L110" i="4"/>
  <c r="N110" i="4"/>
  <c r="P110" i="4"/>
  <c r="K110" i="4"/>
  <c r="M110" i="4"/>
  <c r="I110" i="4"/>
  <c r="O110" i="4"/>
  <c r="BE5" i="105"/>
  <c r="BD6" i="105"/>
  <c r="X15" i="105" s="1"/>
  <c r="BC6" i="105"/>
  <c r="BA6" i="105"/>
  <c r="AY6" i="105"/>
  <c r="Z7" i="105" s="1"/>
  <c r="AZ6" i="105"/>
  <c r="BB6" i="105"/>
  <c r="W4" i="93"/>
  <c r="W11" i="93"/>
  <c r="W5" i="93"/>
  <c r="W8" i="93"/>
  <c r="W9" i="93"/>
  <c r="W6" i="93"/>
  <c r="W7" i="93"/>
  <c r="W13" i="93"/>
  <c r="W12" i="93"/>
  <c r="W10" i="93"/>
  <c r="W3" i="93"/>
  <c r="G40" i="4"/>
  <c r="H120" i="4"/>
  <c r="G120" i="4"/>
  <c r="G42" i="4"/>
  <c r="G44" i="4"/>
  <c r="X35" i="105"/>
  <c r="X24" i="105"/>
  <c r="Y8" i="93"/>
  <c r="Y7" i="93"/>
  <c r="Y5" i="93"/>
  <c r="Y4" i="93"/>
  <c r="Y9" i="93"/>
  <c r="Y12" i="93"/>
  <c r="Y6" i="93"/>
  <c r="Y11" i="93"/>
  <c r="Y3" i="93"/>
  <c r="Y10" i="93"/>
  <c r="AB29" i="105" l="1"/>
  <c r="M120" i="4"/>
  <c r="O120" i="4"/>
  <c r="K120" i="4"/>
  <c r="I120" i="4"/>
  <c r="L120" i="4"/>
  <c r="N120" i="4"/>
  <c r="P120" i="4"/>
  <c r="J120" i="4"/>
  <c r="I44" i="4"/>
  <c r="K44" i="4"/>
  <c r="M44" i="4"/>
  <c r="O44" i="4"/>
  <c r="I42" i="4"/>
  <c r="K42" i="4"/>
  <c r="M42" i="4"/>
  <c r="O42" i="4"/>
  <c r="I40" i="4"/>
  <c r="K40" i="4"/>
  <c r="M40" i="4"/>
  <c r="O40" i="4"/>
  <c r="X18" i="105"/>
  <c r="X3" i="105"/>
  <c r="X10" i="105"/>
  <c r="X14" i="105"/>
  <c r="X12" i="105"/>
  <c r="X30" i="105"/>
  <c r="X31" i="105"/>
  <c r="X23" i="105"/>
  <c r="X36" i="105"/>
  <c r="X6" i="105"/>
  <c r="X19" i="105"/>
  <c r="X32" i="105"/>
  <c r="X13" i="105"/>
  <c r="X4" i="105"/>
  <c r="X22" i="105"/>
  <c r="X16" i="105"/>
  <c r="X9" i="105"/>
  <c r="X34" i="105"/>
  <c r="X27" i="105"/>
  <c r="X8" i="105"/>
  <c r="X28" i="105"/>
  <c r="X21" i="105"/>
  <c r="X29" i="105"/>
  <c r="X17" i="105"/>
  <c r="X26" i="105"/>
  <c r="X25" i="105"/>
  <c r="X20" i="105"/>
  <c r="X33" i="105"/>
  <c r="X7" i="105"/>
  <c r="X11" i="105"/>
  <c r="X5" i="105"/>
  <c r="AA7" i="105"/>
  <c r="Z36" i="105"/>
  <c r="AA3" i="105"/>
  <c r="AB10" i="105"/>
  <c r="AA20" i="105"/>
  <c r="Z22" i="105"/>
  <c r="AB3" i="105"/>
  <c r="AB20" i="105"/>
  <c r="AB7" i="105"/>
  <c r="AA30" i="105"/>
  <c r="Z29" i="105"/>
  <c r="Z30" i="105"/>
  <c r="AB27" i="105"/>
  <c r="Z8" i="105"/>
  <c r="Z16" i="105"/>
  <c r="AA21" i="105"/>
  <c r="U36" i="105"/>
  <c r="Z32" i="105"/>
  <c r="AA11" i="105"/>
  <c r="Z15" i="105"/>
  <c r="Z10" i="105"/>
  <c r="AB17" i="105"/>
  <c r="Z20" i="105"/>
  <c r="Z12" i="105"/>
  <c r="AA6" i="105"/>
  <c r="Z4" i="105"/>
  <c r="AA17" i="105"/>
  <c r="AA34" i="105"/>
  <c r="AB21" i="105"/>
  <c r="AB15" i="105"/>
  <c r="AA16" i="105"/>
  <c r="AA36" i="105"/>
  <c r="Z3" i="105"/>
  <c r="AB5" i="105"/>
  <c r="Z33" i="105"/>
  <c r="AB19" i="105"/>
  <c r="U34" i="105"/>
  <c r="U29" i="105"/>
  <c r="AA9" i="105"/>
  <c r="AA12" i="105"/>
  <c r="Z26" i="105"/>
  <c r="AA8" i="105"/>
  <c r="AA13" i="105"/>
  <c r="AB16" i="105"/>
  <c r="AA19" i="105"/>
  <c r="AB23" i="105"/>
  <c r="Z5" i="105"/>
  <c r="AA22" i="105"/>
  <c r="Z24" i="105"/>
  <c r="Z11" i="105"/>
  <c r="Z21" i="105"/>
  <c r="AA25" i="105"/>
  <c r="U31" i="105"/>
  <c r="AA28" i="105"/>
  <c r="AB31" i="105"/>
  <c r="AB36" i="105"/>
  <c r="AB33" i="105"/>
  <c r="AA4" i="105"/>
  <c r="U35" i="105"/>
  <c r="AA5" i="105"/>
  <c r="AB18" i="105"/>
  <c r="Z18" i="105"/>
  <c r="AB35" i="105"/>
  <c r="AB6" i="105"/>
  <c r="AB32" i="105"/>
  <c r="Z27" i="105"/>
  <c r="AB8" i="105"/>
  <c r="Z6" i="105"/>
  <c r="U32" i="105"/>
  <c r="AB34" i="105"/>
  <c r="U33" i="105"/>
  <c r="AA31" i="105"/>
  <c r="AA32" i="105"/>
  <c r="AB25" i="105"/>
  <c r="Z9" i="105"/>
  <c r="Z28" i="105"/>
  <c r="Z19" i="105"/>
  <c r="AA29" i="105"/>
  <c r="AB14" i="105"/>
  <c r="AA10" i="105"/>
  <c r="AA14" i="105"/>
  <c r="Z23" i="105"/>
  <c r="AB24" i="105"/>
  <c r="AA24" i="105"/>
  <c r="AB28" i="105"/>
  <c r="AA35" i="105"/>
  <c r="AB22" i="105"/>
  <c r="U30" i="105"/>
  <c r="Z35" i="105"/>
  <c r="AB9" i="105"/>
  <c r="Z14" i="105"/>
  <c r="Z31" i="105"/>
  <c r="AB4" i="105"/>
  <c r="AB30" i="105"/>
  <c r="AA33" i="105"/>
  <c r="AA15" i="105"/>
  <c r="AB11" i="105"/>
  <c r="AA26" i="105"/>
  <c r="AA23" i="105"/>
  <c r="AA27" i="105"/>
  <c r="AB12" i="105"/>
  <c r="Z13" i="105"/>
  <c r="AB26" i="105"/>
  <c r="Z34" i="105"/>
  <c r="Z17" i="105"/>
  <c r="Z25" i="105"/>
  <c r="AA18" i="105"/>
  <c r="U28" i="105"/>
  <c r="AB13" i="105"/>
  <c r="W17" i="105"/>
  <c r="W8" i="105"/>
  <c r="W13" i="105"/>
  <c r="W15" i="105"/>
  <c r="W34" i="105"/>
  <c r="W25" i="105"/>
  <c r="W26" i="105"/>
  <c r="W28" i="105"/>
  <c r="W18" i="105"/>
  <c r="W21" i="105"/>
  <c r="W10" i="105"/>
  <c r="W22" i="105"/>
  <c r="W19" i="105"/>
  <c r="W35" i="105"/>
  <c r="W36" i="105"/>
  <c r="W12" i="105"/>
  <c r="W16" i="105"/>
  <c r="W7" i="105"/>
  <c r="W5" i="105"/>
  <c r="W4" i="105"/>
  <c r="W33" i="105"/>
  <c r="W9" i="105"/>
  <c r="W32" i="105"/>
  <c r="W6" i="105"/>
  <c r="W30" i="105"/>
  <c r="W24" i="105"/>
  <c r="W31" i="105"/>
  <c r="W3" i="105"/>
  <c r="W20" i="105"/>
  <c r="W29" i="105"/>
  <c r="W27" i="105"/>
  <c r="W11" i="105"/>
  <c r="W14" i="105"/>
  <c r="W23" i="10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tc={F3B9E294-E8B2-4F61-973B-DDE8CFA10F4D}</author>
    <author>tc={82ECE723-ABAD-43CE-9E7F-C5A4B26EB77F}</author>
    <author>tc={4B6552B9-6A24-48D9-A94D-1093A32EF267}</author>
    <author>tc={31A71A48-8C00-4009-935E-ADA796ACA7BA}</author>
    <author>tc={F106C88A-C5EF-4915-905D-BB7CB99CDCBB}</author>
    <author>tc={2B1DCCAC-2535-49EC-B382-594AE73A04B8}</author>
    <author>tc={29CBD039-45EB-4B3B-AD3E-EA03D61AFE51}</author>
    <author>tc={7142E268-ECF4-417A-B278-72801024DB7C}</author>
    <author>tc={F7DB68E6-33F5-4E9E-89A1-1E3106955FD3}</author>
    <author>tc={16321693-AC46-4194-A27E-C95CE1ED2D7B}</author>
    <author>tc={DA46C0F4-07B8-4891-84CB-F444537E8529}</author>
    <author>tc={2A41E36C-1AD8-4C9C-819B-430148494372}</author>
    <author>tc={8558DA11-867D-4B07-B6D8-8A6E3EB33E7C}</author>
    <author>tc={A6477127-35A4-483E-97A4-61AE10D1D731}</author>
    <author>tc={568A5280-4126-4BD0-A036-0957B819DDEF}</author>
    <author>tc={77583BD8-BAB8-4267-8D3E-CEC1FA32FD3F}</author>
    <author>tc={D231521E-695D-4CD0-A1B2-577A546DECCA}</author>
    <author>tc={961F70A7-4577-4652-BC96-9C77B56405D9}</author>
    <author>tc={CDBBF0EF-4382-4D8C-83C3-52FBC89D6BE0}</author>
    <author>tc={127F4D36-9D2F-4965-96D5-1A63D6AC4FAF}</author>
  </authors>
  <commentList>
    <comment ref="A1" authorId="0" shapeId="0" xr:uid="{F3B9E294-E8B2-4F61-973B-DDE8CFA10F4D}">
      <text>
        <t xml:space="preserve">[Threaded comment]
Your version of Excel allows you to read this threaded comment; however, any edits to it will get removed if the file is opened in a newer version of Excel. Learn more: https://go.microsoft.com/fwlink/?linkid=870924
Comment:
    What if the source has multiple sets of monitoring data that apply to different OESs? </t>
      </text>
    </comment>
    <comment ref="B10" authorId="1" shapeId="0" xr:uid="{82ECE723-ABAD-43CE-9E7F-C5A4B26EB77F}">
      <text>
        <t>[Threaded comment]
Your version of Excel allows you to read this threaded comment; however, any edits to it will get removed if the file is opened in a newer version of Excel. Learn more: https://go.microsoft.com/fwlink/?linkid=870924
Comment:
    Extracted data could also be MFG. Source also referenced NIOSH data for multiple other OESs, not extracted into this workbook as it should be extracted from the primary NIOSH source(s)</t>
      </text>
    </comment>
    <comment ref="B11" authorId="2" shapeId="0" xr:uid="{4B6552B9-6A24-48D9-A94D-1093A32EF267}">
      <text>
        <t>[Threaded comment]
Your version of Excel allows you to read this threaded comment; however, any edits to it will get removed if the file is opened in a newer version of Excel. Learn more: https://go.microsoft.com/fwlink/?linkid=870924
Comment:
    Can use this source for multiple OESs based on data in tables</t>
      </text>
    </comment>
    <comment ref="B12" authorId="3" shapeId="0" xr:uid="{31A71A48-8C00-4009-935E-ADA796ACA7BA}">
      <text>
        <t>[Threaded comment]
Your version of Excel allows you to read this threaded comment; however, any edits to it will get removed if the file is opened in a newer version of Excel. Learn more: https://go.microsoft.com/fwlink/?linkid=870924
Comment:
    Several other applicable OESs in Tables 4 &amp; 5 on page 354-355 of report</t>
      </text>
    </comment>
    <comment ref="B13" authorId="4" shapeId="0" xr:uid="{F106C88A-C5EF-4915-905D-BB7CB99CDCBB}">
      <text>
        <t>[Threaded comment]
Your version of Excel allows you to read this threaded comment; however, any edits to it will get removed if the file is opened in a newer version of Excel. Learn more: https://go.microsoft.com/fwlink/?linkid=870924
Comment:
    Other OESs listed in this source</t>
      </text>
    </comment>
    <comment ref="B15" authorId="5" shapeId="0" xr:uid="{2B1DCCAC-2535-49EC-B382-594AE73A04B8}">
      <text>
        <t>[Threaded comment]
Your version of Excel allows you to read this threaded comment; however, any edits to it will get removed if the file is opened in a newer version of Excel. Learn more: https://go.microsoft.com/fwlink/?linkid=870924
Comment:
    Operations/activities at the sampled plants not clear, mapped to reactant based on DEE. Contains sampling data summarized from other sources (PDF pg 7-8) that should be captured/extracted from primary sources</t>
      </text>
    </comment>
    <comment ref="B17" authorId="6" shapeId="0" xr:uid="{29CBD039-45EB-4B3B-AD3E-EA03D61AFE51}">
      <text>
        <t>[Threaded comment]
Your version of Excel allows you to read this threaded comment; however, any edits to it will get removed if the file is opened in a newer version of Excel. Learn more: https://go.microsoft.com/fwlink/?linkid=870924
Comment:
    Can be used for other OESs</t>
      </text>
    </comment>
    <comment ref="B24" authorId="7" shapeId="0" xr:uid="{7142E268-ECF4-417A-B278-72801024DB7C}">
      <text>
        <t>[Threaded comment]
Your version of Excel allows you to read this threaded comment; however, any edits to it will get removed if the file is opened in a newer version of Excel. Learn more: https://go.microsoft.com/fwlink/?linkid=870924
Comment:
    PDF pg 2 and 5 have data from earlier studies, not extracted as part of this source (assuming primary data sources came through SR)</t>
      </text>
    </comment>
    <comment ref="B25" authorId="8" shapeId="0" xr:uid="{F7DB68E6-33F5-4E9E-89A1-1E3106955FD3}">
      <text>
        <t>[Threaded comment]
Your version of Excel allows you to read this threaded comment; however, any edits to it will get removed if the file is opened in a newer version of Excel. Learn more: https://go.microsoft.com/fwlink/?linkid=870924
Comment:
    Source cannot be used for molding compounds or resins. Other OESs such as plywood still have data available</t>
      </text>
    </comment>
    <comment ref="B26" authorId="9" shapeId="0" xr:uid="{16321693-AC46-4194-A27E-C95CE1ED2D7B}">
      <text>
        <t>[Threaded comment]
Your version of Excel allows you to read this threaded comment; however, any edits to it will get removed if the file is opened in a newer version of Excel. Learn more: https://go.microsoft.com/fwlink/?linkid=870924
Comment:
    Page 2 has data (provided as ranges) for varnishing of furniture and wooden floors, MFG of board mills, foundries, embalmers, pathologists, and paper workers. Not extracted from this source as it is not the primary source of this data</t>
      </text>
    </comment>
    <comment ref="B27" authorId="10" shapeId="0" xr:uid="{DA46C0F4-07B8-4891-84CB-F444537E8529}">
      <text>
        <t>[Threaded comment]
Your version of Excel allows you to read this threaded comment; however, any edits to it will get removed if the file is opened in a newer version of Excel. Learn more: https://go.microsoft.com/fwlink/?linkid=870924
Comment:
    Extra data available for the following OESs: 
Plastic/Resin MFG, Paint/Dye MFG, Adhesive/Sealant MFG, Textile Finishing, Plywood MFG, Wood furniture, Paper/Paperboard MFG, Plastic Molding, Foundries, Funeral Services</t>
      </text>
    </comment>
    <comment ref="B32" authorId="11" shapeId="0" xr:uid="{2A41E36C-1AD8-4C9C-819B-430148494372}">
      <text>
        <t>[Threaded comment]
Your version of Excel allows you to read this threaded comment; however, any edits to it will get removed if the file is opened in a newer version of Excel. Learn more: https://go.microsoft.com/fwlink/?linkid=870924
Comment:
    TSCA submission of a "prepublication version" of a NIOSH HHE (HETA 91-0153-2581; HERO 8048799), extracting data from official version</t>
      </text>
    </comment>
    <comment ref="B33" authorId="12" shapeId="0" xr:uid="{8558DA11-867D-4B07-B6D8-8A6E3EB33E7C}">
      <text>
        <t>[Threaded comment]
Your version of Excel allows you to read this threaded comment; however, any edits to it will get removed if the file is opened in a newer version of Excel. Learn more: https://go.microsoft.com/fwlink/?linkid=870924
Comment:
    Pre-PEL, data not extracted (yet)</t>
      </text>
    </comment>
    <comment ref="B34" authorId="13" shapeId="0" xr:uid="{A6477127-35A4-483E-97A4-61AE10D1D731}">
      <text>
        <t>[Threaded comment]
Your version of Excel allows you to read this threaded comment; however, any edits to it will get removed if the file is opened in a newer version of Excel. Learn more: https://go.microsoft.com/fwlink/?linkid=870924
Comment:
    Might be more applicable to MFG. Hard to tell as a lot of the report is redacted. Data from Dow site</t>
      </text>
    </comment>
    <comment ref="B35" authorId="14" shapeId="0" xr:uid="{568A5280-4126-4BD0-A036-0957B819DDEF}">
      <text>
        <t>[Threaded comment]
Your version of Excel allows you to read this threaded comment; however, any edits to it will get removed if the file is opened in a newer version of Excel. Learn more: https://go.microsoft.com/fwlink/?linkid=870924
Comment:
    May be applicable to other OESs, hard to tell as most of report is redacted</t>
      </text>
    </comment>
    <comment ref="B36" authorId="15" shapeId="0" xr:uid="{77583BD8-BAB8-4267-8D3E-CEC1FA32FD3F}">
      <text>
        <t>[Threaded comment]
Your version of Excel allows you to read this threaded comment; however, any edits to it will get removed if the file is opened in a newer version of Excel. Learn more: https://go.microsoft.com/fwlink/?linkid=870924
Comment:
    Unclear what COU/OES is most applicable; data from Perstorp Polyols site</t>
      </text>
    </comment>
    <comment ref="B37" authorId="16" shapeId="0" xr:uid="{D231521E-695D-4CD0-A1B2-577A546DECCA}">
      <text>
        <t>[Threaded comment]
Your version of Excel allows you to read this threaded comment; however, any edits to it will get removed if the file is opened in a newer version of Excel. Learn more: https://go.microsoft.com/fwlink/?linkid=870924
Comment:
    Unclear what COU/OES is most applicable; data from Perstorp Polyols site</t>
      </text>
    </comment>
    <comment ref="B38" authorId="17" shapeId="0" xr:uid="{961F70A7-4577-4652-BC96-9C77B56405D9}">
      <text>
        <t>[Threaded comment]
Your version of Excel allows you to read this threaded comment; however, any edits to it will get removed if the file is opened in a newer version of Excel. Learn more: https://go.microsoft.com/fwlink/?linkid=870924
Comment:
    Unclear what COU/OES is most applicable; data from Perstorp Polyols site</t>
      </text>
    </comment>
    <comment ref="B39" authorId="18" shapeId="0" xr:uid="{CDBBF0EF-4382-4D8C-83C3-52FBC89D6BE0}">
      <text>
        <t>[Threaded comment]
Your version of Excel allows you to read this threaded comment; however, any edits to it will get removed if the file is opened in a newer version of Excel. Learn more: https://go.microsoft.com/fwlink/?linkid=870924
Comment:
    Unclear which COU/OES data is most applicable for due to redactions, extracted in Proc - Reactant tab as that was the SR tag</t>
      </text>
    </comment>
    <comment ref="B40" authorId="19" shapeId="0" xr:uid="{127F4D36-9D2F-4965-96D5-1A63D6AC4FAF}">
      <text>
        <t>[Threaded comment]
Your version of Excel allows you to read this threaded comment; however, any edits to it will get removed if the file is opened in a newer version of Excel. Learn more: https://go.microsoft.com/fwlink/?linkid=870924
Comment:
    Data may be applicable to other OESs, unclear the source of FA at the site being sampled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tc={B073103B-DC31-4F3D-93EF-DF352E597855}</author>
    <author>tc={7DBBEAA4-4987-4DEA-95B5-566D7FAEB612}</author>
  </authors>
  <commentList>
    <comment ref="Q9" authorId="0" shapeId="0" xr:uid="{B073103B-DC31-4F3D-93EF-DF352E597855}">
      <text>
        <t>[Threaded comment]
Your version of Excel allows you to read this threaded comment; however, any edits to it will get removed if the file is opened in a newer version of Excel. Learn more: https://go.microsoft.com/fwlink/?linkid=870924
Comment:
    This sample's mean is reported higher than the max in the source?</t>
      </text>
    </comment>
    <comment ref="Q15" authorId="1" shapeId="0" xr:uid="{7DBBEAA4-4987-4DEA-95B5-566D7FAEB612}">
      <text>
        <t>[Threaded comment]
Your version of Excel allows you to read this threaded comment; however, any edits to it will get removed if the file is opened in a newer version of Excel. Learn more: https://go.microsoft.com/fwlink/?linkid=870924
Comment:
    This sample's mean is reported higher than the max in the source?</t>
      </text>
    </comment>
  </commentList>
</comments>
</file>

<file path=xl/sharedStrings.xml><?xml version="1.0" encoding="utf-8"?>
<sst xmlns="http://schemas.openxmlformats.org/spreadsheetml/2006/main" count="6314" uniqueCount="986">
  <si>
    <t>PUBLIC RELEASE DRAFT</t>
  </si>
  <si>
    <t>September 2025</t>
  </si>
  <si>
    <t>CASRN 556-67-2</t>
  </si>
  <si>
    <t>The purpose of this tab was to initially track which sources we were designating as certain OESs in order to make sure that we avoided reusing the same set of monitoring data for different OESs. The file linked to the right has been made since then to better serve that purpose. This file is being kept for now to preserve comments about individual sources which may be useful down the line.</t>
  </si>
  <si>
    <t>Formaldehyde Exposures QA Sheet</t>
  </si>
  <si>
    <t>HERO ID</t>
  </si>
  <si>
    <t>OES</t>
  </si>
  <si>
    <t xml:space="preserve">More Data Applicable To Other OESs? </t>
  </si>
  <si>
    <t>List of OESs</t>
  </si>
  <si>
    <t>Processing as a Reactant</t>
  </si>
  <si>
    <t>No</t>
  </si>
  <si>
    <t>Textile Finishing</t>
  </si>
  <si>
    <t>Manufacturing</t>
  </si>
  <si>
    <t xml:space="preserve"> </t>
  </si>
  <si>
    <t>Composite Wood Product Manufacturing</t>
  </si>
  <si>
    <t>Yes</t>
  </si>
  <si>
    <t>Installation/Demolition; Foundries; Lab use</t>
  </si>
  <si>
    <t>Textile finishing; Processing aid (electrical component mfg)?; Furniture mfg; Rubber product mfg; Plastic product mfg, Paper mfg</t>
  </si>
  <si>
    <t>workers in the following industries: Agriculture, forestry, and fishing; Construction; Manufacturing; Textile mill products; Apparel and other finished products made from fabrics and similar materials; Lumber and wood products, except furniture; Furniture and fixtures; Paper and allied products; Chemicals and allied products; Rubber and miscellaneous plastics products; Stone, clay, glass, and concrete products; Primary metal industries; Fabricated metal products, except machinery and transportation equipment; Industrial and commercial machinery and computer equipment; Electronic and other electrical equipment and components, except computer equipment; Transportation equipment; Measuring, analyzing, and controlling instruments photographic, medical and optical goods; watches and clocks; Miscellaneous manufacturing industries; Transportation, communications, electric, gas, and sanitary services; Wholesale trade; Wholesale trade nondurable goods; Retail trade; Finance, insurance, and real estate; Services; Funeral service and crematories; Photofinishing laboratories; Health services; Educational services; Public administration.</t>
  </si>
  <si>
    <t>Other Composite Material Manufacturing (e.g., roofing, etc.)</t>
  </si>
  <si>
    <t>Plastic product manufacturing</t>
  </si>
  <si>
    <t>Rubber product manufacturing</t>
  </si>
  <si>
    <t>Textile finishing; Processing aid (electrical component mfg)?; Furniture mfg; Plastic product mfg, paper mfg</t>
  </si>
  <si>
    <t>Paper manufacturing</t>
  </si>
  <si>
    <t>Textile finishing; Processing aid (electrical component mfg)?; Furniture mfg; Plastic product mfg</t>
  </si>
  <si>
    <t>Paper Manufacturing</t>
  </si>
  <si>
    <t>Composite wood product manufacturing, Furniture manufacturing, Paper product manufacturing</t>
  </si>
  <si>
    <t>Processing of formaldehyde into formulations, mixtures, or reaction products</t>
  </si>
  <si>
    <t>Recycling</t>
  </si>
  <si>
    <t>Distribution in commerce</t>
  </si>
  <si>
    <t>Furniture manufacturing</t>
  </si>
  <si>
    <t>Processing aid</t>
  </si>
  <si>
    <t>Use of formaldehyde for oilfield well production</t>
  </si>
  <si>
    <t>Industrial use in agriculture, forestry, hunting, and fishing</t>
  </si>
  <si>
    <t>Industrial use of lubricants</t>
  </si>
  <si>
    <t>Foundries</t>
  </si>
  <si>
    <t>6072310 </t>
  </si>
  <si>
    <t xml:space="preserve">resins, laboratories, textile finishing, plastic molding, paper mills, paints, adhesives &amp; sealants, agricultural chemicals </t>
  </si>
  <si>
    <t>Leather tanning</t>
  </si>
  <si>
    <t>Use of electronic and metal products</t>
  </si>
  <si>
    <t>Use of formulations containing formaldehyde in fuels</t>
  </si>
  <si>
    <t>Water Treatment</t>
  </si>
  <si>
    <t>Laundry and Dishwashing</t>
  </si>
  <si>
    <t>Company</t>
  </si>
  <si>
    <t>Job Title</t>
  </si>
  <si>
    <t>Task Description</t>
  </si>
  <si>
    <t>ERG Designation</t>
  </si>
  <si>
    <t>A</t>
  </si>
  <si>
    <t>Operator</t>
  </si>
  <si>
    <t>General 8-hour exposure</t>
  </si>
  <si>
    <t>W</t>
  </si>
  <si>
    <t>Inside/outside operator</t>
  </si>
  <si>
    <t>Catch samples - open or closed loop system</t>
  </si>
  <si>
    <t>Multicraft</t>
  </si>
  <si>
    <t>Cleaning equipment with solvent</t>
  </si>
  <si>
    <t>Maintenance technician/technologist</t>
  </si>
  <si>
    <t>B</t>
  </si>
  <si>
    <t>Analyzer Technician</t>
  </si>
  <si>
    <t>Perform maintenance on instrumentation</t>
  </si>
  <si>
    <t>EDC Outside Equipment Technician</t>
  </si>
  <si>
    <t>Maintenance preparation/sample collection/perform rounds</t>
  </si>
  <si>
    <t>Electrician</t>
  </si>
  <si>
    <t>Full-Shift - worked in the utilities F1 area, worked in the 5CP unit and in the electrical shop / worked all day installing heaters on the PERC reactor. / worked on the EDC reactor and compressor systems. / worked on monitor on F-1 deck, worked in the 230 yard and in the chlorine unit. / worked in the membrane chopper room and on the top of TK1801. / worked on electrical equipment for MCI unit and worked in the old MCFII unit. / worked on electrical systems. / worked on electrical problems in the caustic and in the chlorine unit.</t>
  </si>
  <si>
    <t>ONU</t>
  </si>
  <si>
    <t>Instrument Technician</t>
  </si>
  <si>
    <t>Lab Day Technician</t>
  </si>
  <si>
    <t>Full-Shift - worked the 8 hr day job loading tank cars. Loade perc and carbon tetrachloride. / made and shot standards. / helped run organic sample rounds and worked on lab instruments / ran organic samples all day and dumped retained samples under lab hood. / helped run organics samples most of the day, helped with caustic samples. Dumped organic retains. / ran organic samples, doing RCL and wet test analysis. Dumped the sample retains under lab hood.</t>
  </si>
  <si>
    <t>Lab Shift Technician</t>
  </si>
  <si>
    <t>Full-Shift - helped run organic samples. Dumped organic sample retains. / ran organics, made rounds, dumped lab retains. Ran organic samples. / worked in the organics section of the lab running samples all day. Made 1 round in the plant to pick up samples. / made rounds in plant to pick up samples and analyzed standard organic samples. / worked in the environmental lab all day. Dumped lab retainer. / made unit round to pick up samples. Ran organic samples all day. / made round into plant to pick up samples. Ran organic samples all day. Dumped sample bottles.</t>
  </si>
  <si>
    <t>MCI Outside Equipment Technician</t>
  </si>
  <si>
    <t>Maintenance preparation of equipment/collect samples/perform rounds</t>
  </si>
  <si>
    <t>Millwright</t>
  </si>
  <si>
    <t>Perform maintenance on compressors, rotating equipment, and pumps</t>
  </si>
  <si>
    <t>Perc Outside Equipment Technician</t>
  </si>
  <si>
    <t>Maintenance preparation of piping and equipment/collect samples/perform rounds/change filters and traps</t>
  </si>
  <si>
    <t>Shipping Day Technician</t>
  </si>
  <si>
    <t>Load product/locomotive and rail activities</t>
  </si>
  <si>
    <t>Shipping Shift Technician</t>
  </si>
  <si>
    <t>Load/unload raw materials and product/sample collection</t>
  </si>
  <si>
    <t>Utilities Boiler Technician</t>
  </si>
  <si>
    <t>Maintenance preparation</t>
  </si>
  <si>
    <t>Utilities Incinerator Technician</t>
  </si>
  <si>
    <t>Maintenance preparation/filter changes/waste transfer/flushing and purging lines</t>
  </si>
  <si>
    <t>Adminstration II (Process Supervisor)</t>
  </si>
  <si>
    <t>Full-Shift - routine Supervison of unit operations.</t>
  </si>
  <si>
    <t>Labor Day Technician</t>
  </si>
  <si>
    <t>Full-Shift - ran samples. / worked in the environmental lab and helped in the inorganic area. / made organic standards. Shot controls on instruments. Calibrated the IH instrument.</t>
  </si>
  <si>
    <t>Utilities Control Board Technician</t>
  </si>
  <si>
    <t>Full-Shift - worked control board.</t>
  </si>
  <si>
    <t>C</t>
  </si>
  <si>
    <t>B Operator</t>
  </si>
  <si>
    <t>None provided</t>
  </si>
  <si>
    <t>Pipefitter</t>
  </si>
  <si>
    <t>D Operator</t>
  </si>
  <si>
    <t>Shipping Tankerman</t>
  </si>
  <si>
    <t>C Operator</t>
  </si>
  <si>
    <t>Insulator</t>
  </si>
  <si>
    <t>Welder</t>
  </si>
  <si>
    <t>Machinist</t>
  </si>
  <si>
    <t xml:space="preserve">Tabs colored in GREEN contain the occupational inhalation monitoring data summary or modeling inputs/results for each D4 OES. The exposure estimates determined from each tab are summarized on the " Exposure Summary" worksheet. </t>
  </si>
  <si>
    <t>Worksheet</t>
  </si>
  <si>
    <t>Description</t>
  </si>
  <si>
    <t>Exposure Summary</t>
  </si>
  <si>
    <t>Constants</t>
  </si>
  <si>
    <t>Contains all parameter values used for calculating exposure estimates.</t>
  </si>
  <si>
    <t>Column Header Key</t>
  </si>
  <si>
    <t>Provides a key to the column headings in the inhalation monitoring data summary for each D4 OES.</t>
  </si>
  <si>
    <t>OES with Consortium Data_Calcs</t>
  </si>
  <si>
    <t>OES with Consortium Data_Raw</t>
  </si>
  <si>
    <t>Spray App. of Paints Coatings</t>
  </si>
  <si>
    <t>Use of Adhesives and Sealants</t>
  </si>
  <si>
    <t>Aircraft Maintenance (CC)</t>
  </si>
  <si>
    <t>Aircraft Maintenance (PEN)</t>
  </si>
  <si>
    <t>Use of Auto Detailing Products</t>
  </si>
  <si>
    <t>Use of Animal Grooming Products</t>
  </si>
  <si>
    <t>Use of Cleaning Products</t>
  </si>
  <si>
    <t>Use of Laundry - Institutional</t>
  </si>
  <si>
    <t>Use of Laundry - Industrial</t>
  </si>
  <si>
    <t>Summary of Exposure Levels</t>
  </si>
  <si>
    <t>Note: only considers sources with discrete exposure data (does not include sources that present statistics such as mean, median, max, or min only unless noted)</t>
  </si>
  <si>
    <t>Occupational Exposure Scenario</t>
  </si>
  <si>
    <t>Similar Exposure Group (SEG)</t>
  </si>
  <si>
    <t>Category</t>
  </si>
  <si>
    <t>Exposure Scenario</t>
  </si>
  <si>
    <t>Annual Working Days</t>
  </si>
  <si>
    <t>TWA Data Points</t>
  </si>
  <si>
    <t>Notes</t>
  </si>
  <si>
    <t>days/yr</t>
  </si>
  <si>
    <t>High-End</t>
  </si>
  <si>
    <t>Central Tendency</t>
  </si>
  <si>
    <t>Manufacture</t>
  </si>
  <si>
    <t xml:space="preserve">Administrative (ONU) </t>
  </si>
  <si>
    <t>8-hr TWA</t>
  </si>
  <si>
    <t>There is only one PBZ data point from the Consortium data on Administrative personnel, and is presented here under both the central tendency and high-end value.</t>
  </si>
  <si>
    <t>Worker</t>
  </si>
  <si>
    <t xml:space="preserve">Laboratory technician </t>
  </si>
  <si>
    <t xml:space="preserve">Logistic technician </t>
  </si>
  <si>
    <t>12-hr TWA</t>
  </si>
  <si>
    <t>Production Operator</t>
  </si>
  <si>
    <t>10-hr TWA</t>
  </si>
  <si>
    <t>Data derived from available monitoring data via systematic review data.</t>
  </si>
  <si>
    <t>No monitoring data available for D4. Used surrogate data for mist exposure based on the Automotive Refinishing Sample Data Summary.</t>
  </si>
  <si>
    <t>No monitoring data available for ONUs. EPA used worker central tendency exposure results as a surrogate to estimate 8-hr TWA exposures for ONUs.</t>
  </si>
  <si>
    <t>No monitoring data available for workers. EPA used the Mass Balance Inhalation Model to assess occupational worker exposure.</t>
  </si>
  <si>
    <t>N/A</t>
  </si>
  <si>
    <t>No occupational exposures expected for this OES.</t>
  </si>
  <si>
    <t>Data derived from Brake Cleaning NF/FF Model.</t>
  </si>
  <si>
    <t>Data derived from Cold Cleaning NF/FF Model.</t>
  </si>
  <si>
    <t>Covered by qualitative analysis</t>
  </si>
  <si>
    <t>Parameter Values for Calculating Exposure Estimates</t>
  </si>
  <si>
    <t>Parameter Name</t>
  </si>
  <si>
    <t>Symbol</t>
  </si>
  <si>
    <t>Value</t>
  </si>
  <si>
    <t>Unit</t>
  </si>
  <si>
    <t>hr/day</t>
  </si>
  <si>
    <t>day/yr</t>
  </si>
  <si>
    <t>yr</t>
  </si>
  <si>
    <t>Lifetime (chronic, cancer)</t>
  </si>
  <si>
    <t>hr</t>
  </si>
  <si>
    <t>BR</t>
  </si>
  <si>
    <t>unitless</t>
  </si>
  <si>
    <t>MW</t>
  </si>
  <si>
    <t>g/mol</t>
  </si>
  <si>
    <t xml:space="preserve">This sheet presents the key to the Column Headers in the tabs (colored in BLUE) that contain the occupational inhalation monitoring data summary for each D4 OES. </t>
  </si>
  <si>
    <t>Column Heading</t>
  </si>
  <si>
    <t xml:space="preserve">The reference number from EPA's Health and Environmental Research Online. </t>
  </si>
  <si>
    <t>Source Rating</t>
  </si>
  <si>
    <t>The rating of the source the monitoring data was extraced from. EPA only integrated data or information rated as high, medium, or low obtained during the data evaluation phase. Data is rated through the following metrics: methodology, geographic scope, applicability, temporal representativeness, sample size, and metadata completeness. For example, a source may get a high data quality rating if it has an approved methodology, data from the United States, and recently collected data. Data and information rated as uninformative are not used in exposure evidence integration. In general, higher rankings are given preference over lower ratings; however, lower ranked data may be used over higher ranked data when specific aspects of the data are carefully examined and compared. For example, a lower ranked data set that precisely matches the OES of interest may be used over a higher ranked study that does not as closely match the OES of interest.</t>
  </si>
  <si>
    <t>Author</t>
  </si>
  <si>
    <t xml:space="preserve">The author of the reference the monitoring data was extracted from. </t>
  </si>
  <si>
    <t>Year</t>
  </si>
  <si>
    <t xml:space="preserve">The year of the reference the monitoring data was extracted from. </t>
  </si>
  <si>
    <t>Country</t>
  </si>
  <si>
    <t>The country of the reference the monitoring data was extracted from.</t>
  </si>
  <si>
    <t>Process Description</t>
  </si>
  <si>
    <t>Description of the process in which D4was used at the facility.</t>
  </si>
  <si>
    <t>Engineering Controls Described</t>
  </si>
  <si>
    <t>Describes any engineering controls or personal protective equipment (PPE) that were in place during sample collection.</t>
  </si>
  <si>
    <t>Worker Job Description (as described in study)</t>
  </si>
  <si>
    <t>Describes the worker or ONU activities that occurred during sample collection.</t>
  </si>
  <si>
    <t>Worker Classification (W or ONU)</t>
  </si>
  <si>
    <t xml:space="preserve">Where information was available, EPA classified exposures to either Workers (W) or Occupational Non-Users (ONUs). Workers directly handle D4, and workers designated as ONUs do not directly handle D4 but may be exposed to vapors, particulates, or mists that enter their breathing zone while working in locations in close proximity to where DEHP is being used. </t>
  </si>
  <si>
    <t>Measurement Type (TWA or Short-term)</t>
  </si>
  <si>
    <t xml:space="preserve">The measurement type is dependent on the sample duration. 15-min exposures include samples with a duration of 20 min or less. Short-term exposures include samples with a duration time of 20 min to ~330 min. TWA samples include samples with a duration greater than 330 min. </t>
  </si>
  <si>
    <t>Sample Type (PBZ or Area)</t>
  </si>
  <si>
    <t>Personal Breathing Zone (PBZ) samples are samples collected in the direct breathing zone of the worker or ONU. Area samples are samples collected in the general vicinity of the worker or ONU.</t>
  </si>
  <si>
    <t>Sample Date (if known)</t>
  </si>
  <si>
    <t xml:space="preserve">The date the sample was collected. </t>
  </si>
  <si>
    <t>Sample Duration (min)</t>
  </si>
  <si>
    <t xml:space="preserve">The time duration over which the sample was collected. </t>
  </si>
  <si>
    <t>Number of Data Points</t>
  </si>
  <si>
    <t xml:space="preserve">The number of samples that were collected. </t>
  </si>
  <si>
    <t>D4 Airborne Concentration (mg/m3)</t>
  </si>
  <si>
    <t>Discrete Data Point</t>
  </si>
  <si>
    <t>The discrete sample concentration that was collected.</t>
  </si>
  <si>
    <t>Min.</t>
  </si>
  <si>
    <t xml:space="preserve">The minimum sample concentration that was collected. </t>
  </si>
  <si>
    <t>Max.</t>
  </si>
  <si>
    <t>The maximum sample concentration that was collected.</t>
  </si>
  <si>
    <t>Arithmetic Mean</t>
  </si>
  <si>
    <t xml:space="preserve">The arithmetic mean of the samples collected. If a study did not clarify arithmetic or geometric mean, arithmetic mean was assumed. </t>
  </si>
  <si>
    <t>Standard Deviation</t>
  </si>
  <si>
    <t>The standard deviation of the arithmetic mean of the samples collected.</t>
  </si>
  <si>
    <t>Geometric Mean</t>
  </si>
  <si>
    <t xml:space="preserve">The geometric mean of the samples collected. </t>
  </si>
  <si>
    <t>Geometric Standard Deviation</t>
  </si>
  <si>
    <t>The standard deviation of the geometric mean of the samples collected.</t>
  </si>
  <si>
    <t>Median</t>
  </si>
  <si>
    <t>The median value of the samples collected.</t>
  </si>
  <si>
    <t>Discrete Value</t>
  </si>
  <si>
    <t xml:space="preserve">Discrete value sample collected. Discrete values were preferred; only provided statistics if discrete values were unavailable. </t>
  </si>
  <si>
    <t>D4 8-hr TWA Concentration (mg/m3)</t>
  </si>
  <si>
    <t>Discrete Value - Worker</t>
  </si>
  <si>
    <t xml:space="preserve">If available, pulls the 8-hr TWA worker PBZ discrete value. </t>
  </si>
  <si>
    <t>Discrete Value - Occupational ONU</t>
  </si>
  <si>
    <t xml:space="preserve">If available, pulls the 8-hr TWA ONU PBZ discrete value. </t>
  </si>
  <si>
    <t>D4 12-hr TWA Concentration (mg/m3)</t>
  </si>
  <si>
    <t xml:space="preserve">If available, pulls the 12-hr TWA worker PBZ discrete value. </t>
  </si>
  <si>
    <t xml:space="preserve">If available, pulls the 12-hr TWA ONU PBZ discrete value. </t>
  </si>
  <si>
    <t>D4 Short-Term TWA Concentration (mg/m3)</t>
  </si>
  <si>
    <t xml:space="preserve">If available, pulls the short-term worker PBZ discrete value. </t>
  </si>
  <si>
    <t xml:space="preserve">If available, pulls the short-term ONU PBZ discrete value. </t>
  </si>
  <si>
    <t>D4 15-min TWA Concentration (mg/m3)</t>
  </si>
  <si>
    <t xml:space="preserve">If available, pulls the 15-min worker PBZ discrete value. </t>
  </si>
  <si>
    <t xml:space="preserve">If available, pulls the 15-min ONU PBZ discrete value. </t>
  </si>
  <si>
    <t>NAICS Code</t>
  </si>
  <si>
    <t xml:space="preserve">If OSHA's CEHD was available, the NAICS code provided by OSHA was reported. </t>
  </si>
  <si>
    <t>NAICS Description</t>
  </si>
  <si>
    <t xml:space="preserve">The NAICS description of the OSHA CEHD monitoring data. </t>
  </si>
  <si>
    <t>ND Flag</t>
  </si>
  <si>
    <t>If data is discrete and a non-detect, this column will state 'ND'.</t>
  </si>
  <si>
    <t>Data location in Document</t>
  </si>
  <si>
    <t xml:space="preserve">The page or table number of the reference where the monitoring data was extracted from. </t>
  </si>
  <si>
    <t>ERG Notes</t>
  </si>
  <si>
    <t xml:space="preserve">Any additional notes regarding the source or sample(s) collected. </t>
  </si>
  <si>
    <t xml:space="preserve">Employee Position </t>
  </si>
  <si>
    <t>CT and HE Guidance</t>
  </si>
  <si>
    <t>HE</t>
  </si>
  <si>
    <t>CT</t>
  </si>
  <si>
    <t>PBZ</t>
  </si>
  <si>
    <t>Calculate 50th and 95th.</t>
  </si>
  <si>
    <t>Area</t>
  </si>
  <si>
    <t>Calculate 50th as CT and use max as HE.</t>
  </si>
  <si>
    <t>These data do not need to be used because PBZ data is available for these workers and is preferenced over area data.</t>
  </si>
  <si>
    <t>Facility
Department</t>
  </si>
  <si>
    <t>Number
of Shifts
per
Month</t>
  </si>
  <si>
    <t>Equipment
Associated
with D4
Activity</t>
  </si>
  <si>
    <t>Weight %
D4 in
Materials
Associated
with
Activity
(%)</t>
  </si>
  <si>
    <t>Duration
of Job
Activity
(mins)</t>
  </si>
  <si>
    <t>Type of PPE
required for Job
Activity</t>
  </si>
  <si>
    <t>Type of Engineering
Controls in place</t>
  </si>
  <si>
    <t>D4
Monitoring
Result
(ppm)</t>
  </si>
  <si>
    <t>Analytical
Method
Detection
Limit</t>
  </si>
  <si>
    <t>Area or PBZ</t>
  </si>
  <si>
    <t>Non-Detect?</t>
  </si>
  <si>
    <t>LOD (ppm)</t>
  </si>
  <si>
    <t>LOD/2 (ppm)</t>
  </si>
  <si>
    <t>Duration for TWA</t>
  </si>
  <si>
    <t>Data Useable?</t>
  </si>
  <si>
    <t>Sampling Method Used</t>
  </si>
  <si>
    <t>----</t>
  </si>
  <si>
    <t>52</t>
  </si>
  <si>
    <t>480</t>
  </si>
  <si>
    <t>433</t>
  </si>
  <si>
    <t>1.2</t>
  </si>
  <si>
    <t>not needed</t>
  </si>
  <si>
    <t>Sample duration not provided, used shift duration</t>
  </si>
  <si>
    <t>154</t>
  </si>
  <si>
    <t>Uninform (flame
retardant),
leather gloves,
safety glasses,
hard had, safety
boots</t>
  </si>
  <si>
    <t>0.70</t>
  </si>
  <si>
    <t>Processor</t>
  </si>
  <si>
    <t>250</t>
  </si>
  <si>
    <t>0.67</t>
  </si>
  <si>
    <t>Calculated 8-hr TWA from sample duration because shift duration provided</t>
  </si>
  <si>
    <t>In-house: GC-SOP-8,-12,-16; GC/FID</t>
  </si>
  <si>
    <t>Dropping of SE72</t>
  </si>
  <si>
    <t>344</t>
  </si>
  <si>
    <t>0.45</t>
  </si>
  <si>
    <t>Warehouse</t>
  </si>
  <si>
    <t>Material Handler</t>
  </si>
  <si>
    <t>2</t>
  </si>
  <si>
    <t>20</t>
  </si>
  <si>
    <t>Loading/
Unloading</t>
  </si>
  <si>
    <t>Vessel -Atmospheric</t>
  </si>
  <si>
    <t>0-100</t>
  </si>
  <si>
    <t>Indoor</t>
  </si>
  <si>
    <t>Steel-toed safety
shoes/boots/caps;
supplied air
respirators; nitrile
rubber gloves; full
body suit;
chemical and
liquid resistant
gloves</t>
  </si>
  <si>
    <t>HVAC Control;
powered
ventilation; process
controllers, process
interlocks; process
monitoring; security
access control</t>
  </si>
  <si>
    <t>&lt;0.013</t>
  </si>
  <si>
    <t>0.006</t>
  </si>
  <si>
    <t>SGS Galson: In-house: GC-SOP-8, -12,-16;
GC/FID</t>
  </si>
  <si>
    <t>Low volume air
monitoring pumps with
activated charcoal
sorbent tube</t>
  </si>
  <si>
    <t>Dropig of CR525B</t>
  </si>
  <si>
    <t>430</t>
  </si>
  <si>
    <t>0.37</t>
  </si>
  <si>
    <t>435</t>
  </si>
  <si>
    <t>0.32</t>
  </si>
  <si>
    <t>360</t>
  </si>
  <si>
    <t>0.26</t>
  </si>
  <si>
    <t>412</t>
  </si>
  <si>
    <t>0.24</t>
  </si>
  <si>
    <t>311</t>
  </si>
  <si>
    <t>0.16</t>
  </si>
  <si>
    <t>0.067</t>
  </si>
  <si>
    <t>478</t>
  </si>
  <si>
    <t>In-house: GC-SOP-8,-12,-16;
GC/FID</t>
  </si>
  <si>
    <t>207</t>
  </si>
  <si>
    <t>&lt;0.05</t>
  </si>
  <si>
    <t>268</t>
  </si>
  <si>
    <t>&lt;0.04</t>
  </si>
  <si>
    <t>357</t>
  </si>
  <si>
    <t>0.033</t>
  </si>
  <si>
    <t>0.03</t>
  </si>
  <si>
    <t>245</t>
  </si>
  <si>
    <t>0.024</t>
  </si>
  <si>
    <t>Production</t>
  </si>
  <si>
    <t>Administrative (ONU)</t>
  </si>
  <si>
    <t>9</t>
  </si>
  <si>
    <t>19</t>
  </si>
  <si>
    <t>Inspecting/
Observing</t>
  </si>
  <si>
    <t>Administration</t>
  </si>
  <si>
    <t>Daily</t>
  </si>
  <si>
    <t>1-5%</t>
  </si>
  <si>
    <t>Outdoors</t>
  </si>
  <si>
    <t>Local exhaust
ventilation</t>
  </si>
  <si>
    <t>0.120</t>
  </si>
  <si>
    <t>0.034</t>
  </si>
  <si>
    <t>100</t>
  </si>
  <si>
    <t>ASM003</t>
  </si>
  <si>
    <t>Air sampling pumps with
charcoal tubes</t>
  </si>
  <si>
    <t>Weekly</t>
  </si>
  <si>
    <t>2.540</t>
  </si>
  <si>
    <t>142</t>
  </si>
  <si>
    <t>Vehicle (gas)</t>
  </si>
  <si>
    <t>Face shield</t>
  </si>
  <si>
    <t>Passive Ventilation</t>
  </si>
  <si>
    <t>ND (&lt;0.18)</t>
  </si>
  <si>
    <t>ND (&lt;0.17)</t>
  </si>
  <si>
    <t>12</t>
  </si>
  <si>
    <t>Operating
Equipment</t>
  </si>
  <si>
    <t>Mixer</t>
  </si>
  <si>
    <t>0.180</t>
  </si>
  <si>
    <t>429</t>
  </si>
  <si>
    <t>720</t>
  </si>
  <si>
    <t>Operating
equipment</t>
  </si>
  <si>
    <t>Drum</t>
  </si>
  <si>
    <t>Indoors</t>
  </si>
  <si>
    <t>Jacket</t>
  </si>
  <si>
    <t>0.048</t>
  </si>
  <si>
    <t>664</t>
  </si>
  <si>
    <t>Calculated 12-hr TWA from sample duration because shift duration provided</t>
  </si>
  <si>
    <t>ASM003-05</t>
  </si>
  <si>
    <t>0.091</t>
  </si>
  <si>
    <t>Kettle</t>
  </si>
  <si>
    <t>Nitrile gloves</t>
  </si>
  <si>
    <t>&lt;0.076</t>
  </si>
  <si>
    <t>104</t>
  </si>
  <si>
    <t>1.5%</t>
  </si>
  <si>
    <t>0.021</t>
  </si>
  <si>
    <t>455</t>
  </si>
  <si>
    <t>5</t>
  </si>
  <si>
    <t>16</t>
  </si>
  <si>
    <t>600</t>
  </si>
  <si>
    <t>Disperser</t>
  </si>
  <si>
    <t>0-10</t>
  </si>
  <si>
    <t>0.220</t>
  </si>
  <si>
    <t>Caculated 10-hr TWA based on shift length and sample duration</t>
  </si>
  <si>
    <t>&lt;0.31</t>
  </si>
  <si>
    <t>256</t>
  </si>
  <si>
    <t>Local exhaust</t>
  </si>
  <si>
    <t>0.840</t>
  </si>
  <si>
    <t>&lt;0.041</t>
  </si>
  <si>
    <t>205</t>
  </si>
  <si>
    <t>Packaging</t>
  </si>
  <si>
    <t>Leather gloves</t>
  </si>
  <si>
    <t>0.060</t>
  </si>
  <si>
    <t>410</t>
  </si>
  <si>
    <t>&lt;0.018</t>
  </si>
  <si>
    <t>463</t>
  </si>
  <si>
    <t>&lt;0.078</t>
  </si>
  <si>
    <t>0.019</t>
  </si>
  <si>
    <t>468</t>
  </si>
  <si>
    <t>0.073</t>
  </si>
  <si>
    <t>Reactor
(batch)</t>
  </si>
  <si>
    <t>0.110</t>
  </si>
  <si>
    <t>413</t>
  </si>
  <si>
    <t>0.082</t>
  </si>
  <si>
    <t>Logistic technician</t>
  </si>
  <si>
    <t>0.262</t>
  </si>
  <si>
    <t>576</t>
  </si>
  <si>
    <t>ASM No. 003-5</t>
  </si>
  <si>
    <t>SKC Pocket Pumps</t>
  </si>
  <si>
    <t>Sampling</t>
  </si>
  <si>
    <t>0.230</t>
  </si>
  <si>
    <t>0.442</t>
  </si>
  <si>
    <t>578</t>
  </si>
  <si>
    <t>0.007</t>
  </si>
  <si>
    <t>650</t>
  </si>
  <si>
    <t>599</t>
  </si>
  <si>
    <t>--------</t>
  </si>
  <si>
    <t>0.200</t>
  </si>
  <si>
    <t>616</t>
  </si>
  <si>
    <t/>
  </si>
  <si>
    <t>0.030</t>
  </si>
  <si>
    <t>0.018</t>
  </si>
  <si>
    <t>0.008</t>
  </si>
  <si>
    <t>432</t>
  </si>
  <si>
    <t>0.015</t>
  </si>
  <si>
    <t>707</t>
  </si>
  <si>
    <t>0.053</t>
  </si>
  <si>
    <t>0.040</t>
  </si>
  <si>
    <t>618</t>
  </si>
  <si>
    <t>0.094</t>
  </si>
  <si>
    <t>0.075</t>
  </si>
  <si>
    <t>617</t>
  </si>
  <si>
    <t>&lt;0.006</t>
  </si>
  <si>
    <t>Laboratory</t>
  </si>
  <si>
    <t>Laboratory technician</t>
  </si>
  <si>
    <t>0.500</t>
  </si>
  <si>
    <t>15</t>
  </si>
  <si>
    <t>Short-term</t>
  </si>
  <si>
    <t>No - Short-term sample</t>
  </si>
  <si>
    <t>IHGC-P040
(GC/FID)</t>
  </si>
  <si>
    <t>0.100</t>
  </si>
  <si>
    <t>0.046</t>
  </si>
  <si>
    <t>0.013</t>
  </si>
  <si>
    <t>305</t>
  </si>
  <si>
    <t>0.068</t>
  </si>
  <si>
    <t>330</t>
  </si>
  <si>
    <t>Assumed to be 8-hr TWA per sample duration</t>
  </si>
  <si>
    <t>ASM003-10</t>
  </si>
  <si>
    <t>SKC-226-175; 600 mg
XAD-4</t>
  </si>
  <si>
    <t>420</t>
  </si>
  <si>
    <t>0.054</t>
  </si>
  <si>
    <t>375</t>
  </si>
  <si>
    <t>ASM004-10</t>
  </si>
  <si>
    <t>0.036</t>
  </si>
  <si>
    <t>0.041</t>
  </si>
  <si>
    <t>475</t>
  </si>
  <si>
    <t>0.038</t>
  </si>
  <si>
    <t>0.035</t>
  </si>
  <si>
    <t>Laboratory
Analytical</t>
  </si>
  <si>
    <t>3.7%</t>
  </si>
  <si>
    <t>3.85</t>
  </si>
  <si>
    <t>No durations provided, assumed full shift due to lack of data for lab tech</t>
  </si>
  <si>
    <t>Direct Reading</t>
  </si>
  <si>
    <t>Gasmet 4040
Portable Fourier
Transform
Infrared (FTIR)
detector</t>
  </si>
  <si>
    <t>WWTP</t>
  </si>
  <si>
    <t>No employee position routinely in the area</t>
  </si>
  <si>
    <t>&lt;5</t>
  </si>
  <si>
    <t>&lt;90</t>
  </si>
  <si>
    <t>Separator
API Oil
Skimmer</t>
  </si>
  <si>
    <t>&lt;1</t>
  </si>
  <si>
    <t>Steel-toed safety
shoes/boots/caps</t>
  </si>
  <si>
    <t>1.0</t>
  </si>
  <si>
    <t>3.8 ug/sample
Limit of
Quantification</t>
  </si>
  <si>
    <t>484</t>
  </si>
  <si>
    <t>Yes - for Waste OES only</t>
  </si>
  <si>
    <t>NIOSH
1500/1501(GC)</t>
  </si>
  <si>
    <t>Passive /
Diffusion
Monitor SKC 575</t>
  </si>
  <si>
    <t>Filter (liquid)</t>
  </si>
  <si>
    <t>2.0%</t>
  </si>
  <si>
    <t>Full Facepiece
Cartridge
Respirator</t>
  </si>
  <si>
    <t>Local Exhaust
Ventilation</t>
  </si>
  <si>
    <t>No - no durations</t>
  </si>
  <si>
    <t>No duration information provided; other data for this worker type with more metadata is used</t>
  </si>
  <si>
    <t>Full facepiece
cartridge
respirator</t>
  </si>
  <si>
    <t>10-12</t>
  </si>
  <si>
    <t>HVAC Controls</t>
  </si>
  <si>
    <t>&lt;0.044</t>
  </si>
  <si>
    <t>503</t>
  </si>
  <si>
    <t>14</t>
  </si>
  <si>
    <t>0.9%</t>
  </si>
  <si>
    <t>ND</t>
  </si>
  <si>
    <t>Valve</t>
  </si>
  <si>
    <t>1.0%</t>
  </si>
  <si>
    <t>Not
available</t>
  </si>
  <si>
    <t>0.77</t>
  </si>
  <si>
    <t>1 hour</t>
  </si>
  <si>
    <t>Because the task is related to (un)loading, assumed this does not occur the full shift and an 8-hr TWA was calculated with the sample duration</t>
  </si>
  <si>
    <t>501</t>
  </si>
  <si>
    <t>Area sampling for
establishing PPE
determined that
either half-mask
or full-face
respirators must
be worn when
changing out the
drums or
standing within
four feet from
the drums during
a cleanout.</t>
  </si>
  <si>
    <t>46</t>
  </si>
  <si>
    <t>3.5</t>
  </si>
  <si>
    <t>497</t>
  </si>
  <si>
    <t>0.975%</t>
  </si>
  <si>
    <t>7</t>
  </si>
  <si>
    <t>5.9</t>
  </si>
  <si>
    <t>&lt;0.047</t>
  </si>
  <si>
    <t>470</t>
  </si>
  <si>
    <t>3.0</t>
  </si>
  <si>
    <t>13%</t>
  </si>
  <si>
    <t>Nr API Holding
Tank</t>
  </si>
  <si>
    <t>0.01 ppm (8 hr
TWA)</t>
  </si>
  <si>
    <t>No - unknown worker type and area data; other data preferenced</t>
  </si>
  <si>
    <t>Assumed to be 8-hr TWA per notes in Analytical Method Detection Limit column</t>
  </si>
  <si>
    <t>Passive Badge</t>
  </si>
  <si>
    <t>0.03%</t>
  </si>
  <si>
    <t>0.01</t>
  </si>
  <si>
    <t>3</t>
  </si>
  <si>
    <t>0.02</t>
  </si>
  <si>
    <t>Air sampling
pump with
charcoal tubes
FID GC</t>
  </si>
  <si>
    <t>Nr API
Skimmer</t>
  </si>
  <si>
    <t>415</t>
  </si>
  <si>
    <t>100%</t>
  </si>
  <si>
    <t>Area sampling for
establishing PPE
determined that
full Facepiece
Cartridge
Respirator and
Leather gloves
are required</t>
  </si>
  <si>
    <t>30</t>
  </si>
  <si>
    <t>0.06</t>
  </si>
  <si>
    <t>0.14</t>
  </si>
  <si>
    <t>421.00</t>
  </si>
  <si>
    <t>PDM Siloxane
and lites area</t>
  </si>
  <si>
    <t>440</t>
  </si>
  <si>
    <t>3.6</t>
  </si>
  <si>
    <t>55.00</t>
  </si>
  <si>
    <t>0</t>
  </si>
  <si>
    <t>0.1</t>
  </si>
  <si>
    <t>Reactor deck</t>
  </si>
  <si>
    <t>0.23</t>
  </si>
  <si>
    <t>Inside API
skimmer belt
enclosure</t>
  </si>
  <si>
    <t>If maintenance
required,
appropriate PPE
is utilized</t>
  </si>
  <si>
    <t>Plexiglass box
surrounds pump</t>
  </si>
  <si>
    <t>9.3</t>
  </si>
  <si>
    <t>496</t>
  </si>
  <si>
    <t>0.22</t>
  </si>
  <si>
    <t>Lites
processing
area</t>
  </si>
  <si>
    <t>450</t>
  </si>
  <si>
    <t>0.28</t>
  </si>
  <si>
    <t>Nr API oil
skimmer</t>
  </si>
  <si>
    <t>5.5</t>
  </si>
  <si>
    <t>445</t>
  </si>
  <si>
    <t>0.44</t>
  </si>
  <si>
    <t>Gum lites
decant area</t>
  </si>
  <si>
    <t>460</t>
  </si>
  <si>
    <t>0.21</t>
  </si>
  <si>
    <t>Cyclics decant
area</t>
  </si>
  <si>
    <t>465</t>
  </si>
  <si>
    <t>Cucilizer tank
nr manway</t>
  </si>
  <si>
    <t>530</t>
  </si>
  <si>
    <t>6.1</t>
  </si>
  <si>
    <t>Decant Tank
Room</t>
  </si>
  <si>
    <t>540</t>
  </si>
  <si>
    <t>0.04</t>
  </si>
  <si>
    <t>N wall lites
decant room</t>
  </si>
  <si>
    <t>451</t>
  </si>
  <si>
    <t>Above lites
decant tank</t>
  </si>
  <si>
    <t>Btw TK 87302
and 87303
lites</t>
  </si>
  <si>
    <t>443</t>
  </si>
  <si>
    <t>0.38</t>
  </si>
  <si>
    <t>0.84</t>
  </si>
  <si>
    <t>Tk0897 drains
and purges</t>
  </si>
  <si>
    <t>446</t>
  </si>
  <si>
    <t>2.1</t>
  </si>
  <si>
    <t>26</t>
  </si>
  <si>
    <t>Outdoor</t>
  </si>
  <si>
    <t>Sealed eyewear;
hard hats; steel-toed shoes,
boots, caps;
nitrile rubber
gloves</t>
  </si>
  <si>
    <t>0.065 ppm</t>
  </si>
  <si>
    <t>153</t>
  </si>
  <si>
    <t>no sample duration provided, assumed to be 12-hr TWA per shift duration</t>
  </si>
  <si>
    <t>GC-FID</t>
  </si>
  <si>
    <t>Sampling pump
w/activated
carbon cassette</t>
  </si>
  <si>
    <t>18</t>
  </si>
  <si>
    <t>Cyclilizer
lower level</t>
  </si>
  <si>
    <t>447</t>
  </si>
  <si>
    <t>0.5</t>
  </si>
  <si>
    <t>Drumming
area
FT088402</t>
  </si>
  <si>
    <t>0.64</t>
  </si>
  <si>
    <t>1.1</t>
  </si>
  <si>
    <t>419.00</t>
  </si>
  <si>
    <t>Upper Level
CL01
Evaporator</t>
  </si>
  <si>
    <t>Operation
Saion RX0807</t>
  </si>
  <si>
    <t>425</t>
  </si>
  <si>
    <t>Direct reading</t>
  </si>
  <si>
    <t>TWA</t>
  </si>
  <si>
    <t>15-min</t>
  </si>
  <si>
    <t>Totals</t>
  </si>
  <si>
    <t>Mean</t>
  </si>
  <si>
    <t>Limit of Detection (mg/m^3)</t>
  </si>
  <si>
    <t>8-hr W Detects</t>
  </si>
  <si>
    <t>Ln(8-hr)</t>
  </si>
  <si>
    <t>12-hr Detects</t>
  </si>
  <si>
    <t>Ln(12-hr)</t>
  </si>
  <si>
    <t>15-min detects</t>
  </si>
  <si>
    <t>Ln(15-min)</t>
  </si>
  <si>
    <t>short term detects</t>
  </si>
  <si>
    <t>Ln(ST)</t>
  </si>
  <si>
    <t>8-hr ONU Detects</t>
  </si>
  <si>
    <t>12-hr ONU Detects</t>
  </si>
  <si>
    <t>Short-term W exposure duration (min)</t>
  </si>
  <si>
    <t>Short-term ONU exposure duration (min)</t>
  </si>
  <si>
    <t>Medium</t>
  </si>
  <si>
    <t>United States</t>
  </si>
  <si>
    <t>Unloaded cyclics tanker, normal start up routine</t>
  </si>
  <si>
    <t>-</t>
  </si>
  <si>
    <t>Polymer operator</t>
  </si>
  <si>
    <t>Total PBZ data points</t>
  </si>
  <si>
    <t>Normal start-up routine</t>
  </si>
  <si>
    <t>Total NDs</t>
  </si>
  <si>
    <t>% ND</t>
  </si>
  <si>
    <t>Normal work routine</t>
  </si>
  <si>
    <t>Geo STD</t>
  </si>
  <si>
    <t>High</t>
  </si>
  <si>
    <t>Dow Corning Corporation</t>
  </si>
  <si>
    <t>Operator #5</t>
  </si>
  <si>
    <t>Operator #2</t>
  </si>
  <si>
    <t>Operator #6</t>
  </si>
  <si>
    <t>Operator #4</t>
  </si>
  <si>
    <t>Operator #3</t>
  </si>
  <si>
    <t>Operator #1</t>
  </si>
  <si>
    <t>Operator #10</t>
  </si>
  <si>
    <t>Operator #11</t>
  </si>
  <si>
    <t>Operator #13</t>
  </si>
  <si>
    <t>1st level near the control panel</t>
  </si>
  <si>
    <t>4/6/1976 - 4/7/1976</t>
  </si>
  <si>
    <t>2nd level near the west end of the bldg.</t>
  </si>
  <si>
    <t>Unknown</t>
  </si>
  <si>
    <t>Average of all area samples</t>
  </si>
  <si>
    <t>Dow Chemical Company</t>
  </si>
  <si>
    <t>Certain classes of operators involved in hydrolysis and polymerization and gum production processes.</t>
  </si>
  <si>
    <t>Auxiliary personnel, such as maintenance, supervisors, QC,
and R&amp;D.</t>
  </si>
  <si>
    <t>Hydrolysis operators and polymerization operators not part of the PP (gum production processes) group. Although involved in similar production operations to PP, SP operators
are exposed to substantially lower concentrations than PP operators</t>
  </si>
  <si>
    <t>Constants and Unit Conversions</t>
  </si>
  <si>
    <t>High End</t>
  </si>
  <si>
    <t>Notes/Comments</t>
  </si>
  <si>
    <t>ED</t>
  </si>
  <si>
    <t>hours</t>
  </si>
  <si>
    <t>days/year</t>
  </si>
  <si>
    <t>kg/kg</t>
  </si>
  <si>
    <t>Based on the product concentration data for this OES for 12 products. The high-end corresponds to the maximum concentration out of any of the products, which is 0.25 for the PRO 1-GL 2PK GLOSS LEATHER BROWN 100VOC product. The central tendency was calculated by taking the arithmetic mean of the concentration of all the products which comes out to 0.0439.</t>
  </si>
  <si>
    <t>Concentration of D4 in non-volatile fraction of mist</t>
  </si>
  <si>
    <t>Concentration of D4 in the product divided by the weight fraction of solids in the product. The default values for weight fraction of solids high end and central tendency from the Auto Refinishing ESD are 0.5 and 0.25 respectively. The resulting fraction cannot exceed a value of 1.</t>
  </si>
  <si>
    <t>High-end and central tendency values correspond to the All Data Scenario in the Auto Refinish Sample Data Summary.</t>
  </si>
  <si>
    <t>Equation</t>
  </si>
  <si>
    <t>Spray Application of Paints and Coatings Results</t>
  </si>
  <si>
    <t>Static Results from the Mass Balance Inhalation Model</t>
  </si>
  <si>
    <t>Total Daily Working Hours (hours/day)</t>
  </si>
  <si>
    <t>Acute Concentration (AC)</t>
  </si>
  <si>
    <t>Intermediate Average Daily Concentration (IADC)</t>
  </si>
  <si>
    <t>Average Daily Concentration (ADC)</t>
  </si>
  <si>
    <t>Lifetime Average Daily Concentration (LADC)</t>
  </si>
  <si>
    <t>Maximum</t>
  </si>
  <si>
    <t>99th Percentile</t>
  </si>
  <si>
    <t>95th Percentile</t>
  </si>
  <si>
    <t>50th Percentile</t>
  </si>
  <si>
    <t>5th Percentile</t>
  </si>
  <si>
    <t>Minimum</t>
  </si>
  <si>
    <t>Exposure Sources (from Exposure Source Summary tab)</t>
  </si>
  <si>
    <t>Exposure Source</t>
  </si>
  <si>
    <t>A. Open Surface Losses of Volatile Chemicals during Container Cleaning</t>
  </si>
  <si>
    <t>B. Transfer Operations Losses to Air from Unloading the Adhesive Formulation</t>
  </si>
  <si>
    <t>C. Open Surface Losses to Air During Equipment Cleaning</t>
  </si>
  <si>
    <t>D. Evaporative Losses to Air during Curing/Drying</t>
  </si>
  <si>
    <t>Exposure Day Basis</t>
  </si>
  <si>
    <t>Volume Concentration (ppm)</t>
  </si>
  <si>
    <t>Summary Table of Baseline Monte Carlo Exposure Results</t>
  </si>
  <si>
    <t>Statistic</t>
  </si>
  <si>
    <t>CNF, 8-hr TWA (ppm)</t>
  </si>
  <si>
    <t>CFF, 8-hr TWA (ppm)</t>
  </si>
  <si>
    <t>ACNF, 24-hr TWA (ppm)</t>
  </si>
  <si>
    <t>ACFF, 24-hr TWA (ppm)</t>
  </si>
  <si>
    <t>ADCNF, 24-hr TWA (ppm)</t>
  </si>
  <si>
    <t>ADCFF, 24-hr TWA (ppm)</t>
  </si>
  <si>
    <t>LADCNF, 24-hr TWA (ppm)</t>
  </si>
  <si>
    <t>LADCFF, 24-hr TWA (ppm)</t>
  </si>
  <si>
    <t>Maximum 1-hr TWA Exposure</t>
  </si>
  <si>
    <t>EF</t>
  </si>
  <si>
    <t>High-end concentration is based on the highest product concentration, which was 0.55 for the Jade Ceramic Coating product. The central tendency concentration is the arithmetic mean of the concentrations which comes out to 0.117.</t>
  </si>
  <si>
    <t>Central tendency and high-end 5-hr TWA air concentraiton of total volatile organic compounds (TVOCs) of all application types from Table 5-5 of the Automotive Detailing Products MRD</t>
  </si>
  <si>
    <t>Use of Automotive Care Products Results</t>
  </si>
  <si>
    <t>8-hr TWA Exposure</t>
  </si>
  <si>
    <t>Concentrations are based on the distribution used for the Environmental Release Assessment. High-end concentration is based on the highest product concentration, which was 0.05. The central tendency concentration is the midpoint of the uniform distribution from the Release Assessment, which is 0.03.</t>
  </si>
  <si>
    <t>Exposure Constants</t>
  </si>
  <si>
    <t>Use of Cleaning Products Results</t>
  </si>
  <si>
    <t xml:space="preserve">8-hr TWA Exposure </t>
  </si>
  <si>
    <t>Intermediate Exposure</t>
  </si>
  <si>
    <t>Chronic, Non-Cancer Exposure</t>
  </si>
  <si>
    <t>Chronic, Cancer Exposure</t>
  </si>
  <si>
    <t>The exposure frequency takes the central tendency and high-end operating days from the corresponding release assessment and multiplies by the fraction of operating days with exposure.</t>
  </si>
  <si>
    <t>High-end concentration is based on the highest product concentration, which was 0.01 for both products. The central tendency concentration is the arithmetic mean of the concentrations which comes out 0.0053.</t>
  </si>
  <si>
    <t> </t>
  </si>
  <si>
    <t>A. Container Transfer Operations</t>
  </si>
  <si>
    <t>B. Container Cleaning</t>
  </si>
  <si>
    <t>C. Laundry Operations</t>
  </si>
  <si>
    <t>Tri Manh Tran, Kurunthachalam Kannan</t>
  </si>
  <si>
    <t>Indoor salon air at 6 salons.</t>
  </si>
  <si>
    <t>Salon particulate phase sampling</t>
  </si>
  <si>
    <t>PDF Pg. 4</t>
  </si>
  <si>
    <t>Particulate phase sampling, units in ug/g. D4 siloxane detected in all samples.</t>
  </si>
  <si>
    <t>Salon vapor phase sampling</t>
  </si>
  <si>
    <t>Units converted from ng/m^3 to mg/m^3. D4 siloxane detected in all samples.</t>
  </si>
  <si>
    <t>Salon total concentration in bulk indoor air</t>
  </si>
  <si>
    <t>PDF Pg. 6</t>
  </si>
  <si>
    <t>Units converted from ng/m^3 to mg/m^3. D4 siloxane detected in all samples. Samples are for sum of particulate and vapor phase.</t>
  </si>
  <si>
    <t>Indoor office air at 7 offices.</t>
  </si>
  <si>
    <t>Office particulate phase sampling</t>
  </si>
  <si>
    <t>Indoor school air at 6 schools.</t>
  </si>
  <si>
    <t>School particulate phase sampling</t>
  </si>
  <si>
    <t>School vapor phase sampling</t>
  </si>
  <si>
    <t>School total concentration in bulk indoor air</t>
  </si>
  <si>
    <t>Tri Manh Tran, Minh Ninh Tu, Nam Duc Vu</t>
  </si>
  <si>
    <t>Vietnam</t>
  </si>
  <si>
    <t>Indoor dust at salons.</t>
  </si>
  <si>
    <t>Salon</t>
  </si>
  <si>
    <t>24-hr TWA</t>
  </si>
  <si>
    <t>Dust sampling, units in ng/g.</t>
  </si>
  <si>
    <t>Indoor air at salons.</t>
  </si>
  <si>
    <t>Units converted from ng/m^3 to mg/m^3.</t>
  </si>
  <si>
    <t>SEHSC / EC / HC</t>
  </si>
  <si>
    <t>Canada</t>
  </si>
  <si>
    <t>Maximum worst-case exposure value (EEV)</t>
  </si>
  <si>
    <t>PDF Pg 4</t>
  </si>
  <si>
    <t>Silicones Environmental, Health, and Safety Center :: SEHSC</t>
  </si>
  <si>
    <t>PDF Pg. 124
Formulation of skin care products</t>
  </si>
  <si>
    <t>PDF Pg. 147</t>
  </si>
  <si>
    <t>Lee et. al.</t>
  </si>
  <si>
    <t>South Korea</t>
  </si>
  <si>
    <t>To identify how the ingredients were used in the various products, 47 deodorizing products (used in indoor air and vehicle interiors, for fabrics and shoes, and for air conditioners and other purpose) were purchased online and from a supermarket based on the results of a survey conducted to elucidate the products commonly used on the Korean market [24]. These deodorizing products comprised 31 spray type products (aerosol and trigger sprays) and 16 other application types (liquid, and fumigation) (Table 1). The Korean Ministry of Environment (KME) has established safe guidelines for risk-concerning products for residential consumer use, and 13 substances for deodorizing products are regulated already as the safe guideline. In this study, hazardous chemicals used as ingredients in deodorizing products except for regulated substances were selected and identified. A list of hazardous ingredients was surveyed from the manufacturing companies of these deodorizing products in Korea by the KME. 
The purchased deodorizing products samples were prepared, extracted, and analyzed according to the standard operation of the analytical procedure (SOP) developed by the National Institute of Environment Research. 
Butylated hydroxyl toluene and octamethylcyclotetrasiloxane were analyzed simultaneously by GC/MS after sonication extraction with n-hexane.</t>
  </si>
  <si>
    <t>PDF Pg. 7</t>
  </si>
  <si>
    <t>Data reported in Table 5 (PDF pg. 7)</t>
  </si>
  <si>
    <t>Office vapor phase sampling</t>
  </si>
  <si>
    <t>Units converted from ng/m^3 to mg/m^3. D4 siloxane detected in 85.7% of samples.</t>
  </si>
  <si>
    <t>Office total concentration in bulk indoor air</t>
  </si>
  <si>
    <t xml:space="preserve">Provides a summary table with inhalation exposure estimates for all D4 OES included in the risk evaluation. Where data was available, EPA determined 8 hr-, 12-hr, short-term, and 15-minute TWA estimates per OES. The exposure estimates were then used to calculate acute, chronic (non-cancer), and chronic (cancer) exposure estimates. </t>
  </si>
  <si>
    <t>Contains the calculated data set of 8-, 10-, or 12-hr TWAs from the data provided by the D4 Consortium which is used as surrogate inhalation monitoring data for various OESs.</t>
  </si>
  <si>
    <t>Contains the raw data provided by the D4 Consortium which was used to calculate the 8-, 10-, or 12-hr TWAs as surrogate inhalation monitoring data for various OESs. Columns with a green header were added by ERG to assist with analyzing and sorting the data.</t>
  </si>
  <si>
    <t>Contains systematic review inhalation monitoring data relevant to the Processing as a reactant OES.</t>
  </si>
  <si>
    <t>Contains inhalation exposure data relevant to the Spray application of paints &amp; coatings OES via the All Data Scenario of the Auto Refinish Sample Data Summary as a surrogate.</t>
  </si>
  <si>
    <t>Contains inhalation exposure data relevant to the Use of adhesives and sealants OES via the Mass Balance Inhalation Model.</t>
  </si>
  <si>
    <t>Contains inhalation exposure data relevant to the cold-cleaning Aircraft maintenance OES via the Brake Servicing Near Field Far Field Model.</t>
  </si>
  <si>
    <t>Contains inhalation exposure data relevant to the penetrant Aircraft maintenance OES via the Brake Servicing Near Field Far Field Model.</t>
  </si>
  <si>
    <t>Contains inhalation exposure data relevant to the Use of adhesives and sealants OES via the Use of Automotive Detailing Products MRD.</t>
  </si>
  <si>
    <t>Contains inhalation exposure data relevant to the Use of adhesives and sealants OES via the Furnishing Cleaning GS as a surrogate.</t>
  </si>
  <si>
    <t>Contains inhalation exposure data relevant to the Use of adhesives and sealants OES via the Furnishing Cleaning GS.</t>
  </si>
  <si>
    <t>Contains inhalation exposure data relevant to the Use of laundry – institutional OES via the Mass Balance Inhalation Model.</t>
  </si>
  <si>
    <t>Spray application of paints and coatings – 1-day application</t>
  </si>
  <si>
    <t>Spray application of paints and coatings – 2-day application</t>
  </si>
  <si>
    <t>Spray application of paints and coatings – 250-day application</t>
  </si>
  <si>
    <t>Formulation of adhesives &amp; sealants (neat D4)</t>
  </si>
  <si>
    <t xml:space="preserve">Material handler </t>
  </si>
  <si>
    <t>There is only one PBZ data point from the Consortium data on Material handlers, and is presented here under both the central tendency and high-end value.</t>
  </si>
  <si>
    <t xml:space="preserve">Chemical operator </t>
  </si>
  <si>
    <t>Production operator</t>
  </si>
  <si>
    <t xml:space="preserve">Production operator </t>
  </si>
  <si>
    <t>Operators at polymer plants – PBZ</t>
  </si>
  <si>
    <t>Import-repackaging</t>
  </si>
  <si>
    <t>Processing as a reactant</t>
  </si>
  <si>
    <t>Formulation of paints and coatings</t>
  </si>
  <si>
    <t>Formulation of adhesives &amp; sealants (residual D4)</t>
  </si>
  <si>
    <t>Use of adhesives and sealants</t>
  </si>
  <si>
    <t>Rubber compounding</t>
  </si>
  <si>
    <t>Rubber converting</t>
  </si>
  <si>
    <t>Use of rubber products</t>
  </si>
  <si>
    <t>Formulation of products containing greater than 3% D4</t>
  </si>
  <si>
    <t>Formulation of products containing less than 3% D4</t>
  </si>
  <si>
    <t>Use of aircraft maintenance products (penetrant)</t>
  </si>
  <si>
    <t>Use of aircraft maintenance products (cold cleaning)</t>
  </si>
  <si>
    <t>Use of fabric finishing products</t>
  </si>
  <si>
    <t>Use of automotive care products</t>
  </si>
  <si>
    <t>Use of cleaning products</t>
  </si>
  <si>
    <t>Use of animal grooming products</t>
  </si>
  <si>
    <t>Use of laundry products – institutional</t>
  </si>
  <si>
    <t>Use of laundry products – industrial</t>
  </si>
  <si>
    <t>Use of laboratory chemicals</t>
  </si>
  <si>
    <t>Acute Exposure</t>
  </si>
  <si>
    <t>TWA Exposure</t>
  </si>
  <si>
    <t>All three data points from the Consortium data do not have sample or activity duration and are area data. Assumed to be representative of full-shift worker exposure due to lack of other lab technician data.</t>
  </si>
  <si>
    <t>Derived from full-shift (12-hr) Logistic technician PBZ monitoring data from the Consortium.</t>
  </si>
  <si>
    <t>Derived from full-shift (8-hr) Chemical operator PBZ monitoring data from the Consortium.</t>
  </si>
  <si>
    <t>Derived from full-shift (8-hr) Production operator PBZ monitoring data from the Consortium.</t>
  </si>
  <si>
    <t>Derived from full-shift (10-hr) Production operator PBZ monitoring data from the Consortium.</t>
  </si>
  <si>
    <t>Derived from full-shift (12-hr) Production operator PBZ monitoring data from the Consortium.</t>
  </si>
  <si>
    <t>Draft Inhalation Exposure 
Modeling Results for Octamethylcyclotetrasiloxane (D4)</t>
  </si>
  <si>
    <r>
      <t>ED</t>
    </r>
    <r>
      <rPr>
        <vertAlign val="subscript"/>
        <sz val="11"/>
        <color rgb="FF000000"/>
        <rFont val="Times New Roman"/>
        <family val="1"/>
      </rPr>
      <t>8</t>
    </r>
  </si>
  <si>
    <r>
      <t>ED</t>
    </r>
    <r>
      <rPr>
        <vertAlign val="subscript"/>
        <sz val="11"/>
        <color rgb="FF000000"/>
        <rFont val="Times New Roman"/>
        <family val="1"/>
      </rPr>
      <t>10</t>
    </r>
  </si>
  <si>
    <r>
      <t>ED</t>
    </r>
    <r>
      <rPr>
        <vertAlign val="subscript"/>
        <sz val="11"/>
        <color rgb="FF000000"/>
        <rFont val="Times New Roman"/>
        <family val="1"/>
      </rPr>
      <t>12</t>
    </r>
  </si>
  <si>
    <r>
      <t>AT</t>
    </r>
    <r>
      <rPr>
        <vertAlign val="subscript"/>
        <sz val="11"/>
        <color rgb="FF000000"/>
        <rFont val="Times New Roman"/>
        <family val="1"/>
      </rPr>
      <t>Acute</t>
    </r>
  </si>
  <si>
    <r>
      <t>AWD</t>
    </r>
    <r>
      <rPr>
        <vertAlign val="subscript"/>
        <sz val="11"/>
        <color rgb="FF000000"/>
        <rFont val="Times New Roman"/>
        <family val="1"/>
      </rPr>
      <t>8-hr TWA</t>
    </r>
  </si>
  <si>
    <r>
      <t>AWD</t>
    </r>
    <r>
      <rPr>
        <vertAlign val="subscript"/>
        <sz val="11"/>
        <color rgb="FF000000"/>
        <rFont val="Times New Roman"/>
        <family val="1"/>
      </rPr>
      <t>12-hr TWA</t>
    </r>
  </si>
  <si>
    <r>
      <t>ED</t>
    </r>
    <r>
      <rPr>
        <vertAlign val="subscript"/>
        <sz val="11"/>
        <color rgb="FF000000"/>
        <rFont val="Times New Roman"/>
        <family val="1"/>
      </rPr>
      <t>intermediate</t>
    </r>
  </si>
  <si>
    <r>
      <t>EF</t>
    </r>
    <r>
      <rPr>
        <vertAlign val="subscript"/>
        <sz val="11"/>
        <color rgb="FF000000"/>
        <rFont val="Times New Roman"/>
        <family val="1"/>
      </rPr>
      <t>intermediate</t>
    </r>
  </si>
  <si>
    <r>
      <t>WY</t>
    </r>
    <r>
      <rPr>
        <vertAlign val="subscript"/>
        <sz val="11"/>
        <color rgb="FF000000"/>
        <rFont val="Times New Roman"/>
        <family val="1"/>
      </rPr>
      <t>95th</t>
    </r>
  </si>
  <si>
    <r>
      <t>WY</t>
    </r>
    <r>
      <rPr>
        <vertAlign val="subscript"/>
        <sz val="11"/>
        <color rgb="FF000000"/>
        <rFont val="Times New Roman"/>
        <family val="1"/>
      </rPr>
      <t>50th</t>
    </r>
  </si>
  <si>
    <r>
      <t>LT</t>
    </r>
    <r>
      <rPr>
        <vertAlign val="subscript"/>
        <sz val="11"/>
        <color rgb="FF000000"/>
        <rFont val="Times New Roman"/>
        <family val="1"/>
      </rPr>
      <t>Chronic, Cancer</t>
    </r>
  </si>
  <si>
    <r>
      <t>AT</t>
    </r>
    <r>
      <rPr>
        <vertAlign val="subscript"/>
        <sz val="11"/>
        <color rgb="FF000000"/>
        <rFont val="Times New Roman"/>
        <family val="1"/>
      </rPr>
      <t>95th, Chronic, Non-Cancer</t>
    </r>
  </si>
  <si>
    <r>
      <t>AT</t>
    </r>
    <r>
      <rPr>
        <vertAlign val="subscript"/>
        <sz val="11"/>
        <color rgb="FF000000"/>
        <rFont val="Times New Roman"/>
        <family val="1"/>
      </rPr>
      <t>50th, Chronic, Non-Cancer</t>
    </r>
  </si>
  <si>
    <r>
      <t>AT</t>
    </r>
    <r>
      <rPr>
        <vertAlign val="subscript"/>
        <sz val="11"/>
        <color rgb="FF000000"/>
        <rFont val="Times New Roman"/>
        <family val="1"/>
      </rPr>
      <t>Chronic, Cancer</t>
    </r>
  </si>
  <si>
    <t>Exposure duration (intermediate exposure)</t>
  </si>
  <si>
    <t>Exposure frequency (intermediate exposure)</t>
  </si>
  <si>
    <t>Annual working days (10-hr TWA)</t>
  </si>
  <si>
    <t>Annual working days (8-hr TWA)</t>
  </si>
  <si>
    <t>Annual working days (12-hr TWA)</t>
  </si>
  <si>
    <t>Averaging time (acute)</t>
  </si>
  <si>
    <t>Occupational exposure duration – 8 hr</t>
  </si>
  <si>
    <t>Occupational exposure duration – 12 hr</t>
  </si>
  <si>
    <t>Occupational exposure duration – 10 hr</t>
  </si>
  <si>
    <t>Working years per lifetime – 95th Percentile (chronic)</t>
  </si>
  <si>
    <t>Working years per lifetime – 50th Percentile (chronic)</t>
  </si>
  <si>
    <t>Averaging time (chronic, cancer)</t>
  </si>
  <si>
    <t>Averaging time – 50th Percentile (chronic, non-cancer)</t>
  </si>
  <si>
    <t>Averaging time – 95th Percentile (chronic, non-cancer)</t>
  </si>
  <si>
    <t>Breathing ratio</t>
  </si>
  <si>
    <t>Molecular weight</t>
  </si>
  <si>
    <r>
      <t>D4 8-hr TWA Concentration (mg/m</t>
    </r>
    <r>
      <rPr>
        <vertAlign val="superscript"/>
        <sz val="11"/>
        <color theme="1"/>
        <rFont val="Times New Roman"/>
        <family val="1"/>
      </rPr>
      <t>3</t>
    </r>
    <r>
      <rPr>
        <sz val="11"/>
        <color theme="1"/>
        <rFont val="Times New Roman"/>
        <family val="1"/>
      </rPr>
      <t>)</t>
    </r>
  </si>
  <si>
    <r>
      <t>D4 12-hr TWA Concentration (mg/m</t>
    </r>
    <r>
      <rPr>
        <vertAlign val="superscript"/>
        <sz val="11"/>
        <color theme="1"/>
        <rFont val="Times New Roman"/>
        <family val="1"/>
      </rPr>
      <t>3</t>
    </r>
    <r>
      <rPr>
        <sz val="11"/>
        <color theme="1"/>
        <rFont val="Times New Roman"/>
        <family val="1"/>
      </rPr>
      <t>)</t>
    </r>
  </si>
  <si>
    <r>
      <t>D4 Short-Term TWA Concentration (mg/m</t>
    </r>
    <r>
      <rPr>
        <vertAlign val="superscript"/>
        <sz val="11"/>
        <color theme="1"/>
        <rFont val="Times New Roman"/>
        <family val="1"/>
      </rPr>
      <t>3</t>
    </r>
    <r>
      <rPr>
        <sz val="11"/>
        <color theme="1"/>
        <rFont val="Times New Roman"/>
        <family val="1"/>
      </rPr>
      <t>)</t>
    </r>
  </si>
  <si>
    <r>
      <t>D4 15-min TWA Concentration (mg/m</t>
    </r>
    <r>
      <rPr>
        <vertAlign val="superscript"/>
        <sz val="11"/>
        <color theme="1"/>
        <rFont val="Times New Roman"/>
        <family val="1"/>
      </rPr>
      <t>3</t>
    </r>
    <r>
      <rPr>
        <sz val="11"/>
        <color theme="1"/>
        <rFont val="Times New Roman"/>
        <family val="1"/>
      </rPr>
      <t>)</t>
    </r>
  </si>
  <si>
    <t>Area vs. PBZ</t>
  </si>
  <si>
    <r>
      <t>8-hr TWA (mg/m</t>
    </r>
    <r>
      <rPr>
        <b/>
        <vertAlign val="superscript"/>
        <sz val="11"/>
        <color theme="1"/>
        <rFont val="Times New Roman"/>
        <family val="1"/>
      </rPr>
      <t>3</t>
    </r>
    <r>
      <rPr>
        <b/>
        <sz val="11"/>
        <color theme="1"/>
        <rFont val="Times New Roman"/>
        <family val="1"/>
      </rPr>
      <t>)</t>
    </r>
  </si>
  <si>
    <r>
      <t>12-hr TWA (mg/m</t>
    </r>
    <r>
      <rPr>
        <b/>
        <vertAlign val="superscript"/>
        <sz val="11"/>
        <color theme="1"/>
        <rFont val="Times New Roman"/>
        <family val="1"/>
      </rPr>
      <t>3</t>
    </r>
    <r>
      <rPr>
        <b/>
        <sz val="11"/>
        <color theme="1"/>
        <rFont val="Times New Roman"/>
        <family val="1"/>
      </rPr>
      <t>)</t>
    </r>
  </si>
  <si>
    <r>
      <t>10-hr TWA (mg/m</t>
    </r>
    <r>
      <rPr>
        <b/>
        <vertAlign val="superscript"/>
        <sz val="11"/>
        <color theme="1"/>
        <rFont val="Times New Roman"/>
        <family val="1"/>
      </rPr>
      <t>3</t>
    </r>
    <r>
      <rPr>
        <b/>
        <sz val="11"/>
        <color theme="1"/>
        <rFont val="Times New Roman"/>
        <family val="1"/>
      </rPr>
      <t>)</t>
    </r>
  </si>
  <si>
    <r>
      <t>D4 Airborne Concentration (mg/m</t>
    </r>
    <r>
      <rPr>
        <vertAlign val="superscript"/>
        <sz val="11"/>
        <color theme="1"/>
        <rFont val="Times New Roman"/>
        <family val="1"/>
      </rPr>
      <t>3</t>
    </r>
    <r>
      <rPr>
        <sz val="11"/>
        <color theme="1"/>
        <rFont val="Times New Roman"/>
        <family val="1"/>
      </rPr>
      <t>)</t>
    </r>
  </si>
  <si>
    <t>Inhalation – Potential Route of Exposure</t>
  </si>
  <si>
    <t>Dermal – Potential Route of Exposure</t>
  </si>
  <si>
    <t>D4 Activity (Indoors or Outdoors)</t>
  </si>
  <si>
    <t>Confined Space Entry Permit; Fresh Air Ventilation; Safe Work Permit atmosphere monitoring</t>
  </si>
  <si>
    <t>Air Purifying Respiratory</t>
  </si>
  <si>
    <t>Uninform (flame retardant), leather gloves, safety glasses, hard hat, safety boots</t>
  </si>
  <si>
    <t>3m N95 particulate respirator, leather gloves, safety glasses, hard hat, safety boots</t>
  </si>
  <si>
    <t>Hard piped system, manual valve</t>
  </si>
  <si>
    <t>During heat up, top of vessel was closed, ventilation hood over dough mixer</t>
  </si>
  <si>
    <t>Currently, no local exhaust is present</t>
  </si>
  <si>
    <t>Hatch has an extended arm ventilation system</t>
  </si>
  <si>
    <t>3m ½ face respirator with HEPA OV/AG cartridge, uniform (flame retardant), nitrile gloves, safety glasses, hard hat, safety boots</t>
  </si>
  <si>
    <t>Nitrile rubber gloves</t>
  </si>
  <si>
    <t>Adding D4 to vessel through hard piping</t>
  </si>
  <si>
    <t>D4 boil out of dough mixer</t>
  </si>
  <si>
    <t>D4/D5 cleanout of vessel</t>
  </si>
  <si>
    <t>D4 and D5 cleanout of vessel</t>
  </si>
  <si>
    <t>Down packing of material from totes to pails</t>
  </si>
  <si>
    <t>Operating equipment</t>
  </si>
  <si>
    <t>Line breaking</t>
  </si>
  <si>
    <t>Job Task Activity Associated with D4 (For PBZ Samples) or Area Associated with D4 Activities (For Area Samples)</t>
  </si>
  <si>
    <t>Loading/unloading</t>
  </si>
  <si>
    <t>Reactor (batch)</t>
  </si>
  <si>
    <t>Vessel – atmospheric</t>
  </si>
  <si>
    <t>Not needed</t>
  </si>
  <si>
    <t>Analytical Method Used (Specify EPA/ASTM/etc. Method Number, if applicable)</t>
  </si>
  <si>
    <t>Air sampling pump with charcoal tubes FID GC</t>
  </si>
  <si>
    <t>Passive/Difusion Monitor SKC 575</t>
  </si>
  <si>
    <t>Air sampling pumps with charcoal tubes</t>
  </si>
  <si>
    <t>Air sampling pumps with charcoal tubes (SKC 226-175 600 mg XAD-4)</t>
  </si>
  <si>
    <t>During heat up, top of vessel was closed, material was allowed to cool down 30 °C prior to draining from vessel</t>
  </si>
  <si>
    <t>Chemical operator</t>
  </si>
  <si>
    <t>Frequency
of Job
Task
Activity
per
Month</t>
  </si>
  <si>
    <t>Number of
Employees
Onsite
with
Position</t>
  </si>
  <si>
    <t>Monitoring
Duration
During
Specified
D4 Activity
(Minutes)</t>
  </si>
  <si>
    <t>Duration
of Shift
(Minutes)</t>
  </si>
  <si>
    <r>
      <t>D4 Monitoring Result to Use (mg/m</t>
    </r>
    <r>
      <rPr>
        <b/>
        <vertAlign val="superscript"/>
        <sz val="11"/>
        <color theme="1"/>
        <rFont val="Times New Roman"/>
        <family val="1"/>
      </rPr>
      <t>3</t>
    </r>
    <r>
      <rPr>
        <b/>
        <sz val="11"/>
        <color theme="1"/>
        <rFont val="Times New Roman"/>
        <family val="1"/>
      </rPr>
      <t>)</t>
    </r>
  </si>
  <si>
    <r>
      <t xml:space="preserve">  C</t>
    </r>
    <r>
      <rPr>
        <b/>
        <vertAlign val="subscript"/>
        <sz val="12"/>
        <rFont val="Times New Roman"/>
        <family val="1"/>
      </rPr>
      <t>D4, 8, 10, or 12-hr TWA</t>
    </r>
    <r>
      <rPr>
        <b/>
        <sz val="12"/>
        <rFont val="Times New Roman"/>
        <family val="1"/>
      </rPr>
      <t xml:space="preserve"> (mg/m</t>
    </r>
    <r>
      <rPr>
        <b/>
        <vertAlign val="superscript"/>
        <sz val="12"/>
        <rFont val="Times New Roman"/>
        <family val="1"/>
      </rPr>
      <t>3</t>
    </r>
    <r>
      <rPr>
        <b/>
        <sz val="12"/>
        <rFont val="Times New Roman"/>
        <family val="1"/>
      </rPr>
      <t>)</t>
    </r>
  </si>
  <si>
    <r>
      <t>AC</t>
    </r>
    <r>
      <rPr>
        <b/>
        <vertAlign val="subscript"/>
        <sz val="12"/>
        <rFont val="Times New Roman"/>
        <family val="1"/>
      </rPr>
      <t>D4, 24-hr TWA</t>
    </r>
    <r>
      <rPr>
        <b/>
        <sz val="12"/>
        <rFont val="Times New Roman"/>
        <family val="1"/>
      </rPr>
      <t xml:space="preserve"> (mg/m</t>
    </r>
    <r>
      <rPr>
        <b/>
        <vertAlign val="superscript"/>
        <sz val="12"/>
        <rFont val="Times New Roman"/>
        <family val="1"/>
      </rPr>
      <t>3</t>
    </r>
    <r>
      <rPr>
        <b/>
        <sz val="12"/>
        <rFont val="Times New Roman"/>
        <family val="1"/>
      </rPr>
      <t>)</t>
    </r>
  </si>
  <si>
    <r>
      <t>IADC</t>
    </r>
    <r>
      <rPr>
        <b/>
        <vertAlign val="subscript"/>
        <sz val="12"/>
        <rFont val="Times New Roman"/>
        <family val="1"/>
      </rPr>
      <t>D4, 24-hr TWA</t>
    </r>
    <r>
      <rPr>
        <b/>
        <sz val="12"/>
        <rFont val="Times New Roman"/>
        <family val="1"/>
      </rPr>
      <t xml:space="preserve"> (mg/m</t>
    </r>
    <r>
      <rPr>
        <b/>
        <vertAlign val="superscript"/>
        <sz val="12"/>
        <rFont val="Times New Roman"/>
        <family val="1"/>
      </rPr>
      <t>3</t>
    </r>
    <r>
      <rPr>
        <b/>
        <sz val="12"/>
        <rFont val="Times New Roman"/>
        <family val="1"/>
      </rPr>
      <t>)</t>
    </r>
  </si>
  <si>
    <r>
      <t>ADC</t>
    </r>
    <r>
      <rPr>
        <b/>
        <vertAlign val="subscript"/>
        <sz val="12"/>
        <rFont val="Times New Roman"/>
        <family val="1"/>
      </rPr>
      <t>D4, 24-hr TWA</t>
    </r>
    <r>
      <rPr>
        <b/>
        <sz val="12"/>
        <rFont val="Times New Roman"/>
        <family val="1"/>
      </rPr>
      <t xml:space="preserve"> (mg/m3)</t>
    </r>
  </si>
  <si>
    <r>
      <t>LADC</t>
    </r>
    <r>
      <rPr>
        <b/>
        <vertAlign val="subscript"/>
        <sz val="12"/>
        <rFont val="Times New Roman"/>
        <family val="1"/>
      </rPr>
      <t>D4, 24-hr TWA</t>
    </r>
    <r>
      <rPr>
        <b/>
        <sz val="12"/>
        <rFont val="Times New Roman"/>
        <family val="1"/>
      </rPr>
      <t xml:space="preserve"> (mg/m3)</t>
    </r>
  </si>
  <si>
    <r>
      <t>8-hr TWA (mg/m</t>
    </r>
    <r>
      <rPr>
        <b/>
        <vertAlign val="superscript"/>
        <sz val="12"/>
        <color theme="1"/>
        <rFont val="Times New Roman"/>
        <family val="1"/>
      </rPr>
      <t>3</t>
    </r>
    <r>
      <rPr>
        <b/>
        <sz val="12"/>
        <color theme="1"/>
        <rFont val="Times New Roman"/>
        <family val="1"/>
      </rPr>
      <t>)</t>
    </r>
  </si>
  <si>
    <r>
      <t>10-hr TWA (mg/m</t>
    </r>
    <r>
      <rPr>
        <b/>
        <vertAlign val="superscript"/>
        <sz val="12"/>
        <color theme="1"/>
        <rFont val="Times New Roman"/>
        <family val="1"/>
      </rPr>
      <t>3</t>
    </r>
    <r>
      <rPr>
        <b/>
        <sz val="12"/>
        <color theme="1"/>
        <rFont val="Times New Roman"/>
        <family val="1"/>
      </rPr>
      <t>)</t>
    </r>
  </si>
  <si>
    <r>
      <t>12-hr TWA (mg/m</t>
    </r>
    <r>
      <rPr>
        <b/>
        <vertAlign val="superscript"/>
        <sz val="12"/>
        <color theme="1"/>
        <rFont val="Times New Roman"/>
        <family val="1"/>
      </rPr>
      <t>3</t>
    </r>
    <r>
      <rPr>
        <b/>
        <sz val="12"/>
        <color theme="1"/>
        <rFont val="Times New Roman"/>
        <family val="1"/>
      </rPr>
      <t>)</t>
    </r>
  </si>
  <si>
    <t>Number of Samples</t>
  </si>
  <si>
    <r>
      <t>D4 Airborne Concentration (mg/m</t>
    </r>
    <r>
      <rPr>
        <b/>
        <vertAlign val="superscript"/>
        <sz val="12"/>
        <color theme="1"/>
        <rFont val="Times New Roman"/>
        <family val="1"/>
      </rPr>
      <t>3</t>
    </r>
    <r>
      <rPr>
        <b/>
        <sz val="12"/>
        <color theme="1"/>
        <rFont val="Times New Roman"/>
        <family val="1"/>
      </rPr>
      <t>)</t>
    </r>
  </si>
  <si>
    <r>
      <t>D4 8-hr TWA Concentration (mg/m</t>
    </r>
    <r>
      <rPr>
        <b/>
        <vertAlign val="superscript"/>
        <sz val="12"/>
        <color theme="1"/>
        <rFont val="Times New Roman"/>
        <family val="1"/>
      </rPr>
      <t>3</t>
    </r>
    <r>
      <rPr>
        <b/>
        <sz val="12"/>
        <color theme="1"/>
        <rFont val="Times New Roman"/>
        <family val="1"/>
      </rPr>
      <t>)</t>
    </r>
  </si>
  <si>
    <r>
      <t>D4 12-hr TWA Concentration (mg/m</t>
    </r>
    <r>
      <rPr>
        <b/>
        <vertAlign val="superscript"/>
        <sz val="12"/>
        <color theme="1"/>
        <rFont val="Times New Roman"/>
        <family val="1"/>
      </rPr>
      <t>3</t>
    </r>
    <r>
      <rPr>
        <b/>
        <sz val="12"/>
        <color theme="1"/>
        <rFont val="Times New Roman"/>
        <family val="1"/>
      </rPr>
      <t>)</t>
    </r>
  </si>
  <si>
    <r>
      <t>D4 Short-Term TWA Concentration (mg/m</t>
    </r>
    <r>
      <rPr>
        <b/>
        <vertAlign val="superscript"/>
        <sz val="12"/>
        <color theme="1"/>
        <rFont val="Times New Roman"/>
        <family val="1"/>
      </rPr>
      <t>3</t>
    </r>
    <r>
      <rPr>
        <b/>
        <sz val="12"/>
        <color theme="1"/>
        <rFont val="Times New Roman"/>
        <family val="1"/>
      </rPr>
      <t>)</t>
    </r>
  </si>
  <si>
    <t>Measurement Type (TWA or Short-Term)</t>
  </si>
  <si>
    <t>Sample Duration (Minutes)</t>
  </si>
  <si>
    <t>Discrete Value – Worker</t>
  </si>
  <si>
    <t>Discrete Value – Occupational ONU</t>
  </si>
  <si>
    <t>Data Location in Document</t>
  </si>
  <si>
    <t>PDF pg. 5</t>
  </si>
  <si>
    <t>PDF pg. 5
"The main production operation at 602 Building is the polymerization of D4 into high molecular weight (MeSiO)x gum which is used for the production of silicone rubber. The polymerizers are continuous units where D4 is fed in on the 2nd level and the gum is automatically filled into fiber packs on the 1st level. The polymerizer operators are the only operators in the building and run the complete production, packaging, and warehousing operations in the building."</t>
  </si>
  <si>
    <t xml:space="preserve">PDF pg. 12 </t>
  </si>
  <si>
    <t>PDF pg. 13</t>
  </si>
  <si>
    <t>PDF pg. 362
Certain classes of operators involved in hydrolysis and polymerization and gum production processes.</t>
  </si>
  <si>
    <t>PDF pg. 364</t>
  </si>
  <si>
    <t>PDF pg. 363
Auxiliary personnel, such as maintenance, supervisors, QC,
and R&amp;D.</t>
  </si>
  <si>
    <t>PDF pg. 363
Hydrolysis operators and polymerization operators not part of the PP (gum production processes) group. Although involved in similar production operations to PP, SP operators
are exposed to substantially lower concentrations than PP operators</t>
  </si>
  <si>
    <r>
      <t>D4 15-min TWA Concentration (mg/m</t>
    </r>
    <r>
      <rPr>
        <b/>
        <vertAlign val="superscript"/>
        <sz val="12"/>
        <color theme="1"/>
        <rFont val="Times New Roman"/>
        <family val="1"/>
      </rPr>
      <t>3</t>
    </r>
    <r>
      <rPr>
        <b/>
        <sz val="12"/>
        <color theme="1"/>
        <rFont val="Times New Roman"/>
        <family val="1"/>
      </rPr>
      <t>)</t>
    </r>
  </si>
  <si>
    <r>
      <t>Units converted from ppm to mg/m</t>
    </r>
    <r>
      <rPr>
        <vertAlign val="superscript"/>
        <sz val="12"/>
        <color theme="1"/>
        <rFont val="Times New Roman"/>
        <family val="1"/>
      </rPr>
      <t>3</t>
    </r>
    <r>
      <rPr>
        <sz val="12"/>
        <color theme="1"/>
        <rFont val="Times New Roman"/>
        <family val="1"/>
      </rPr>
      <t>.</t>
    </r>
  </si>
  <si>
    <r>
      <t>Units converted from ppm to mg/m</t>
    </r>
    <r>
      <rPr>
        <vertAlign val="superscript"/>
        <sz val="12"/>
        <color theme="1"/>
        <rFont val="Times New Roman"/>
        <family val="1"/>
      </rPr>
      <t>3</t>
    </r>
  </si>
  <si>
    <r>
      <t>Sample converted from ppm to mg/m</t>
    </r>
    <r>
      <rPr>
        <vertAlign val="superscript"/>
        <sz val="12"/>
        <color theme="1"/>
        <rFont val="Times New Roman"/>
        <family val="1"/>
      </rPr>
      <t>3</t>
    </r>
  </si>
  <si>
    <r>
      <t>Sample converted from ppm to mg/m</t>
    </r>
    <r>
      <rPr>
        <vertAlign val="superscript"/>
        <sz val="12"/>
        <color theme="1"/>
        <rFont val="Times New Roman"/>
        <family val="1"/>
      </rPr>
      <t>3</t>
    </r>
    <r>
      <rPr>
        <sz val="12"/>
        <color theme="1"/>
        <rFont val="Times New Roman"/>
        <family val="1"/>
      </rPr>
      <t>. Sample not used because PBZ data is preferenced.</t>
    </r>
  </si>
  <si>
    <r>
      <t>Sample converted from ppm to mg/m</t>
    </r>
    <r>
      <rPr>
        <vertAlign val="superscript"/>
        <sz val="12"/>
        <color theme="1"/>
        <rFont val="Times New Roman"/>
        <family val="1"/>
      </rPr>
      <t>3</t>
    </r>
    <r>
      <rPr>
        <sz val="12"/>
        <color theme="1"/>
        <rFont val="Times New Roman"/>
        <family val="1"/>
      </rPr>
      <t>. This sample represents an average of all area samples. Median was calculated. Sample time was calculated as an average of all sample times. Sample not used because PBZ data is preferenced.</t>
    </r>
  </si>
  <si>
    <r>
      <t>Units converted from ppm to mg/m</t>
    </r>
    <r>
      <rPr>
        <vertAlign val="superscript"/>
        <sz val="12"/>
        <color theme="1"/>
        <rFont val="Times New Roman"/>
        <family val="1"/>
      </rPr>
      <t>3</t>
    </r>
    <r>
      <rPr>
        <sz val="12"/>
        <color theme="1"/>
        <rFont val="Times New Roman"/>
        <family val="1"/>
      </rPr>
      <t>. Arithmetic mean presented; document also listed a geometric mean. Sample not used because represents a mean and discrete data are preferenced.</t>
    </r>
  </si>
  <si>
    <r>
      <t>Limit of Detection (mg/m</t>
    </r>
    <r>
      <rPr>
        <b/>
        <vertAlign val="superscript"/>
        <sz val="12"/>
        <color theme="1"/>
        <rFont val="Times New Roman"/>
        <family val="1"/>
      </rPr>
      <t>3</t>
    </r>
    <r>
      <rPr>
        <b/>
        <sz val="12"/>
        <color theme="1"/>
        <rFont val="Times New Roman"/>
        <family val="1"/>
      </rPr>
      <t>)</t>
    </r>
  </si>
  <si>
    <t>Short Term Detects</t>
  </si>
  <si>
    <t>15-min Detects</t>
  </si>
  <si>
    <t>Short-Term W Exposure Duration (Minutes)</t>
  </si>
  <si>
    <t>Short-Term ONU Exposure Duration (Minutes)</t>
  </si>
  <si>
    <r>
      <t>mg/m</t>
    </r>
    <r>
      <rPr>
        <vertAlign val="superscript"/>
        <sz val="11"/>
        <rFont val="Times New Roman"/>
        <family val="1"/>
      </rPr>
      <t>3</t>
    </r>
  </si>
  <si>
    <r>
      <t>TWA</t>
    </r>
    <r>
      <rPr>
        <vertAlign val="subscript"/>
        <sz val="11"/>
        <rFont val="Times New Roman"/>
        <family val="1"/>
      </rPr>
      <t>8-hr</t>
    </r>
  </si>
  <si>
    <t>Exposure duration</t>
  </si>
  <si>
    <t>Exposure frequency for Spray application of paints and coatings (1-day application)</t>
  </si>
  <si>
    <t>Exposure frequency for Spray application of paints and coatings (2-day application)</t>
  </si>
  <si>
    <t>Exposure frequency for Spray application of paints and coatings (250-day application)</t>
  </si>
  <si>
    <t xml:space="preserve">Concentration of D4 in Paints and coatings </t>
  </si>
  <si>
    <t>Concentration of mist in air during Spray application</t>
  </si>
  <si>
    <t>Mist exposure 8-hr TWA from spray</t>
  </si>
  <si>
    <t>One scenario assessed for the Spray application of paints and coatings assumes 2 days of application per year</t>
  </si>
  <si>
    <t>One scenario assessed for the Spray application of paints and coatings assumes 1 day of application per year</t>
  </si>
  <si>
    <t>Based on an 8-hour work day</t>
  </si>
  <si>
    <t>One scenario assessed for the Spray application of paints and coatings assumes 250 days of application per year based on a standard assumption of operating 5 days per week and 50 weeks per year.</t>
  </si>
  <si>
    <r>
      <t>Concentrations (mg/m</t>
    </r>
    <r>
      <rPr>
        <b/>
        <vertAlign val="superscript"/>
        <sz val="11"/>
        <color theme="1"/>
        <rFont val="Times New Roman"/>
        <family val="1"/>
      </rPr>
      <t>3</t>
    </r>
    <r>
      <rPr>
        <b/>
        <sz val="11"/>
        <color theme="1"/>
        <rFont val="Times New Roman"/>
        <family val="1"/>
      </rPr>
      <t>)</t>
    </r>
  </si>
  <si>
    <r>
      <t>Mass Concentration (mg/m</t>
    </r>
    <r>
      <rPr>
        <b/>
        <vertAlign val="superscript"/>
        <sz val="11"/>
        <color theme="1"/>
        <rFont val="Times New Roman"/>
        <family val="1"/>
      </rPr>
      <t>3</t>
    </r>
    <r>
      <rPr>
        <b/>
        <sz val="11"/>
        <color theme="1"/>
        <rFont val="Times New Roman"/>
        <family val="1"/>
      </rPr>
      <t>)</t>
    </r>
  </si>
  <si>
    <t>Percentile</t>
  </si>
  <si>
    <t>Exposure Sources (from 'Exposure Source Summary' tab)</t>
  </si>
  <si>
    <t>Near-Field, TWA Exposure</t>
  </si>
  <si>
    <t>Far-Field, TWA Exposure</t>
  </si>
  <si>
    <t>Near-Field, Acute Exposure</t>
  </si>
  <si>
    <t>Far-Field, Acute Exposure</t>
  </si>
  <si>
    <t>Near-Field, Chronic Non-Cancer Exposure</t>
  </si>
  <si>
    <t>Far-Field, Chronic Non-Cancer Exposure</t>
  </si>
  <si>
    <t>Near-Field, Chronic Cancer Exposure</t>
  </si>
  <si>
    <t>Far-Field, Chronic Cancer Exposure</t>
  </si>
  <si>
    <t>Far-Field,
TWA Exposure</t>
  </si>
  <si>
    <t>Far-Field,
Acute Exposure</t>
  </si>
  <si>
    <r>
      <t>EF</t>
    </r>
    <r>
      <rPr>
        <vertAlign val="subscript"/>
        <sz val="12"/>
        <color theme="1"/>
        <rFont val="Times New Roman"/>
        <family val="1"/>
      </rPr>
      <t>1</t>
    </r>
  </si>
  <si>
    <r>
      <t>EF</t>
    </r>
    <r>
      <rPr>
        <vertAlign val="subscript"/>
        <sz val="12"/>
        <color theme="1"/>
        <rFont val="Times New Roman"/>
        <family val="1"/>
      </rPr>
      <t>2</t>
    </r>
  </si>
  <si>
    <r>
      <t>EF</t>
    </r>
    <r>
      <rPr>
        <vertAlign val="subscript"/>
        <sz val="12"/>
        <color theme="1"/>
        <rFont val="Times New Roman"/>
        <family val="1"/>
      </rPr>
      <t>250</t>
    </r>
  </si>
  <si>
    <r>
      <t>F</t>
    </r>
    <r>
      <rPr>
        <vertAlign val="subscript"/>
        <sz val="12"/>
        <color theme="1"/>
        <rFont val="Times New Roman"/>
        <family val="1"/>
      </rPr>
      <t>D4_prod</t>
    </r>
  </si>
  <si>
    <r>
      <t>F</t>
    </r>
    <r>
      <rPr>
        <vertAlign val="subscript"/>
        <sz val="12"/>
        <color theme="1"/>
        <rFont val="Times New Roman"/>
        <family val="1"/>
      </rPr>
      <t>D4</t>
    </r>
  </si>
  <si>
    <r>
      <t>C</t>
    </r>
    <r>
      <rPr>
        <vertAlign val="subscript"/>
        <sz val="12"/>
        <color theme="1"/>
        <rFont val="Times New Roman"/>
        <family val="1"/>
      </rPr>
      <t>mist</t>
    </r>
  </si>
  <si>
    <r>
      <t>mg/m</t>
    </r>
    <r>
      <rPr>
        <vertAlign val="superscript"/>
        <sz val="12"/>
        <rFont val="Times New Roman"/>
        <family val="1"/>
      </rPr>
      <t>3</t>
    </r>
  </si>
  <si>
    <r>
      <t>TWA</t>
    </r>
    <r>
      <rPr>
        <vertAlign val="subscript"/>
        <sz val="12"/>
        <rFont val="Times New Roman"/>
        <family val="1"/>
      </rPr>
      <t>8-hr</t>
    </r>
  </si>
  <si>
    <r>
      <t>C</t>
    </r>
    <r>
      <rPr>
        <vertAlign val="subscript"/>
        <sz val="12"/>
        <color theme="1"/>
        <rFont val="Times New Roman"/>
        <family val="1"/>
      </rPr>
      <t>mist</t>
    </r>
    <r>
      <rPr>
        <sz val="12"/>
        <color theme="1"/>
        <rFont val="Times New Roman"/>
        <family val="1"/>
      </rPr>
      <t xml:space="preserve"> × F</t>
    </r>
    <r>
      <rPr>
        <vertAlign val="subscript"/>
        <sz val="12"/>
        <color theme="1"/>
        <rFont val="Times New Roman"/>
        <family val="1"/>
      </rPr>
      <t>D4</t>
    </r>
  </si>
  <si>
    <r>
      <t>Converted F</t>
    </r>
    <r>
      <rPr>
        <vertAlign val="subscript"/>
        <sz val="11"/>
        <rFont val="Times New Roman"/>
        <family val="1"/>
      </rPr>
      <t>TVOC, 5-hr TWA</t>
    </r>
    <r>
      <rPr>
        <sz val="11"/>
        <rFont val="Times New Roman"/>
        <family val="1"/>
      </rPr>
      <t xml:space="preserve"> to an 8-hr TWA by multiplying by 5/8.</t>
    </r>
  </si>
  <si>
    <t>Based on the GS, the hours of exposure are 5 hours per day, however the ED is adjusted to 8 hours per day assuming that the remaining 3 hours of exposure have no or negligible exposures to D4.</t>
  </si>
  <si>
    <t>The exposure frequency central tendency corresponds to the central tendency of operating days from the release assessment. The high-end is capped at 250 days per year which corresponds to work schedule of 5 days per week, 50 weeks per year. The release assessment high-end operating days was 258 days per year therefore the cap of 250 days per year is reached here.</t>
  </si>
  <si>
    <t>Exposure frequency</t>
  </si>
  <si>
    <t>Concentration of D4 in automotive care Products</t>
  </si>
  <si>
    <t>Total VOC air concentration during application and use of automotive detailing product (5-hr TWA)</t>
  </si>
  <si>
    <t>Total VOC air concentration during application and use of automotive detailing product (8-hr TWA)</t>
  </si>
  <si>
    <r>
      <t>(F</t>
    </r>
    <r>
      <rPr>
        <vertAlign val="subscript"/>
        <sz val="11"/>
        <color theme="1"/>
        <rFont val="Times New Roman"/>
        <family val="1"/>
      </rPr>
      <t xml:space="preserve">TVOC, 8-hr TWA </t>
    </r>
    <r>
      <rPr>
        <sz val="11"/>
        <color theme="1"/>
        <rFont val="Times New Roman"/>
        <family val="1"/>
      </rPr>
      <t>× F</t>
    </r>
    <r>
      <rPr>
        <vertAlign val="subscript"/>
        <sz val="11"/>
        <color theme="1"/>
        <rFont val="Times New Roman"/>
        <family val="1"/>
      </rPr>
      <t>D4 prod</t>
    </r>
    <r>
      <rPr>
        <sz val="11"/>
        <color theme="1"/>
        <rFont val="Times New Roman"/>
        <family val="1"/>
      </rPr>
      <t xml:space="preserve"> × ED) / (8 hr/day)</t>
    </r>
  </si>
  <si>
    <r>
      <t>F</t>
    </r>
    <r>
      <rPr>
        <vertAlign val="subscript"/>
        <sz val="11"/>
        <color theme="1"/>
        <rFont val="Times New Roman"/>
        <family val="1"/>
      </rPr>
      <t>D4_prod</t>
    </r>
  </si>
  <si>
    <r>
      <t>F</t>
    </r>
    <r>
      <rPr>
        <vertAlign val="subscript"/>
        <sz val="11"/>
        <color theme="1"/>
        <rFont val="Times New Roman"/>
        <family val="1"/>
      </rPr>
      <t>TVOC, 5-hr TWA</t>
    </r>
  </si>
  <si>
    <r>
      <t>F</t>
    </r>
    <r>
      <rPr>
        <vertAlign val="subscript"/>
        <sz val="11"/>
        <color theme="1"/>
        <rFont val="Times New Roman"/>
        <family val="1"/>
      </rPr>
      <t>TVOC, 8-hr TWA</t>
    </r>
  </si>
  <si>
    <r>
      <t>ED</t>
    </r>
    <r>
      <rPr>
        <vertAlign val="subscript"/>
        <sz val="11"/>
        <color theme="1"/>
        <rFont val="Times New Roman"/>
        <family val="1"/>
      </rPr>
      <t>calcs</t>
    </r>
  </si>
  <si>
    <r>
      <t>AT</t>
    </r>
    <r>
      <rPr>
        <vertAlign val="subscript"/>
        <sz val="11"/>
        <color theme="1"/>
        <rFont val="Times New Roman"/>
        <family val="1"/>
      </rPr>
      <t>acute</t>
    </r>
  </si>
  <si>
    <r>
      <t>AC</t>
    </r>
    <r>
      <rPr>
        <vertAlign val="subscript"/>
        <sz val="11"/>
        <rFont val="Times New Roman"/>
        <family val="1"/>
      </rPr>
      <t>D4,24-hr TWA</t>
    </r>
  </si>
  <si>
    <r>
      <t>AT</t>
    </r>
    <r>
      <rPr>
        <vertAlign val="subscript"/>
        <sz val="11"/>
        <color theme="1"/>
        <rFont val="Times New Roman"/>
        <family val="1"/>
      </rPr>
      <t>intermediate</t>
    </r>
  </si>
  <si>
    <r>
      <t>IADC</t>
    </r>
    <r>
      <rPr>
        <vertAlign val="subscript"/>
        <sz val="11"/>
        <rFont val="Times New Roman"/>
        <family val="1"/>
      </rPr>
      <t>D4,24-hrTWA</t>
    </r>
  </si>
  <si>
    <r>
      <t>WY</t>
    </r>
    <r>
      <rPr>
        <vertAlign val="subscript"/>
        <sz val="11"/>
        <color theme="1"/>
        <rFont val="Times New Roman"/>
        <family val="1"/>
      </rPr>
      <t>95th</t>
    </r>
  </si>
  <si>
    <r>
      <t>ADC</t>
    </r>
    <r>
      <rPr>
        <vertAlign val="subscript"/>
        <sz val="11"/>
        <rFont val="Times New Roman"/>
        <family val="1"/>
      </rPr>
      <t>D4, 24-hr TWA</t>
    </r>
  </si>
  <si>
    <r>
      <t>WY</t>
    </r>
    <r>
      <rPr>
        <vertAlign val="subscript"/>
        <sz val="11"/>
        <color theme="1"/>
        <rFont val="Times New Roman"/>
        <family val="1"/>
      </rPr>
      <t>50th</t>
    </r>
  </si>
  <si>
    <r>
      <t>LADC</t>
    </r>
    <r>
      <rPr>
        <vertAlign val="subscript"/>
        <sz val="11"/>
        <rFont val="Times New Roman"/>
        <family val="1"/>
      </rPr>
      <t>D4, 24-hr TWA</t>
    </r>
  </si>
  <si>
    <r>
      <t>AT</t>
    </r>
    <r>
      <rPr>
        <vertAlign val="subscript"/>
        <sz val="11"/>
        <color theme="1"/>
        <rFont val="Times New Roman"/>
        <family val="1"/>
      </rPr>
      <t>95th, chronic, non-cancer</t>
    </r>
  </si>
  <si>
    <r>
      <t>AT</t>
    </r>
    <r>
      <rPr>
        <vertAlign val="subscript"/>
        <sz val="11"/>
        <color theme="1"/>
        <rFont val="Times New Roman"/>
        <family val="1"/>
      </rPr>
      <t>50th, chronic, non-cancer</t>
    </r>
  </si>
  <si>
    <r>
      <t>AT</t>
    </r>
    <r>
      <rPr>
        <vertAlign val="subscript"/>
        <sz val="11"/>
        <color theme="1"/>
        <rFont val="Times New Roman"/>
        <family val="1"/>
      </rPr>
      <t>chronic,cancer</t>
    </r>
  </si>
  <si>
    <r>
      <t>BR</t>
    </r>
    <r>
      <rPr>
        <vertAlign val="subscript"/>
        <sz val="11"/>
        <color theme="1"/>
        <rFont val="Times New Roman"/>
        <family val="1"/>
      </rPr>
      <t>worker</t>
    </r>
  </si>
  <si>
    <r>
      <t>m</t>
    </r>
    <r>
      <rPr>
        <vertAlign val="superscript"/>
        <sz val="11"/>
        <color theme="1"/>
        <rFont val="Times New Roman"/>
        <family val="1"/>
      </rPr>
      <t>3</t>
    </r>
    <r>
      <rPr>
        <sz val="11"/>
        <color theme="1"/>
        <rFont val="Times New Roman"/>
        <family val="1"/>
      </rPr>
      <t>/hr</t>
    </r>
  </si>
  <si>
    <r>
      <t>BR</t>
    </r>
    <r>
      <rPr>
        <vertAlign val="subscript"/>
        <sz val="11"/>
        <color theme="1"/>
        <rFont val="Times New Roman"/>
        <family val="1"/>
      </rPr>
      <t>rest</t>
    </r>
  </si>
  <si>
    <r>
      <t>F</t>
    </r>
    <r>
      <rPr>
        <vertAlign val="subscript"/>
        <sz val="11"/>
        <color theme="1"/>
        <rFont val="Times New Roman"/>
        <family val="1"/>
      </rPr>
      <t>TVOC, 4-hr TWA</t>
    </r>
  </si>
  <si>
    <t>Exposure frequency for Use of animal grooming products</t>
  </si>
  <si>
    <t>Concentration of D4 in animal grooming products</t>
  </si>
  <si>
    <t>The Animal grooming products OES is utilizing the Furnishing Cleaning GS as the basis for its exposure assessment since the releases also used the same GS as the basis to assess releases. Exposure is expected to occur less than 8 hours due to activities that likely do not cover exposure to D4 such as drying, trimming, and other administrative activities. We assume exposure can occur over the course of 4 hours of an 8-hour shift to align with the Furnishing Cleaning GS exposures and because it is reasonable to assume exposure could occur for multiple hours of a shift but not for the entire shift due to the nature of the products with D4.</t>
  </si>
  <si>
    <t>Total VOC air concentration during Animal grooming product Use (4-hr TWA)</t>
  </si>
  <si>
    <t>Assumes a standard 250 days per year of work assuming a 5-day work week for 50 weeks out of the year.</t>
  </si>
  <si>
    <t>Exposure duration (ADC, IADC, LADC)</t>
  </si>
  <si>
    <t>Averaging time (intermediate)</t>
  </si>
  <si>
    <t>Averaging time (chronic,cancer)</t>
  </si>
  <si>
    <t>Resting breathing rate</t>
  </si>
  <si>
    <t>Worker breathing rate</t>
  </si>
  <si>
    <t>Working year per lifetime – 95th percentile (chronic)</t>
  </si>
  <si>
    <t>Working year per lifetime – 50th percentile (chronic)</t>
  </si>
  <si>
    <t>Averaging time – 95th percentile (chronic, non-cancer)</t>
  </si>
  <si>
    <t>Averaging time – 50th percentile (chronic, non-cancer)</t>
  </si>
  <si>
    <t>Acute exposure 24-hr TWA</t>
  </si>
  <si>
    <t>Intermediate exposure</t>
  </si>
  <si>
    <t>Chronic, cancer exposure</t>
  </si>
  <si>
    <t>Chronic, non-cancer exposure</t>
  </si>
  <si>
    <t xml:space="preserve">8-hr TWA exposure </t>
  </si>
  <si>
    <r>
      <t>(F</t>
    </r>
    <r>
      <rPr>
        <vertAlign val="subscript"/>
        <sz val="11"/>
        <color theme="1"/>
        <rFont val="Times New Roman"/>
        <family val="1"/>
      </rPr>
      <t xml:space="preserve">TVOC, 4-hr TWA </t>
    </r>
    <r>
      <rPr>
        <sz val="11"/>
        <color theme="1"/>
        <rFont val="Times New Roman"/>
        <family val="1"/>
      </rPr>
      <t>× F</t>
    </r>
    <r>
      <rPr>
        <vertAlign val="subscript"/>
        <sz val="11"/>
        <color theme="1"/>
        <rFont val="Times New Roman"/>
        <family val="1"/>
      </rPr>
      <t>D4 prod</t>
    </r>
    <r>
      <rPr>
        <sz val="11"/>
        <color theme="1"/>
        <rFont val="Times New Roman"/>
        <family val="1"/>
      </rPr>
      <t xml:space="preserve"> × ED) / (8 hr/day)</t>
    </r>
  </si>
  <si>
    <r>
      <t>(TWA</t>
    </r>
    <r>
      <rPr>
        <vertAlign val="subscript"/>
        <sz val="11"/>
        <rFont val="Times New Roman"/>
        <family val="1"/>
      </rPr>
      <t>8-hr</t>
    </r>
    <r>
      <rPr>
        <sz val="11"/>
        <rFont val="Times New Roman"/>
        <family val="1"/>
      </rPr>
      <t xml:space="preserve"> × ED × BR</t>
    </r>
    <r>
      <rPr>
        <vertAlign val="subscript"/>
        <sz val="11"/>
        <rFont val="Times New Roman"/>
        <family val="1"/>
      </rPr>
      <t>worker</t>
    </r>
    <r>
      <rPr>
        <sz val="11"/>
        <rFont val="Times New Roman"/>
        <family val="1"/>
      </rPr>
      <t>)/(AT</t>
    </r>
    <r>
      <rPr>
        <vertAlign val="subscript"/>
        <sz val="11"/>
        <rFont val="Times New Roman"/>
        <family val="1"/>
      </rPr>
      <t>acute</t>
    </r>
    <r>
      <rPr>
        <sz val="11"/>
        <rFont val="Times New Roman"/>
        <family val="1"/>
      </rPr>
      <t xml:space="preserve"> × BR</t>
    </r>
    <r>
      <rPr>
        <vertAlign val="subscript"/>
        <sz val="11"/>
        <rFont val="Times New Roman"/>
        <family val="1"/>
      </rPr>
      <t>rest</t>
    </r>
    <r>
      <rPr>
        <sz val="11"/>
        <rFont val="Times New Roman"/>
        <family val="1"/>
      </rPr>
      <t>)</t>
    </r>
  </si>
  <si>
    <r>
      <t>(TWA</t>
    </r>
    <r>
      <rPr>
        <vertAlign val="subscript"/>
        <sz val="11"/>
        <rFont val="Times New Roman"/>
        <family val="1"/>
      </rPr>
      <t>8-hr</t>
    </r>
    <r>
      <rPr>
        <sz val="11"/>
        <rFont val="Times New Roman"/>
        <family val="1"/>
      </rPr>
      <t xml:space="preserve"> × ED × EF × WY × BR</t>
    </r>
    <r>
      <rPr>
        <vertAlign val="subscript"/>
        <sz val="11"/>
        <rFont val="Times New Roman"/>
        <family val="1"/>
      </rPr>
      <t>worker</t>
    </r>
    <r>
      <rPr>
        <sz val="11"/>
        <rFont val="Times New Roman"/>
        <family val="1"/>
      </rPr>
      <t>) / (AT</t>
    </r>
    <r>
      <rPr>
        <vertAlign val="subscript"/>
        <sz val="11"/>
        <rFont val="Times New Roman"/>
        <family val="1"/>
      </rPr>
      <t>chronic, cancer</t>
    </r>
    <r>
      <rPr>
        <sz val="11"/>
        <rFont val="Times New Roman"/>
        <family val="1"/>
      </rPr>
      <t xml:space="preserve"> × BR</t>
    </r>
    <r>
      <rPr>
        <vertAlign val="subscript"/>
        <sz val="11"/>
        <rFont val="Times New Roman"/>
        <family val="1"/>
      </rPr>
      <t>rest</t>
    </r>
    <r>
      <rPr>
        <sz val="11"/>
        <rFont val="Times New Roman"/>
        <family val="1"/>
      </rPr>
      <t>)</t>
    </r>
  </si>
  <si>
    <r>
      <t>(TWA</t>
    </r>
    <r>
      <rPr>
        <vertAlign val="subscript"/>
        <sz val="11"/>
        <rFont val="Times New Roman"/>
        <family val="1"/>
      </rPr>
      <t>8-hr</t>
    </r>
    <r>
      <rPr>
        <sz val="11"/>
        <rFont val="Times New Roman"/>
        <family val="1"/>
      </rPr>
      <t xml:space="preserve"> × ED × EF × WY × BR</t>
    </r>
    <r>
      <rPr>
        <vertAlign val="subscript"/>
        <sz val="11"/>
        <rFont val="Times New Roman"/>
        <family val="1"/>
      </rPr>
      <t>worker</t>
    </r>
    <r>
      <rPr>
        <sz val="11"/>
        <rFont val="Times New Roman"/>
        <family val="1"/>
      </rPr>
      <t>) / (AT</t>
    </r>
    <r>
      <rPr>
        <vertAlign val="subscript"/>
        <sz val="11"/>
        <rFont val="Times New Roman"/>
        <family val="1"/>
      </rPr>
      <t>non-cancer</t>
    </r>
    <r>
      <rPr>
        <sz val="11"/>
        <rFont val="Times New Roman"/>
        <family val="1"/>
      </rPr>
      <t xml:space="preserve"> × BR</t>
    </r>
    <r>
      <rPr>
        <vertAlign val="subscript"/>
        <sz val="11"/>
        <rFont val="Times New Roman"/>
        <family val="1"/>
      </rPr>
      <t>rest</t>
    </r>
    <r>
      <rPr>
        <sz val="11"/>
        <rFont val="Times New Roman"/>
        <family val="1"/>
      </rPr>
      <t>)</t>
    </r>
  </si>
  <si>
    <r>
      <t>(TWA</t>
    </r>
    <r>
      <rPr>
        <vertAlign val="subscript"/>
        <sz val="11"/>
        <rFont val="Times New Roman"/>
        <family val="1"/>
      </rPr>
      <t>8-hr</t>
    </r>
    <r>
      <rPr>
        <sz val="11"/>
        <rFont val="Times New Roman"/>
        <family val="1"/>
      </rPr>
      <t xml:space="preserve"> × ED × EF or 22 days/yr × BR</t>
    </r>
    <r>
      <rPr>
        <vertAlign val="subscript"/>
        <sz val="11"/>
        <rFont val="Times New Roman"/>
        <family val="1"/>
      </rPr>
      <t>worker</t>
    </r>
    <r>
      <rPr>
        <sz val="11"/>
        <rFont val="Times New Roman"/>
        <family val="1"/>
      </rPr>
      <t>) / (AT</t>
    </r>
    <r>
      <rPr>
        <vertAlign val="subscript"/>
        <sz val="11"/>
        <rFont val="Times New Roman"/>
        <family val="1"/>
      </rPr>
      <t>intermediate</t>
    </r>
    <r>
      <rPr>
        <sz val="11"/>
        <rFont val="Times New Roman"/>
        <family val="1"/>
      </rPr>
      <t xml:space="preserve"> × BR</t>
    </r>
    <r>
      <rPr>
        <vertAlign val="subscript"/>
        <sz val="11"/>
        <rFont val="Times New Roman"/>
        <family val="1"/>
      </rPr>
      <t>rest</t>
    </r>
    <r>
      <rPr>
        <sz val="11"/>
        <rFont val="Times New Roman"/>
        <family val="1"/>
      </rPr>
      <t>)</t>
    </r>
  </si>
  <si>
    <t>Exposure is only expected to occur over 4 hours of an 8-hour shift. The exposure duration is set to 8 hours assuming the other 4 hours of exposure have no or negligible exposure to D4.</t>
  </si>
  <si>
    <t>Central tendency and high-end 4-hr TWA air concentraiton of total volatile organic compounds (TVOC) of all application types from Table 5-5 of the Furnishing Cleaning GS.</t>
  </si>
  <si>
    <r>
      <t>Converted F</t>
    </r>
    <r>
      <rPr>
        <vertAlign val="subscript"/>
        <sz val="11"/>
        <rFont val="Times New Roman"/>
        <family val="1"/>
      </rPr>
      <t>TVOC, 4-hr TWA</t>
    </r>
    <r>
      <rPr>
        <sz val="11"/>
        <rFont val="Times New Roman"/>
        <family val="1"/>
      </rPr>
      <t xml:space="preserve"> to an 8-hr TWA by dividing by 2.</t>
    </r>
  </si>
  <si>
    <t>Exposure frequency for Use of cleaning products</t>
  </si>
  <si>
    <t>Concentration of D4 in cleaning products</t>
  </si>
  <si>
    <t>Total VOC air concentration during liquid cleaner application and use (4-hr TWA)</t>
  </si>
  <si>
    <t>Total VOC air concentration during liquid cleaner application and use (8-hr TWA)</t>
  </si>
  <si>
    <r>
      <t>Concentrations (mg/m</t>
    </r>
    <r>
      <rPr>
        <b/>
        <vertAlign val="superscript"/>
        <sz val="11"/>
        <color rgb="FF000000"/>
        <rFont val="Times New Roman"/>
        <family val="1"/>
      </rPr>
      <t>3</t>
    </r>
    <r>
      <rPr>
        <b/>
        <sz val="11"/>
        <color rgb="FF000000"/>
        <rFont val="Times New Roman"/>
        <family val="1"/>
      </rPr>
      <t>)</t>
    </r>
  </si>
  <si>
    <r>
      <t>Mass Concentration (mg/m</t>
    </r>
    <r>
      <rPr>
        <b/>
        <vertAlign val="superscript"/>
        <sz val="11"/>
        <color rgb="FF000000"/>
        <rFont val="Times New Roman"/>
        <family val="1"/>
      </rPr>
      <t>3</t>
    </r>
    <r>
      <rPr>
        <b/>
        <sz val="11"/>
        <color rgb="FF000000"/>
        <rFont val="Times New Roman"/>
        <family val="1"/>
      </rPr>
      <t>)</t>
    </r>
  </si>
  <si>
    <t> Percentile</t>
  </si>
  <si>
    <t>One sample – present for both CT and HE.</t>
  </si>
  <si>
    <t>Used exposure methodology outlined in the Use of Automotive Care Products GS, which estimates total volatile organic compounds and applies the product weight fraction</t>
  </si>
  <si>
    <t>Used exposure methodology outlines in the Furnishing Cleaning GS as a surrogate for lack of data on the Use of animal grooming products. This exposure methodology estimates total volatile organic compounds present to calculate a TWA and subsequent ADC, IADC, and LADC calculations.</t>
  </si>
  <si>
    <t>Used exposure methodology outlined in the Use of Furning Cleaing Products GS, which estimates total volatile organic compounds and applies the product weight fraction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</si>
</sst>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x14ac:knownFonts="1">
    <font>
      <sz val="11"/>
      <color theme="1"/>
      <name val="Calibri"/>
      <family val="2"/>
      <scheme val="minor"/>
    </font>
    <font>
      <sz val="10"/>
      <color theme="1"/>
      <name val="Calibri"/>
      <family val="2"/>
      <scheme val="minor"/>
    </font>
    <font>
      <sz val="10"/>
      <name val="Calibri"/>
      <family val="2"/>
      <scheme val="minor"/>
    </font>
    <font>
      <sz val="11"/>
      <name val="Calibri"/>
      <family val="2"/>
      <scheme val="minor"/>
    </font>
    <font>
      <b/>
      <sz val="11"/>
      <color theme="1"/>
      <name val="Calibri"/>
      <family val="2"/>
      <scheme val="minor"/>
    </font>
    <font>
      <sz val="10"/>
      <name val="Arial"/>
      <family val="2"/>
    </font>
    <font>
      <sz val="11"/>
      <color rgb="FF000000"/>
      <name val="Calibri"/>
      <family val="2"/>
    </font>
    <font>
      <sz val="12"/>
      <color theme="1"/>
      <name val="Calibri"/>
      <family val="2"/>
      <scheme val="minor"/>
    </font>
    <font>
      <sz val="12"/>
      <name val="Calibri"/>
      <family val="2"/>
      <scheme val="minor"/>
    </font>
    <font>
      <sz val="12"/>
      <color rgb="FF000000"/>
      <name val="Calibri"/>
      <family val="2"/>
    </font>
    <font>
      <sz val="11"/>
      <color rgb="FF000000"/>
      <name val="Calibri"/>
      <family val="2"/>
      <scheme val="minor"/>
    </font>
    <font>
      <u/>
      <sz val="11"/>
      <color theme="10"/>
      <name val="Calibri"/>
      <family val="2"/>
      <scheme val="minor"/>
    </font>
    <font>
      <sz val="11"/>
      <color theme="1"/>
      <name val="Calibri"/>
      <family val="2"/>
    </font>
    <font>
      <sz val="11"/>
      <color theme="1"/>
      <name val="Calibri"/>
      <family val="2"/>
      <scheme val="minor"/>
    </font>
    <font>
      <u/>
      <sz val="18"/>
      <color theme="10"/>
      <name val="Calibri"/>
      <family val="2"/>
      <scheme val="minor"/>
    </font>
    <font>
      <sz val="10"/>
      <color rgb="FF000000"/>
      <name val="Times New Roman"/>
      <family val="1"/>
    </font>
    <font>
      <sz val="11"/>
      <color rgb="FF3F3F76"/>
      <name val="Calibri"/>
      <family val="2"/>
      <scheme val="minor"/>
    </font>
    <font>
      <sz val="11"/>
      <color rgb="FFFF0000"/>
      <name val="Times New Roman"/>
      <family val="1"/>
    </font>
    <font>
      <sz val="12"/>
      <color rgb="FFFF0000"/>
      <name val="Times New Roman"/>
      <family val="1"/>
    </font>
    <font>
      <b/>
      <sz val="18"/>
      <color theme="1"/>
      <name val="Times New Roman"/>
      <family val="1"/>
    </font>
    <font>
      <b/>
      <i/>
      <sz val="14"/>
      <color theme="1"/>
      <name val="Times New Roman"/>
      <family val="1"/>
    </font>
    <font>
      <sz val="12"/>
      <color theme="1"/>
      <name val="Times New Roman"/>
    </font>
    <font>
      <sz val="11"/>
      <color theme="1"/>
      <name val="Times New Roman"/>
    </font>
    <font>
      <b/>
      <sz val="11"/>
      <color theme="0"/>
      <name val="Times New Roman"/>
    </font>
    <font>
      <sz val="10"/>
      <color theme="1"/>
      <name val="Times New Roman"/>
    </font>
    <font>
      <b/>
      <sz val="11"/>
      <color rgb="FF000000"/>
      <name val="Times New Roman"/>
    </font>
    <font>
      <sz val="11"/>
      <color theme="1"/>
      <name val="Times New Roman"/>
      <family val="1"/>
    </font>
    <font>
      <b/>
      <sz val="11"/>
      <color theme="1"/>
      <name val="Times New Roman"/>
      <family val="1"/>
    </font>
    <font>
      <b/>
      <sz val="11"/>
      <name val="Times New Roman"/>
      <family val="1"/>
    </font>
    <font>
      <sz val="11"/>
      <name val="Times New Roman"/>
      <family val="1"/>
    </font>
    <font>
      <sz val="11"/>
      <color rgb="FF000000"/>
      <name val="Times New Roman"/>
      <family val="1"/>
    </font>
    <font>
      <vertAlign val="subscript"/>
      <sz val="11"/>
      <color rgb="FF000000"/>
      <name val="Times New Roman"/>
      <family val="1"/>
    </font>
    <font>
      <vertAlign val="superscript"/>
      <sz val="11"/>
      <color theme="1"/>
      <name val="Times New Roman"/>
      <family val="1"/>
    </font>
    <font>
      <b/>
      <vertAlign val="superscript"/>
      <sz val="11"/>
      <color theme="1"/>
      <name val="Times New Roman"/>
      <family val="1"/>
    </font>
    <font>
      <b/>
      <sz val="12"/>
      <color theme="1"/>
      <name val="Times New Roman"/>
      <family val="1"/>
    </font>
    <font>
      <sz val="12"/>
      <color theme="1"/>
      <name val="Times New Roman"/>
      <family val="1"/>
    </font>
    <font>
      <b/>
      <sz val="12"/>
      <name val="Times New Roman"/>
      <family val="1"/>
    </font>
    <font>
      <b/>
      <vertAlign val="subscript"/>
      <sz val="12"/>
      <name val="Times New Roman"/>
      <family val="1"/>
    </font>
    <font>
      <b/>
      <vertAlign val="superscript"/>
      <sz val="12"/>
      <name val="Times New Roman"/>
      <family val="1"/>
    </font>
    <font>
      <sz val="12"/>
      <name val="Times New Roman"/>
      <family val="1"/>
    </font>
    <font>
      <b/>
      <vertAlign val="superscript"/>
      <sz val="12"/>
      <color theme="1"/>
      <name val="Times New Roman"/>
      <family val="1"/>
    </font>
    <font>
      <sz val="10"/>
      <color theme="1"/>
      <name val="Times New Roman"/>
      <family val="1"/>
    </font>
    <font>
      <sz val="10"/>
      <name val="Times New Roman"/>
      <family val="1"/>
    </font>
    <font>
      <u/>
      <sz val="12"/>
      <color theme="10"/>
      <name val="Times New Roman"/>
      <family val="1"/>
    </font>
    <font>
      <b/>
      <sz val="14"/>
      <color theme="1"/>
      <name val="Times New Roman"/>
      <family val="1"/>
    </font>
    <font>
      <u/>
      <sz val="14"/>
      <color theme="10"/>
      <name val="Times New Roman"/>
      <family val="1"/>
    </font>
    <font>
      <u/>
      <sz val="12"/>
      <name val="Times New Roman"/>
      <family val="1"/>
    </font>
    <font>
      <vertAlign val="superscript"/>
      <sz val="12"/>
      <color theme="1"/>
      <name val="Times New Roman"/>
      <family val="1"/>
    </font>
    <font>
      <sz val="8"/>
      <name val="Calibri"/>
      <family val="2"/>
      <scheme val="minor"/>
    </font>
    <font>
      <vertAlign val="superscript"/>
      <sz val="11"/>
      <name val="Times New Roman"/>
      <family val="1"/>
    </font>
    <font>
      <vertAlign val="subscript"/>
      <sz val="11"/>
      <name val="Times New Roman"/>
      <family val="1"/>
    </font>
    <font>
      <vertAlign val="subscript"/>
      <sz val="11"/>
      <color theme="1"/>
      <name val="Times New Roman"/>
      <family val="1"/>
    </font>
    <font>
      <vertAlign val="subscript"/>
      <sz val="12"/>
      <color theme="1"/>
      <name val="Times New Roman"/>
      <family val="1"/>
    </font>
    <font>
      <vertAlign val="superscript"/>
      <sz val="12"/>
      <name val="Times New Roman"/>
      <family val="1"/>
    </font>
    <font>
      <vertAlign val="subscript"/>
      <sz val="12"/>
      <name val="Times New Roman"/>
      <family val="1"/>
    </font>
    <font>
      <b/>
      <sz val="11"/>
      <color rgb="FF000000"/>
      <name val="Times New Roman"/>
      <family val="1"/>
    </font>
    <font>
      <b/>
      <vertAlign val="superscript"/>
      <sz val="11"/>
      <color rgb="FF000000"/>
      <name val="Times New Roman"/>
      <family val="1"/>
    </font>
    <font>
      <sz val="11"/>
      <color theme="10"/>
      <name val="Times New Roman"/>
      <family val="1"/>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FFCC99"/>
      </patternFill>
    </fill>
    <fill>
      <patternFill patternType="solid">
        <fgColor theme="9" tint="0.79998168889431442"/>
        <bgColor indexed="64"/>
      </patternFill>
    </fill>
    <fill>
      <patternFill patternType="solid">
        <fgColor theme="0" tint="-0.499984740745262"/>
        <bgColor indexed="64"/>
      </patternFill>
    </fill>
    <fill>
      <patternFill patternType="solid">
        <fgColor rgb="FF808080"/>
        <bgColor rgb="FF000000"/>
      </patternFill>
    </fill>
    <fill>
      <patternFill patternType="solid">
        <fgColor rgb="FFFFFFFF"/>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rgb="FF000000"/>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auto="1"/>
      </left>
      <right/>
      <top/>
      <bottom style="thin">
        <color auto="1"/>
      </bottom>
      <diagonal/>
    </border>
    <border>
      <left style="thin">
        <color auto="1"/>
      </left>
      <right/>
      <top/>
      <bottom/>
      <diagonal/>
    </border>
    <border>
      <left/>
      <right style="thin">
        <color rgb="FF000000"/>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
      <left style="thin">
        <color theme="2" tint="-9.9978637043366805E-2"/>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bottom style="double">
        <color indexed="64"/>
      </bottom>
      <diagonal/>
    </border>
    <border>
      <left/>
      <right style="thin">
        <color theme="2" tint="-9.9978637043366805E-2"/>
      </right>
      <top/>
      <bottom style="thin">
        <color indexed="64"/>
      </bottom>
      <diagonal/>
    </border>
    <border>
      <left/>
      <right style="thin">
        <color theme="2" tint="-9.9978637043366805E-2"/>
      </right>
      <top/>
      <bottom/>
      <diagonal/>
    </border>
    <border>
      <left style="thin">
        <color auto="1"/>
      </left>
      <right/>
      <top style="double">
        <color indexed="64"/>
      </top>
      <bottom style="thin">
        <color indexed="64"/>
      </bottom>
      <diagonal/>
    </border>
    <border>
      <left/>
      <right style="thin">
        <color indexed="64"/>
      </right>
      <top style="double">
        <color indexed="64"/>
      </top>
      <bottom style="thin">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s>
  <cellStyleXfs count="6">
    <xf numFmtId="0" fontId="0" fillId="0" borderId="0"/>
    <xf numFmtId="0" fontId="5" fillId="0" borderId="0"/>
    <xf numFmtId="0" fontId="11" fillId="0" borderId="0" applyNumberFormat="0" applyFill="0" applyBorder="0" applyAlignment="0" applyProtection="0"/>
    <xf numFmtId="9" fontId="13" fillId="0" borderId="0" applyFont="0" applyFill="0" applyBorder="0" applyAlignment="0" applyProtection="0"/>
    <xf numFmtId="0" fontId="15" fillId="0" borderId="0"/>
    <xf numFmtId="0" fontId="16" fillId="8" borderId="35" applyNumberFormat="0" applyAlignment="0" applyProtection="0"/>
  </cellStyleXfs>
  <cellXfs count="527">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xf numFmtId="0" fontId="0" fillId="0" borderId="0" xfId="0" applyAlignment="1">
      <alignment wrapText="1"/>
    </xf>
    <xf numFmtId="2" fontId="1" fillId="0" borderId="1" xfId="0" applyNumberFormat="1" applyFont="1" applyBorder="1" applyAlignment="1">
      <alignment horizontal="center" vertical="center" wrapText="1"/>
    </xf>
    <xf numFmtId="0" fontId="0" fillId="0" borderId="1" xfId="0" applyBorder="1" applyAlignment="1">
      <alignment wrapText="1"/>
    </xf>
    <xf numFmtId="0" fontId="1" fillId="2" borderId="2" xfId="0" applyFont="1" applyFill="1" applyBorder="1" applyAlignment="1">
      <alignment vertical="center" wrapText="1"/>
    </xf>
    <xf numFmtId="14" fontId="0" fillId="0" borderId="1" xfId="0" applyNumberFormat="1" applyBorder="1"/>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xf numFmtId="0" fontId="7" fillId="2" borderId="1" xfId="0" applyFont="1" applyFill="1" applyBorder="1" applyAlignment="1">
      <alignment vertical="center" wrapText="1"/>
    </xf>
    <xf numFmtId="0" fontId="7" fillId="0" borderId="0" xfId="0" applyFont="1"/>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horizontal="left" vertical="center" wrapText="1"/>
    </xf>
    <xf numFmtId="0" fontId="9" fillId="0" borderId="0" xfId="0" applyFont="1"/>
    <xf numFmtId="0" fontId="0" fillId="0" borderId="1" xfId="0" applyBorder="1" applyAlignment="1">
      <alignment vertical="center" wrapText="1"/>
    </xf>
    <xf numFmtId="0" fontId="0" fillId="0" borderId="0" xfId="0" applyAlignment="1">
      <alignment vertical="center" wrapText="1"/>
    </xf>
    <xf numFmtId="0" fontId="10" fillId="0" borderId="1" xfId="0" applyFont="1" applyBorder="1"/>
    <xf numFmtId="0" fontId="11" fillId="0" borderId="0" xfId="2"/>
    <xf numFmtId="0" fontId="3" fillId="0" borderId="0" xfId="0" applyFont="1"/>
    <xf numFmtId="0" fontId="0" fillId="0" borderId="1" xfId="0" applyBorder="1" applyAlignment="1">
      <alignment horizontal="left" wrapText="1"/>
    </xf>
    <xf numFmtId="0" fontId="0" fillId="0" borderId="3" xfId="0" applyBorder="1"/>
    <xf numFmtId="0" fontId="6" fillId="0" borderId="0" xfId="0" applyFont="1"/>
    <xf numFmtId="0" fontId="11" fillId="0" borderId="1" xfId="2" applyBorder="1" applyAlignment="1">
      <alignment wrapText="1"/>
    </xf>
    <xf numFmtId="0" fontId="0" fillId="0" borderId="0" xfId="0" applyAlignment="1">
      <alignment vertical="top"/>
    </xf>
    <xf numFmtId="0" fontId="8" fillId="2" borderId="1" xfId="0" applyFont="1" applyFill="1" applyBorder="1" applyAlignment="1">
      <alignment vertical="center" wrapText="1"/>
    </xf>
    <xf numFmtId="0" fontId="1" fillId="0" borderId="1" xfId="0" applyFont="1" applyBorder="1"/>
    <xf numFmtId="0" fontId="0" fillId="0" borderId="1" xfId="0" applyBorder="1" applyAlignment="1">
      <alignment horizontal="right"/>
    </xf>
    <xf numFmtId="0" fontId="4" fillId="0" borderId="0" xfId="0" applyFont="1" applyAlignment="1">
      <alignment wrapText="1"/>
    </xf>
    <xf numFmtId="0" fontId="0" fillId="0" borderId="1" xfId="0" applyBorder="1" applyAlignment="1">
      <alignment horizontal="center"/>
    </xf>
    <xf numFmtId="0" fontId="7" fillId="0" borderId="25" xfId="0" applyFont="1" applyBorder="1"/>
    <xf numFmtId="0" fontId="7" fillId="3" borderId="1" xfId="0" applyFont="1" applyFill="1" applyBorder="1" applyAlignment="1">
      <alignment horizontal="left" vertical="center" wrapText="1"/>
    </xf>
    <xf numFmtId="0" fontId="7" fillId="0" borderId="21" xfId="0" applyFont="1" applyBorder="1"/>
    <xf numFmtId="0" fontId="7" fillId="3" borderId="25"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0" borderId="0" xfId="0" applyFont="1" applyAlignment="1">
      <alignment horizontal="left" vertical="center" wrapText="1"/>
    </xf>
    <xf numFmtId="0" fontId="7" fillId="4"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4" borderId="2" xfId="0" applyFont="1" applyFill="1" applyBorder="1" applyAlignment="1">
      <alignment horizontal="left" vertical="center" wrapText="1"/>
    </xf>
    <xf numFmtId="0" fontId="1" fillId="0" borderId="2" xfId="0" applyFont="1" applyBorder="1"/>
    <xf numFmtId="0" fontId="7" fillId="3" borderId="3" xfId="0" applyFont="1" applyFill="1" applyBorder="1" applyAlignment="1">
      <alignment horizontal="left" vertical="center" wrapText="1"/>
    </xf>
    <xf numFmtId="0" fontId="0" fillId="0" borderId="1" xfId="0" applyBorder="1" applyAlignment="1">
      <alignment horizontal="left"/>
    </xf>
    <xf numFmtId="0" fontId="1" fillId="2" borderId="1" xfId="0" applyFont="1" applyFill="1"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1" xfId="0" quotePrefix="1" applyBorder="1" applyAlignment="1">
      <alignment horizontal="center"/>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3" xfId="0" applyBorder="1" applyAlignment="1">
      <alignment horizontal="left" vertical="center" wrapText="1"/>
    </xf>
    <xf numFmtId="0" fontId="12" fillId="0" borderId="5" xfId="0" applyFont="1" applyBorder="1" applyAlignment="1">
      <alignment wrapText="1"/>
    </xf>
    <xf numFmtId="0" fontId="12" fillId="0" borderId="1" xfId="0" applyFont="1" applyBorder="1" applyAlignment="1">
      <alignment wrapText="1"/>
    </xf>
    <xf numFmtId="0" fontId="12" fillId="0" borderId="5" xfId="0" applyFont="1" applyBorder="1"/>
    <xf numFmtId="0" fontId="12" fillId="0" borderId="1" xfId="0" applyFont="1" applyBorder="1"/>
    <xf numFmtId="0" fontId="12" fillId="0" borderId="1" xfId="0" quotePrefix="1" applyFont="1" applyBorder="1" applyAlignment="1">
      <alignment wrapText="1"/>
    </xf>
    <xf numFmtId="0" fontId="1" fillId="6" borderId="2" xfId="0" applyFont="1" applyFill="1" applyBorder="1" applyAlignment="1">
      <alignment vertical="center" wrapText="1"/>
    </xf>
    <xf numFmtId="0" fontId="11" fillId="6" borderId="3" xfId="2" applyFill="1" applyBorder="1" applyAlignment="1">
      <alignment wrapText="1"/>
    </xf>
    <xf numFmtId="0" fontId="7" fillId="6" borderId="1" xfId="0" applyFont="1" applyFill="1" applyBorder="1" applyAlignment="1">
      <alignment vertical="center" wrapText="1"/>
    </xf>
    <xf numFmtId="0" fontId="3" fillId="6" borderId="3" xfId="2" applyFont="1" applyFill="1" applyBorder="1" applyAlignment="1">
      <alignment wrapText="1"/>
    </xf>
    <xf numFmtId="0" fontId="0" fillId="6" borderId="1" xfId="0" applyFill="1" applyBorder="1" applyAlignment="1">
      <alignment horizontal="left" vertical="center" wrapText="1"/>
    </xf>
    <xf numFmtId="0" fontId="0" fillId="0" borderId="3" xfId="0" applyBorder="1" applyAlignment="1">
      <alignment wrapText="1"/>
    </xf>
    <xf numFmtId="0" fontId="0" fillId="0" borderId="3" xfId="0" applyBorder="1" applyAlignment="1">
      <alignment vertical="center" wrapText="1"/>
    </xf>
    <xf numFmtId="0" fontId="7" fillId="0" borderId="6" xfId="0" applyFont="1" applyBorder="1" applyAlignment="1">
      <alignment wrapText="1"/>
    </xf>
    <xf numFmtId="2" fontId="7" fillId="0" borderId="0" xfId="0" applyNumberFormat="1" applyFont="1"/>
    <xf numFmtId="9" fontId="7" fillId="0" borderId="0" xfId="3" applyFont="1" applyBorder="1"/>
    <xf numFmtId="0" fontId="0" fillId="7" borderId="0" xfId="0" applyFill="1"/>
    <xf numFmtId="0" fontId="0" fillId="0" borderId="0" xfId="0" quotePrefix="1" applyAlignment="1">
      <alignment wrapText="1"/>
    </xf>
    <xf numFmtId="0" fontId="3" fillId="0" borderId="1" xfId="2" applyFont="1" applyFill="1" applyBorder="1" applyAlignment="1">
      <alignment wrapText="1"/>
    </xf>
    <xf numFmtId="0" fontId="0" fillId="6" borderId="2" xfId="0" applyFill="1" applyBorder="1" applyAlignment="1">
      <alignment wrapText="1"/>
    </xf>
    <xf numFmtId="0" fontId="0" fillId="6" borderId="1" xfId="0" applyFill="1" applyBorder="1" applyAlignment="1">
      <alignment wrapText="1"/>
    </xf>
    <xf numFmtId="0" fontId="3" fillId="0" borderId="3" xfId="2" applyFont="1" applyFill="1" applyBorder="1" applyAlignment="1">
      <alignment wrapText="1"/>
    </xf>
    <xf numFmtId="0" fontId="11" fillId="0" borderId="3" xfId="2" applyFill="1" applyBorder="1" applyAlignment="1">
      <alignment wrapText="1"/>
    </xf>
    <xf numFmtId="0" fontId="0" fillId="6" borderId="3" xfId="0" applyFill="1" applyBorder="1" applyAlignment="1">
      <alignment horizontal="left" vertical="center" wrapText="1"/>
    </xf>
    <xf numFmtId="0" fontId="0" fillId="6" borderId="3" xfId="0" applyFill="1" applyBorder="1" applyAlignment="1">
      <alignment wrapText="1"/>
    </xf>
    <xf numFmtId="0" fontId="0" fillId="0" borderId="0" xfId="0" applyAlignment="1">
      <alignment vertical="top" wrapText="1"/>
    </xf>
    <xf numFmtId="0" fontId="7" fillId="0" borderId="0" xfId="0" applyFont="1" applyAlignment="1">
      <alignment vertical="center"/>
    </xf>
    <xf numFmtId="0" fontId="0" fillId="0" borderId="0" xfId="0" applyAlignment="1">
      <alignment horizontal="right" wrapText="1"/>
    </xf>
    <xf numFmtId="0" fontId="0" fillId="0" borderId="0" xfId="0"/>
    <xf numFmtId="0" fontId="0" fillId="0" borderId="1" xfId="0" applyBorder="1" applyAlignment="1">
      <alignment horizontal="left" vertical="center" wrapText="1"/>
    </xf>
    <xf numFmtId="0" fontId="7" fillId="0" borderId="1" xfId="0" applyFont="1" applyBorder="1" applyAlignment="1">
      <alignment horizontal="center" vertical="center" wrapText="1"/>
    </xf>
    <xf numFmtId="0" fontId="17" fillId="0" borderId="0" xfId="0" applyFont="1"/>
    <xf numFmtId="0" fontId="19" fillId="0" borderId="0" xfId="0" applyFont="1" applyAlignment="1">
      <alignment horizontal="center" vertical="center"/>
    </xf>
    <xf numFmtId="0" fontId="18" fillId="0" borderId="0" xfId="0" quotePrefix="1" applyFont="1" applyAlignment="1">
      <alignment horizontal="center"/>
    </xf>
    <xf numFmtId="0" fontId="22" fillId="0" borderId="0" xfId="0" applyFont="1"/>
    <xf numFmtId="0" fontId="23" fillId="0" borderId="0" xfId="0" applyFont="1"/>
    <xf numFmtId="0" fontId="24" fillId="0" borderId="0" xfId="0" applyFont="1" applyAlignment="1">
      <alignment horizontal="left"/>
    </xf>
    <xf numFmtId="0" fontId="22" fillId="0" borderId="0" xfId="0" applyFont="1" applyAlignment="1">
      <alignment wrapText="1"/>
    </xf>
    <xf numFmtId="0" fontId="25" fillId="15" borderId="42" xfId="0" applyFont="1" applyFill="1" applyBorder="1" applyAlignment="1">
      <alignment horizontal="center"/>
    </xf>
    <xf numFmtId="0" fontId="21" fillId="3" borderId="0" xfId="0" applyFont="1" applyFill="1" applyAlignment="1">
      <alignment wrapText="1"/>
    </xf>
    <xf numFmtId="0" fontId="22" fillId="0" borderId="43" xfId="0" applyFont="1" applyBorder="1"/>
    <xf numFmtId="0" fontId="26" fillId="0" borderId="41" xfId="0" applyFont="1" applyBorder="1" applyAlignment="1">
      <alignment wrapText="1"/>
    </xf>
    <xf numFmtId="0" fontId="26" fillId="0" borderId="40" xfId="0" applyFont="1" applyBorder="1" applyAlignment="1">
      <alignment wrapText="1"/>
    </xf>
    <xf numFmtId="0" fontId="26" fillId="0" borderId="41" xfId="0" applyFont="1" applyBorder="1" applyAlignment="1">
      <alignment horizontal="left" vertical="center"/>
    </xf>
    <xf numFmtId="0" fontId="26" fillId="0" borderId="40" xfId="0" applyFont="1" applyBorder="1" applyAlignment="1">
      <alignment horizontal="left" vertical="center"/>
    </xf>
    <xf numFmtId="0" fontId="26" fillId="0" borderId="0" xfId="0" applyFont="1"/>
    <xf numFmtId="0" fontId="26" fillId="0" borderId="0" xfId="0" applyFont="1" applyAlignment="1">
      <alignment horizontal="center" wrapText="1"/>
    </xf>
    <xf numFmtId="0" fontId="26" fillId="0" borderId="0" xfId="0" applyFont="1" applyAlignment="1">
      <alignment vertical="center"/>
    </xf>
    <xf numFmtId="0" fontId="26" fillId="0" borderId="1" xfId="0" applyFont="1" applyBorder="1" applyAlignment="1">
      <alignment horizontal="center" vertical="center" wrapText="1"/>
    </xf>
    <xf numFmtId="2" fontId="26"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0" fontId="26" fillId="0" borderId="0" xfId="0" applyFont="1" applyAlignment="1">
      <alignment horizontal="left"/>
    </xf>
    <xf numFmtId="0" fontId="26" fillId="0" borderId="1" xfId="0" applyFont="1" applyBorder="1" applyAlignment="1">
      <alignment vertical="center" wrapText="1"/>
    </xf>
    <xf numFmtId="0" fontId="27" fillId="0" borderId="0" xfId="0" applyFont="1" applyAlignment="1">
      <alignment horizontal="center" vertical="center"/>
    </xf>
    <xf numFmtId="0" fontId="26" fillId="0" borderId="0" xfId="0" applyFont="1" applyAlignment="1">
      <alignment horizontal="center" vertical="center"/>
    </xf>
    <xf numFmtId="0" fontId="27" fillId="15" borderId="2" xfId="0" applyFont="1" applyFill="1" applyBorder="1" applyAlignment="1">
      <alignment horizontal="center" vertical="center" wrapText="1"/>
    </xf>
    <xf numFmtId="0" fontId="26" fillId="0" borderId="5" xfId="0" applyFont="1" applyBorder="1" applyAlignment="1">
      <alignment horizontal="center" vertical="center" wrapText="1"/>
    </xf>
    <xf numFmtId="0" fontId="27" fillId="15" borderId="50" xfId="0" applyFont="1" applyFill="1" applyBorder="1" applyAlignment="1">
      <alignment horizontal="center" vertical="center" wrapText="1"/>
    </xf>
    <xf numFmtId="0" fontId="30" fillId="0" borderId="1" xfId="0" applyFont="1" applyBorder="1" applyAlignment="1">
      <alignment vertical="center" wrapText="1"/>
    </xf>
    <xf numFmtId="0" fontId="30" fillId="5" borderId="1" xfId="0" applyFont="1" applyFill="1" applyBorder="1" applyAlignment="1">
      <alignment vertical="center" wrapText="1"/>
    </xf>
    <xf numFmtId="0" fontId="30" fillId="0" borderId="0" xfId="0" applyFont="1" applyAlignment="1">
      <alignment vertical="center" wrapText="1"/>
    </xf>
    <xf numFmtId="0" fontId="30" fillId="0" borderId="5" xfId="0" applyFont="1" applyBorder="1" applyAlignment="1">
      <alignment vertical="center" wrapText="1"/>
    </xf>
    <xf numFmtId="0" fontId="27" fillId="15" borderId="50" xfId="0" applyFont="1" applyFill="1" applyBorder="1" applyAlignment="1">
      <alignment horizontal="center" vertical="center"/>
    </xf>
    <xf numFmtId="0" fontId="26" fillId="0" borderId="0" xfId="0" applyFont="1" applyAlignment="1">
      <alignment horizontal="center"/>
    </xf>
    <xf numFmtId="0" fontId="30" fillId="0" borderId="5" xfId="0" applyFont="1" applyBorder="1" applyAlignment="1">
      <alignment horizontal="center" vertical="center"/>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3" fontId="30" fillId="0" borderId="1" xfId="0" applyNumberFormat="1" applyFont="1" applyBorder="1" applyAlignment="1">
      <alignment horizontal="center" vertical="center"/>
    </xf>
    <xf numFmtId="0" fontId="30" fillId="0" borderId="0" xfId="0" applyFont="1" applyAlignment="1">
      <alignment horizontal="center" vertical="center"/>
    </xf>
    <xf numFmtId="3" fontId="30" fillId="0" borderId="0" xfId="0" applyNumberFormat="1" applyFont="1" applyAlignment="1">
      <alignment horizontal="center" vertical="center"/>
    </xf>
    <xf numFmtId="2" fontId="26" fillId="0" borderId="1" xfId="0" applyNumberFormat="1" applyFont="1" applyBorder="1" applyAlignment="1">
      <alignment horizontal="center" vertical="center"/>
    </xf>
    <xf numFmtId="0" fontId="26" fillId="0" borderId="1" xfId="0" applyFont="1" applyBorder="1" applyAlignment="1">
      <alignment horizontal="left" vertical="center" wrapText="1"/>
    </xf>
    <xf numFmtId="0" fontId="29" fillId="0" borderId="1" xfId="0" applyFont="1" applyBorder="1" applyAlignment="1">
      <alignment horizontal="left" vertical="center" wrapText="1"/>
    </xf>
    <xf numFmtId="0" fontId="26" fillId="0" borderId="0" xfId="0" applyFont="1" applyAlignment="1">
      <alignment vertical="center" wrapText="1"/>
    </xf>
    <xf numFmtId="0" fontId="27" fillId="15" borderId="1" xfId="0" applyFont="1" applyFill="1" applyBorder="1" applyAlignment="1">
      <alignment horizontal="center" vertical="center" wrapText="1"/>
    </xf>
    <xf numFmtId="0" fontId="27" fillId="14" borderId="50"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wrapText="1"/>
    </xf>
    <xf numFmtId="0" fontId="34" fillId="0" borderId="0" xfId="0" applyFont="1" applyAlignment="1">
      <alignment horizontal="center" vertical="center"/>
    </xf>
    <xf numFmtId="0" fontId="35" fillId="0" borderId="0" xfId="0" applyFont="1" applyAlignment="1">
      <alignment vertical="center"/>
    </xf>
    <xf numFmtId="0" fontId="35" fillId="0" borderId="0" xfId="0" applyFont="1"/>
    <xf numFmtId="0" fontId="35" fillId="0" borderId="0" xfId="0" applyFont="1" applyAlignment="1">
      <alignment horizontal="center" wrapText="1"/>
    </xf>
    <xf numFmtId="0" fontId="35" fillId="0" borderId="0" xfId="0" applyFont="1" applyFill="1"/>
    <xf numFmtId="0" fontId="34" fillId="15" borderId="49" xfId="0" applyFont="1" applyFill="1" applyBorder="1" applyAlignment="1">
      <alignment horizontal="center" vertical="center" wrapText="1"/>
    </xf>
    <xf numFmtId="0" fontId="34" fillId="15" borderId="50" xfId="0" applyFont="1" applyFill="1" applyBorder="1" applyAlignment="1">
      <alignment horizontal="center" vertical="center" wrapText="1"/>
    </xf>
    <xf numFmtId="0" fontId="35" fillId="0" borderId="5" xfId="0" applyFont="1" applyBorder="1" applyAlignment="1">
      <alignment vertical="center" wrapText="1"/>
    </xf>
    <xf numFmtId="0" fontId="35" fillId="0" borderId="5" xfId="0" applyFont="1" applyBorder="1" applyAlignment="1">
      <alignment horizontal="center" vertical="center" wrapText="1"/>
    </xf>
    <xf numFmtId="0" fontId="35" fillId="0" borderId="5" xfId="0" applyFont="1" applyBorder="1" applyAlignment="1">
      <alignment horizontal="center" vertical="center"/>
    </xf>
    <xf numFmtId="164" fontId="35" fillId="0" borderId="5" xfId="0" applyNumberFormat="1" applyFont="1" applyBorder="1" applyAlignment="1">
      <alignment horizontal="center" vertical="center" wrapText="1"/>
    </xf>
    <xf numFmtId="2" fontId="35" fillId="0" borderId="5" xfId="0" applyNumberFormat="1" applyFont="1" applyBorder="1" applyAlignment="1">
      <alignment horizontal="center" vertical="center" wrapText="1"/>
    </xf>
    <xf numFmtId="0" fontId="35" fillId="0" borderId="5" xfId="0" applyFont="1" applyBorder="1" applyAlignment="1">
      <alignment horizontal="center"/>
    </xf>
    <xf numFmtId="0" fontId="35" fillId="0" borderId="45" xfId="0" applyFont="1" applyBorder="1" applyAlignment="1">
      <alignment horizontal="left" vertical="center" wrapText="1"/>
    </xf>
    <xf numFmtId="0" fontId="35" fillId="0" borderId="1" xfId="0" applyFont="1" applyBorder="1" applyAlignment="1">
      <alignment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164" fontId="35" fillId="0" borderId="1" xfId="0" applyNumberFormat="1" applyFont="1" applyBorder="1" applyAlignment="1">
      <alignment horizontal="center" vertical="center" wrapText="1"/>
    </xf>
    <xf numFmtId="2" fontId="35" fillId="0" borderId="1" xfId="0" applyNumberFormat="1" applyFont="1" applyBorder="1" applyAlignment="1">
      <alignment horizontal="center" vertical="center" wrapText="1"/>
    </xf>
    <xf numFmtId="0" fontId="35" fillId="0" borderId="1" xfId="0" applyFont="1" applyBorder="1" applyAlignment="1">
      <alignment horizontal="center"/>
    </xf>
    <xf numFmtId="0" fontId="35" fillId="0" borderId="25" xfId="0" applyFont="1" applyBorder="1" applyAlignment="1">
      <alignment horizontal="left" vertical="center" wrapText="1"/>
    </xf>
    <xf numFmtId="0" fontId="35" fillId="0" borderId="1" xfId="0" applyFont="1" applyBorder="1" applyAlignment="1">
      <alignment vertical="center"/>
    </xf>
    <xf numFmtId="2" fontId="35" fillId="0" borderId="2"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35" fillId="0" borderId="33" xfId="0" applyFont="1" applyBorder="1" applyAlignment="1">
      <alignment vertical="center"/>
    </xf>
    <xf numFmtId="0" fontId="35" fillId="0" borderId="33" xfId="0" applyFont="1" applyBorder="1" applyAlignment="1">
      <alignment horizontal="center" vertical="center" wrapText="1"/>
    </xf>
    <xf numFmtId="0" fontId="35" fillId="0" borderId="33" xfId="0" applyFont="1" applyBorder="1" applyAlignment="1">
      <alignment horizontal="center" vertical="center"/>
    </xf>
    <xf numFmtId="164" fontId="35" fillId="0" borderId="33" xfId="0" applyNumberFormat="1" applyFont="1" applyBorder="1" applyAlignment="1">
      <alignment horizontal="center" vertical="center" wrapText="1"/>
    </xf>
    <xf numFmtId="2" fontId="35" fillId="0" borderId="33" xfId="0" applyNumberFormat="1" applyFont="1" applyBorder="1" applyAlignment="1">
      <alignment horizontal="center" vertical="center" wrapText="1"/>
    </xf>
    <xf numFmtId="0" fontId="35" fillId="0" borderId="27" xfId="0" applyFont="1" applyBorder="1" applyAlignment="1">
      <alignment horizontal="left" vertical="center" wrapText="1"/>
    </xf>
    <xf numFmtId="0" fontId="35"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164" fontId="35" fillId="0" borderId="8" xfId="0" applyNumberFormat="1" applyFont="1" applyBorder="1" applyAlignment="1">
      <alignment horizontal="center" vertical="center" wrapText="1"/>
    </xf>
    <xf numFmtId="2" fontId="35" fillId="0" borderId="8" xfId="0" applyNumberFormat="1" applyFont="1" applyBorder="1" applyAlignment="1">
      <alignment horizontal="center" vertical="center" wrapText="1"/>
    </xf>
    <xf numFmtId="0" fontId="35" fillId="0" borderId="8" xfId="0" applyFont="1" applyBorder="1" applyAlignment="1">
      <alignment horizontal="center"/>
    </xf>
    <xf numFmtId="0" fontId="35" fillId="0" borderId="22" xfId="0" applyFont="1" applyBorder="1" applyAlignment="1">
      <alignment horizontal="left" vertical="center" wrapText="1"/>
    </xf>
    <xf numFmtId="0" fontId="35" fillId="0" borderId="33" xfId="0" applyFont="1" applyBorder="1" applyAlignment="1">
      <alignment horizontal="center"/>
    </xf>
    <xf numFmtId="0" fontId="39" fillId="0" borderId="8" xfId="2" applyFont="1" applyBorder="1" applyAlignment="1">
      <alignment vertical="center"/>
    </xf>
    <xf numFmtId="0" fontId="39" fillId="0" borderId="8" xfId="2" applyFont="1" applyFill="1" applyBorder="1" applyAlignment="1">
      <alignment horizontal="left" vertical="center"/>
    </xf>
    <xf numFmtId="0" fontId="39" fillId="0" borderId="1" xfId="2" applyFont="1" applyFill="1" applyBorder="1" applyAlignment="1">
      <alignment horizontal="left" vertical="center"/>
    </xf>
    <xf numFmtId="0" fontId="39" fillId="0" borderId="33" xfId="2" applyFont="1" applyFill="1" applyBorder="1" applyAlignment="1">
      <alignment horizontal="left" vertical="center"/>
    </xf>
    <xf numFmtId="1" fontId="35" fillId="0" borderId="8" xfId="0" applyNumberFormat="1" applyFont="1" applyBorder="1" applyAlignment="1">
      <alignment horizontal="center" vertical="center" wrapText="1"/>
    </xf>
    <xf numFmtId="1" fontId="35" fillId="0" borderId="33" xfId="0" applyNumberFormat="1" applyFont="1" applyBorder="1" applyAlignment="1">
      <alignment horizontal="center" vertical="center" wrapText="1"/>
    </xf>
    <xf numFmtId="0" fontId="35" fillId="0" borderId="2" xfId="0" applyFont="1" applyBorder="1" applyAlignment="1">
      <alignment vertical="center"/>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0" fontId="35" fillId="0" borderId="2" xfId="0" applyFont="1" applyBorder="1" applyAlignment="1">
      <alignment horizontal="center"/>
    </xf>
    <xf numFmtId="0" fontId="35" fillId="0" borderId="34" xfId="0" applyFont="1" applyBorder="1" applyAlignment="1">
      <alignment horizontal="left" vertical="center" wrapText="1"/>
    </xf>
    <xf numFmtId="11" fontId="35" fillId="0" borderId="8" xfId="0" applyNumberFormat="1" applyFont="1" applyBorder="1" applyAlignment="1">
      <alignment horizontal="center" vertical="center" wrapText="1"/>
    </xf>
    <xf numFmtId="11" fontId="35" fillId="0" borderId="33" xfId="0" applyNumberFormat="1" applyFont="1" applyBorder="1" applyAlignment="1">
      <alignment horizontal="center" vertical="center" wrapText="1"/>
    </xf>
    <xf numFmtId="2" fontId="35" fillId="0" borderId="10" xfId="0" applyNumberFormat="1" applyFont="1" applyBorder="1" applyAlignment="1">
      <alignment horizontal="center" vertical="center" wrapText="1"/>
    </xf>
    <xf numFmtId="2" fontId="35" fillId="0" borderId="11" xfId="0" applyNumberFormat="1" applyFont="1" applyBorder="1" applyAlignment="1">
      <alignment horizontal="center" vertical="center" wrapText="1"/>
    </xf>
    <xf numFmtId="0" fontId="35" fillId="0" borderId="0" xfId="0" applyFont="1" applyAlignment="1">
      <alignment horizontal="left"/>
    </xf>
    <xf numFmtId="0" fontId="35" fillId="0" borderId="0" xfId="0" applyFont="1" applyAlignment="1">
      <alignment horizontal="left" vertical="center"/>
    </xf>
    <xf numFmtId="0" fontId="35" fillId="0" borderId="0" xfId="0" applyFont="1" applyAlignment="1">
      <alignment horizontal="center" vertical="center"/>
    </xf>
    <xf numFmtId="0" fontId="34" fillId="15" borderId="1" xfId="0" applyFont="1" applyFill="1" applyBorder="1" applyAlignment="1">
      <alignment horizontal="center" vertical="center" wrapText="1"/>
    </xf>
    <xf numFmtId="0" fontId="35" fillId="0" borderId="1" xfId="0" applyFont="1" applyBorder="1" applyAlignment="1">
      <alignment wrapText="1"/>
    </xf>
    <xf numFmtId="0" fontId="35" fillId="0" borderId="1" xfId="0" applyFont="1" applyBorder="1"/>
    <xf numFmtId="0" fontId="35" fillId="13" borderId="1" xfId="0" applyFont="1" applyFill="1" applyBorder="1"/>
    <xf numFmtId="0" fontId="35" fillId="13" borderId="1" xfId="0" applyFont="1" applyFill="1" applyBorder="1" applyAlignment="1">
      <alignment horizontal="center"/>
    </xf>
    <xf numFmtId="0" fontId="35" fillId="13" borderId="1" xfId="0" applyFont="1" applyFill="1" applyBorder="1" applyAlignment="1">
      <alignment horizontal="center" vertical="center"/>
    </xf>
    <xf numFmtId="0" fontId="35" fillId="0" borderId="0" xfId="0" applyFont="1" applyAlignment="1">
      <alignment horizontal="center"/>
    </xf>
    <xf numFmtId="0" fontId="35" fillId="3" borderId="6"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9"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25" xfId="0" applyFont="1" applyFill="1" applyBorder="1" applyAlignment="1">
      <alignment horizontal="left" vertical="center" wrapText="1"/>
    </xf>
    <xf numFmtId="0" fontId="27" fillId="0" borderId="0" xfId="0" applyFont="1" applyAlignment="1">
      <alignment wrapText="1"/>
    </xf>
    <xf numFmtId="2" fontId="35" fillId="0" borderId="0" xfId="0" applyNumberFormat="1" applyFont="1"/>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center" wrapText="1"/>
    </xf>
    <xf numFmtId="0" fontId="34" fillId="3" borderId="21" xfId="0" applyFont="1" applyFill="1" applyBorder="1" applyAlignment="1">
      <alignment horizontal="center" vertical="center" wrapText="1"/>
    </xf>
    <xf numFmtId="0" fontId="34" fillId="3" borderId="0" xfId="0" applyFont="1" applyFill="1" applyAlignment="1">
      <alignment horizontal="center" vertical="center" wrapText="1"/>
    </xf>
    <xf numFmtId="0" fontId="34" fillId="3" borderId="28"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25"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5" fillId="6" borderId="1" xfId="0" applyFont="1" applyFill="1" applyBorder="1" applyAlignment="1">
      <alignment horizontal="left" vertical="center" wrapText="1"/>
    </xf>
    <xf numFmtId="0" fontId="39" fillId="0" borderId="0" xfId="0" applyFont="1" applyAlignment="1">
      <alignment horizontal="center" vertical="center" wrapText="1"/>
    </xf>
    <xf numFmtId="0" fontId="35" fillId="0" borderId="0" xfId="0" applyFont="1" applyAlignment="1">
      <alignment wrapText="1"/>
    </xf>
    <xf numFmtId="0" fontId="35" fillId="6" borderId="1" xfId="0" applyFont="1" applyFill="1" applyBorder="1" applyAlignment="1">
      <alignment vertical="center" wrapText="1"/>
    </xf>
    <xf numFmtId="0" fontId="35" fillId="0" borderId="6" xfId="0" applyFont="1" applyBorder="1" applyAlignment="1">
      <alignment vertical="center" wrapText="1"/>
    </xf>
    <xf numFmtId="0" fontId="35" fillId="0" borderId="21" xfId="0" applyFont="1" applyBorder="1" applyAlignment="1">
      <alignment vertical="center"/>
    </xf>
    <xf numFmtId="0" fontId="35" fillId="0" borderId="25" xfId="0" applyFont="1" applyBorder="1" applyAlignment="1">
      <alignment vertical="center"/>
    </xf>
    <xf numFmtId="0" fontId="34" fillId="0" borderId="0" xfId="0" applyFont="1" applyAlignment="1">
      <alignment vertical="center" wrapText="1"/>
    </xf>
    <xf numFmtId="9" fontId="35" fillId="0" borderId="0" xfId="3" applyFont="1" applyBorder="1" applyAlignment="1">
      <alignment vertical="center"/>
    </xf>
    <xf numFmtId="2" fontId="35" fillId="0" borderId="0" xfId="0" applyNumberFormat="1" applyFont="1" applyAlignment="1">
      <alignment vertical="center"/>
    </xf>
    <xf numFmtId="0" fontId="43" fillId="0" borderId="1" xfId="2" applyFont="1" applyBorder="1" applyAlignment="1">
      <alignment vertical="center" wrapText="1"/>
    </xf>
    <xf numFmtId="0" fontId="39" fillId="0" borderId="1" xfId="2" applyFont="1" applyFill="1" applyBorder="1" applyAlignment="1">
      <alignment vertical="center" wrapText="1"/>
    </xf>
    <xf numFmtId="14" fontId="35" fillId="0" borderId="1" xfId="0" applyNumberFormat="1" applyFont="1" applyBorder="1" applyAlignment="1">
      <alignment horizontal="center" vertical="center"/>
    </xf>
    <xf numFmtId="0" fontId="35" fillId="7" borderId="1" xfId="0" applyFont="1" applyFill="1" applyBorder="1" applyAlignment="1">
      <alignment horizontal="center" vertical="center"/>
    </xf>
    <xf numFmtId="0" fontId="35" fillId="0" borderId="1" xfId="0" quotePrefix="1" applyFont="1" applyBorder="1" applyAlignment="1">
      <alignment horizontal="center" vertical="center" wrapText="1"/>
    </xf>
    <xf numFmtId="0" fontId="35" fillId="0" borderId="1" xfId="0" applyFont="1" applyBorder="1" applyAlignment="1">
      <alignment horizontal="left" vertical="center" wrapText="1"/>
    </xf>
    <xf numFmtId="0" fontId="39" fillId="0" borderId="1" xfId="0" applyFont="1" applyBorder="1" applyAlignment="1">
      <alignment vertical="center"/>
    </xf>
    <xf numFmtId="0" fontId="39" fillId="0" borderId="1" xfId="0" applyFont="1" applyBorder="1" applyAlignment="1">
      <alignment vertical="center" wrapText="1"/>
    </xf>
    <xf numFmtId="0" fontId="46" fillId="0" borderId="1" xfId="2" applyFont="1" applyBorder="1" applyAlignment="1">
      <alignment vertical="center" wrapText="1"/>
    </xf>
    <xf numFmtId="0" fontId="26" fillId="3" borderId="1" xfId="0" applyFont="1" applyFill="1" applyBorder="1"/>
    <xf numFmtId="0" fontId="27" fillId="15" borderId="50" xfId="0" applyFont="1" applyFill="1" applyBorder="1" applyAlignment="1">
      <alignment horizontal="center" wrapText="1"/>
    </xf>
    <xf numFmtId="11" fontId="28" fillId="0" borderId="1" xfId="0" applyNumberFormat="1" applyFont="1" applyBorder="1" applyAlignment="1">
      <alignment horizontal="center" vertical="center" wrapText="1"/>
    </xf>
    <xf numFmtId="0" fontId="29" fillId="0" borderId="5" xfId="5" applyFont="1" applyFill="1" applyBorder="1" applyAlignment="1">
      <alignment horizontal="center" vertical="center" wrapText="1"/>
    </xf>
    <xf numFmtId="0" fontId="29" fillId="0" borderId="1" xfId="5" applyFont="1" applyFill="1" applyBorder="1" applyAlignment="1">
      <alignment horizontal="center" vertical="center" wrapText="1"/>
    </xf>
    <xf numFmtId="0" fontId="29" fillId="3" borderId="1" xfId="0" applyFont="1" applyFill="1" applyBorder="1" applyAlignment="1">
      <alignment horizontal="center" vertical="center"/>
    </xf>
    <xf numFmtId="0" fontId="26" fillId="3" borderId="5" xfId="0" applyFont="1" applyFill="1" applyBorder="1" applyAlignment="1">
      <alignment vertical="center"/>
    </xf>
    <xf numFmtId="0" fontId="26" fillId="3" borderId="1" xfId="0" applyFont="1" applyFill="1" applyBorder="1" applyAlignment="1">
      <alignment vertical="center" wrapText="1"/>
    </xf>
    <xf numFmtId="0" fontId="26" fillId="9" borderId="1" xfId="0" applyFont="1" applyFill="1" applyBorder="1" applyAlignment="1">
      <alignment vertical="center" wrapText="1"/>
    </xf>
    <xf numFmtId="0" fontId="26" fillId="9" borderId="5" xfId="0" applyFont="1" applyFill="1" applyBorder="1" applyAlignment="1">
      <alignment vertical="center" wrapText="1"/>
    </xf>
    <xf numFmtId="0" fontId="29" fillId="3" borderId="5" xfId="0" applyFont="1" applyFill="1" applyBorder="1" applyAlignment="1">
      <alignment horizontal="center" vertical="center"/>
    </xf>
    <xf numFmtId="11" fontId="28" fillId="0" borderId="5" xfId="0" applyNumberFormat="1" applyFont="1" applyBorder="1" applyAlignment="1">
      <alignment horizontal="center" vertical="center" wrapText="1"/>
    </xf>
    <xf numFmtId="0" fontId="28" fillId="15" borderId="50" xfId="0" applyFont="1" applyFill="1" applyBorder="1" applyAlignment="1">
      <alignment horizontal="center" vertical="center" wrapText="1"/>
    </xf>
    <xf numFmtId="0" fontId="28" fillId="15" borderId="50" xfId="0" applyFont="1" applyFill="1" applyBorder="1" applyAlignment="1">
      <alignment horizontal="center" vertical="center"/>
    </xf>
    <xf numFmtId="0" fontId="29" fillId="0" borderId="5" xfId="0" applyFont="1" applyBorder="1" applyAlignment="1">
      <alignment horizontal="center" vertical="center"/>
    </xf>
    <xf numFmtId="0" fontId="26" fillId="10" borderId="3" xfId="0" applyFont="1" applyFill="1" applyBorder="1" applyAlignment="1">
      <alignment wrapText="1"/>
    </xf>
    <xf numFmtId="0" fontId="35" fillId="6" borderId="0" xfId="0" applyFont="1" applyFill="1" applyAlignment="1">
      <alignment horizontal="center" vertical="center" wrapText="1"/>
    </xf>
    <xf numFmtId="0" fontId="26" fillId="3" borderId="1" xfId="0" applyFont="1" applyFill="1" applyBorder="1" applyAlignment="1">
      <alignment horizontal="left" wrapText="1"/>
    </xf>
    <xf numFmtId="11" fontId="26" fillId="0" borderId="1" xfId="0" applyNumberFormat="1" applyFont="1" applyBorder="1" applyAlignment="1">
      <alignment horizontal="center"/>
    </xf>
    <xf numFmtId="11" fontId="26" fillId="0" borderId="1" xfId="0" applyNumberFormat="1" applyFont="1" applyBorder="1" applyAlignment="1">
      <alignment horizontal="center" vertical="center"/>
    </xf>
    <xf numFmtId="0" fontId="26" fillId="10" borderId="4" xfId="0" applyFont="1" applyFill="1" applyBorder="1" applyAlignment="1">
      <alignment horizontal="center" vertical="center" wrapText="1"/>
    </xf>
    <xf numFmtId="0" fontId="26" fillId="10" borderId="9" xfId="0" applyFont="1" applyFill="1" applyBorder="1" applyAlignment="1">
      <alignment horizontal="center" vertical="center" wrapText="1"/>
    </xf>
    <xf numFmtId="0" fontId="26" fillId="3" borderId="5" xfId="0" applyFont="1" applyFill="1" applyBorder="1" applyAlignment="1">
      <alignment horizontal="left" wrapText="1"/>
    </xf>
    <xf numFmtId="11" fontId="26" fillId="0" borderId="5" xfId="0" applyNumberFormat="1" applyFont="1" applyBorder="1" applyAlignment="1">
      <alignment horizontal="center" vertical="center"/>
    </xf>
    <xf numFmtId="11" fontId="26" fillId="0" borderId="5" xfId="0" applyNumberFormat="1" applyFont="1" applyBorder="1" applyAlignment="1">
      <alignment horizontal="center"/>
    </xf>
    <xf numFmtId="0" fontId="27" fillId="15" borderId="1" xfId="0" applyFont="1" applyFill="1" applyBorder="1" applyAlignment="1">
      <alignment horizontal="center" wrapText="1"/>
    </xf>
    <xf numFmtId="0" fontId="35" fillId="0" borderId="0" xfId="0" applyFont="1" applyAlignment="1">
      <alignment horizontal="center" vertical="center" wrapText="1"/>
    </xf>
    <xf numFmtId="0" fontId="26" fillId="3" borderId="1" xfId="0" applyFont="1" applyFill="1" applyBorder="1" applyAlignment="1">
      <alignment horizontal="left"/>
    </xf>
    <xf numFmtId="0" fontId="28" fillId="15" borderId="50" xfId="0" applyFont="1" applyFill="1" applyBorder="1" applyAlignment="1">
      <alignment horizontal="center" wrapText="1"/>
    </xf>
    <xf numFmtId="2" fontId="26" fillId="3" borderId="31" xfId="0" applyNumberFormat="1" applyFont="1" applyFill="1" applyBorder="1" applyAlignment="1">
      <alignment horizontal="center"/>
    </xf>
    <xf numFmtId="2" fontId="26" fillId="3" borderId="37" xfId="0" applyNumberFormat="1" applyFont="1" applyFill="1" applyBorder="1" applyAlignment="1">
      <alignment horizontal="center"/>
    </xf>
    <xf numFmtId="2" fontId="26" fillId="3" borderId="13" xfId="0" applyNumberFormat="1" applyFont="1" applyFill="1" applyBorder="1" applyAlignment="1">
      <alignment horizontal="center"/>
    </xf>
    <xf numFmtId="2" fontId="26" fillId="3" borderId="5" xfId="0" applyNumberFormat="1" applyFont="1" applyFill="1" applyBorder="1" applyAlignment="1">
      <alignment horizontal="center"/>
    </xf>
    <xf numFmtId="2" fontId="26" fillId="3" borderId="36" xfId="0" applyNumberFormat="1" applyFont="1" applyFill="1" applyBorder="1" applyAlignment="1">
      <alignment horizontal="center"/>
    </xf>
    <xf numFmtId="2" fontId="26" fillId="3" borderId="29" xfId="0" applyNumberFormat="1" applyFont="1" applyFill="1" applyBorder="1" applyAlignment="1">
      <alignment horizontal="center"/>
    </xf>
    <xf numFmtId="0" fontId="26" fillId="3" borderId="37" xfId="0" applyFont="1" applyFill="1" applyBorder="1" applyAlignment="1">
      <alignment horizontal="left"/>
    </xf>
    <xf numFmtId="0" fontId="26" fillId="3" borderId="36" xfId="0" applyFont="1" applyFill="1" applyBorder="1" applyAlignment="1">
      <alignment horizontal="left"/>
    </xf>
    <xf numFmtId="2" fontId="26" fillId="3" borderId="1" xfId="0" applyNumberFormat="1" applyFont="1" applyFill="1" applyBorder="1" applyAlignment="1">
      <alignment horizontal="center"/>
    </xf>
    <xf numFmtId="0" fontId="34" fillId="15" borderId="50" xfId="0" applyFont="1" applyFill="1" applyBorder="1" applyAlignment="1">
      <alignment horizontal="center" vertical="center"/>
    </xf>
    <xf numFmtId="0" fontId="35" fillId="3" borderId="5" xfId="0" applyFont="1" applyFill="1" applyBorder="1" applyAlignment="1">
      <alignment vertical="center"/>
    </xf>
    <xf numFmtId="0" fontId="39" fillId="0" borderId="5" xfId="5" applyFont="1" applyFill="1" applyBorder="1" applyAlignment="1">
      <alignment horizontal="center" vertical="center" wrapText="1"/>
    </xf>
    <xf numFmtId="0" fontId="39" fillId="0" borderId="5" xfId="5" applyFont="1" applyFill="1" applyBorder="1" applyAlignment="1">
      <alignment vertical="center" wrapText="1"/>
    </xf>
    <xf numFmtId="0" fontId="35" fillId="3" borderId="1" xfId="0" applyFont="1" applyFill="1" applyBorder="1" applyAlignment="1">
      <alignment vertical="center" wrapText="1"/>
    </xf>
    <xf numFmtId="0" fontId="39" fillId="0" borderId="1" xfId="5" applyFont="1" applyFill="1" applyBorder="1" applyAlignment="1">
      <alignment horizontal="center" vertical="center" wrapText="1"/>
    </xf>
    <xf numFmtId="0" fontId="39" fillId="0" borderId="1" xfId="5" applyFont="1" applyFill="1" applyBorder="1" applyAlignment="1">
      <alignment vertical="center" wrapText="1"/>
    </xf>
    <xf numFmtId="0" fontId="36" fillId="15" borderId="50" xfId="0" applyFont="1" applyFill="1" applyBorder="1" applyAlignment="1">
      <alignment horizontal="center" vertical="center" wrapText="1"/>
    </xf>
    <xf numFmtId="0" fontId="36" fillId="15" borderId="50" xfId="0" applyFont="1" applyFill="1" applyBorder="1" applyAlignment="1">
      <alignment horizontal="center" vertical="center"/>
    </xf>
    <xf numFmtId="0" fontId="35" fillId="9" borderId="5" xfId="0" applyFont="1" applyFill="1" applyBorder="1" applyAlignment="1">
      <alignment vertical="center" wrapText="1"/>
    </xf>
    <xf numFmtId="0" fontId="39" fillId="3" borderId="5" xfId="0" applyFont="1" applyFill="1" applyBorder="1" applyAlignment="1">
      <alignment horizontal="center" vertical="center"/>
    </xf>
    <xf numFmtId="0" fontId="39" fillId="0" borderId="5" xfId="0" applyFont="1" applyBorder="1" applyAlignment="1">
      <alignment horizontal="center" vertical="center"/>
    </xf>
    <xf numFmtId="0" fontId="26" fillId="0" borderId="0" xfId="0" applyFont="1" applyBorder="1"/>
    <xf numFmtId="11" fontId="26" fillId="3" borderId="31" xfId="0" applyNumberFormat="1" applyFont="1" applyFill="1" applyBorder="1" applyAlignment="1">
      <alignment horizontal="center"/>
    </xf>
    <xf numFmtId="11" fontId="26" fillId="3" borderId="13" xfId="0" applyNumberFormat="1" applyFont="1" applyFill="1" applyBorder="1" applyAlignment="1">
      <alignment horizontal="center"/>
    </xf>
    <xf numFmtId="11" fontId="26" fillId="3" borderId="5" xfId="0" applyNumberFormat="1" applyFont="1" applyFill="1" applyBorder="1" applyAlignment="1">
      <alignment horizontal="center"/>
    </xf>
    <xf numFmtId="11" fontId="26" fillId="3" borderId="29" xfId="0" applyNumberFormat="1" applyFont="1" applyFill="1" applyBorder="1" applyAlignment="1">
      <alignment horizontal="center"/>
    </xf>
    <xf numFmtId="0" fontId="26" fillId="3" borderId="1" xfId="0" applyFont="1" applyFill="1" applyBorder="1" applyAlignment="1">
      <alignment vertical="center"/>
    </xf>
    <xf numFmtId="11" fontId="36" fillId="0" borderId="5" xfId="0" applyNumberFormat="1" applyFont="1" applyBorder="1" applyAlignment="1">
      <alignment horizontal="center" vertical="center" wrapText="1"/>
    </xf>
    <xf numFmtId="11" fontId="26" fillId="3" borderId="1" xfId="0" applyNumberFormat="1" applyFont="1" applyFill="1" applyBorder="1" applyAlignment="1">
      <alignment horizontal="center"/>
    </xf>
    <xf numFmtId="0" fontId="29" fillId="0" borderId="1" xfId="0" applyFont="1" applyBorder="1" applyAlignment="1">
      <alignment horizontal="center" vertical="center"/>
    </xf>
    <xf numFmtId="0" fontId="28" fillId="15" borderId="50" xfId="0" applyFont="1" applyFill="1" applyBorder="1" applyAlignment="1">
      <alignment horizontal="center"/>
    </xf>
    <xf numFmtId="2" fontId="29" fillId="0" borderId="1" xfId="5" applyNumberFormat="1" applyFont="1" applyFill="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center" wrapText="1"/>
    </xf>
    <xf numFmtId="0" fontId="26" fillId="3" borderId="1" xfId="0" applyFont="1" applyFill="1" applyBorder="1" applyAlignment="1">
      <alignment horizontal="center"/>
    </xf>
    <xf numFmtId="3" fontId="26" fillId="3" borderId="1" xfId="0" applyNumberFormat="1" applyFont="1" applyFill="1" applyBorder="1" applyAlignment="1">
      <alignment horizontal="center"/>
    </xf>
    <xf numFmtId="0" fontId="26" fillId="3" borderId="5" xfId="0" applyFont="1" applyFill="1" applyBorder="1" applyAlignment="1">
      <alignment horizontal="center" vertical="center"/>
    </xf>
    <xf numFmtId="0" fontId="26" fillId="3" borderId="1" xfId="0" applyFont="1" applyFill="1" applyBorder="1" applyAlignment="1">
      <alignment horizontal="center" vertical="center"/>
    </xf>
    <xf numFmtId="165" fontId="26" fillId="0" borderId="1" xfId="0" applyNumberFormat="1" applyFont="1" applyBorder="1" applyAlignment="1">
      <alignment horizontal="center" vertical="center" wrapText="1"/>
    </xf>
    <xf numFmtId="0" fontId="41" fillId="0" borderId="0" xfId="0" applyFont="1" applyAlignment="1">
      <alignment vertical="center" wrapText="1"/>
    </xf>
    <xf numFmtId="0" fontId="42" fillId="0" borderId="0" xfId="0" applyFont="1" applyAlignment="1">
      <alignment vertical="center" wrapText="1"/>
    </xf>
    <xf numFmtId="0" fontId="41" fillId="0" borderId="0" xfId="0" applyFont="1" applyAlignment="1">
      <alignment horizontal="center" vertical="center" wrapText="1"/>
    </xf>
    <xf numFmtId="0" fontId="41" fillId="0" borderId="0" xfId="0" applyFont="1" applyAlignment="1">
      <alignment horizontal="left" vertical="center" wrapText="1"/>
    </xf>
    <xf numFmtId="0" fontId="26" fillId="0" borderId="0" xfId="0" quotePrefix="1" applyFont="1" applyAlignment="1">
      <alignment horizontal="center" vertical="center" wrapText="1"/>
    </xf>
    <xf numFmtId="0" fontId="26" fillId="0" borderId="0" xfId="0" quotePrefix="1" applyFont="1" applyAlignment="1">
      <alignment horizontal="center"/>
    </xf>
    <xf numFmtId="0" fontId="41" fillId="0" borderId="0" xfId="0" applyFont="1"/>
    <xf numFmtId="9" fontId="35" fillId="0" borderId="0" xfId="3" applyFont="1" applyFill="1" applyBorder="1"/>
    <xf numFmtId="0" fontId="57" fillId="0" borderId="0" xfId="2" applyFont="1" applyFill="1" applyBorder="1" applyAlignment="1">
      <alignment wrapText="1"/>
    </xf>
    <xf numFmtId="0" fontId="29" fillId="0" borderId="0" xfId="2" applyFont="1" applyFill="1" applyBorder="1" applyAlignment="1">
      <alignment wrapText="1"/>
    </xf>
    <xf numFmtId="0" fontId="26" fillId="0" borderId="0" xfId="0" quotePrefix="1" applyFont="1" applyAlignment="1">
      <alignment wrapText="1"/>
    </xf>
    <xf numFmtId="2" fontId="41" fillId="0" borderId="0" xfId="0" applyNumberFormat="1" applyFont="1" applyAlignment="1">
      <alignment horizontal="center" vertical="center" wrapText="1"/>
    </xf>
    <xf numFmtId="14" fontId="26" fillId="0" borderId="0" xfId="0" applyNumberFormat="1" applyFont="1"/>
    <xf numFmtId="2" fontId="26" fillId="0" borderId="0" xfId="0" applyNumberFormat="1" applyFont="1" applyAlignment="1">
      <alignment horizontal="center" vertical="center" wrapText="1"/>
    </xf>
    <xf numFmtId="1" fontId="26" fillId="0" borderId="1" xfId="0" applyNumberFormat="1" applyFont="1" applyBorder="1" applyAlignment="1">
      <alignment horizontal="center" vertical="center"/>
    </xf>
    <xf numFmtId="0" fontId="55" fillId="0" borderId="37" xfId="0" applyFont="1" applyBorder="1" applyAlignment="1">
      <alignment horizontal="center" vertical="center"/>
    </xf>
    <xf numFmtId="0" fontId="55" fillId="0" borderId="0" xfId="0" applyFont="1" applyAlignment="1">
      <alignment horizontal="center" vertical="center"/>
    </xf>
    <xf numFmtId="0" fontId="30"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39" xfId="0" applyFont="1" applyBorder="1" applyAlignment="1">
      <alignment horizontal="center" vertical="center"/>
    </xf>
    <xf numFmtId="0" fontId="30" fillId="0" borderId="37" xfId="0" applyFont="1" applyBorder="1" applyAlignment="1">
      <alignment horizontal="center" vertical="center"/>
    </xf>
    <xf numFmtId="0" fontId="30" fillId="11" borderId="36" xfId="0" applyFont="1" applyFill="1" applyBorder="1" applyAlignment="1">
      <alignment horizontal="center" vertical="center" wrapText="1"/>
    </xf>
    <xf numFmtId="0" fontId="30" fillId="11" borderId="39" xfId="0" applyFont="1" applyFill="1" applyBorder="1" applyAlignment="1">
      <alignment horizontal="center" vertical="center" wrapText="1"/>
    </xf>
    <xf numFmtId="0" fontId="30" fillId="0" borderId="37" xfId="0" applyFont="1" applyBorder="1" applyAlignment="1">
      <alignment horizontal="center" vertical="center" wrapText="1"/>
    </xf>
    <xf numFmtId="0" fontId="30" fillId="0" borderId="0" xfId="0" applyFont="1" applyAlignment="1">
      <alignment horizontal="center" vertical="center" wrapText="1"/>
    </xf>
    <xf numFmtId="0" fontId="55" fillId="0" borderId="37" xfId="0" applyFont="1" applyBorder="1" applyAlignment="1">
      <alignment horizontal="center" vertical="center" wrapText="1"/>
    </xf>
    <xf numFmtId="0" fontId="55" fillId="0" borderId="0" xfId="0" applyFont="1" applyAlignment="1">
      <alignment horizontal="center" vertical="center" wrapText="1"/>
    </xf>
    <xf numFmtId="0" fontId="30" fillId="12" borderId="5" xfId="0" applyFont="1" applyFill="1" applyBorder="1" applyAlignment="1">
      <alignment horizontal="left" vertical="center" wrapText="1"/>
    </xf>
    <xf numFmtId="0" fontId="30" fillId="12" borderId="5" xfId="0" applyFont="1" applyFill="1" applyBorder="1" applyAlignment="1">
      <alignment horizontal="left" vertical="center"/>
    </xf>
    <xf numFmtId="1" fontId="26" fillId="0" borderId="5" xfId="0" applyNumberFormat="1" applyFont="1" applyBorder="1" applyAlignment="1">
      <alignment horizontal="center" vertical="center"/>
    </xf>
    <xf numFmtId="0" fontId="55" fillId="16" borderId="55" xfId="0" applyFont="1" applyFill="1" applyBorder="1" applyAlignment="1">
      <alignment horizontal="center" vertical="center" wrapText="1"/>
    </xf>
    <xf numFmtId="0" fontId="55" fillId="16" borderId="50" xfId="0" applyFont="1" applyFill="1" applyBorder="1" applyAlignment="1">
      <alignment horizontal="center" vertical="center" wrapText="1"/>
    </xf>
    <xf numFmtId="0" fontId="30" fillId="0" borderId="29" xfId="0" applyFont="1" applyBorder="1" applyAlignment="1">
      <alignment horizontal="center" vertical="top" wrapText="1"/>
    </xf>
    <xf numFmtId="0" fontId="55" fillId="16" borderId="5" xfId="0" applyFont="1" applyFill="1" applyBorder="1" applyAlignment="1">
      <alignment horizontal="left" vertical="center" wrapText="1"/>
    </xf>
    <xf numFmtId="0" fontId="30" fillId="16" borderId="60" xfId="0" applyFont="1" applyFill="1" applyBorder="1" applyAlignment="1">
      <alignment horizontal="center" vertical="center" wrapText="1"/>
    </xf>
    <xf numFmtId="0" fontId="26" fillId="0" borderId="0" xfId="0" applyFont="1" applyBorder="1" applyAlignment="1">
      <alignment vertical="center" wrapText="1"/>
    </xf>
    <xf numFmtId="0" fontId="26" fillId="0" borderId="0" xfId="0" applyFont="1" applyBorder="1" applyAlignment="1">
      <alignment horizontal="center" vertical="center" wrapText="1"/>
    </xf>
    <xf numFmtId="0" fontId="29" fillId="0" borderId="0" xfId="5" applyFont="1" applyFill="1" applyBorder="1" applyAlignment="1">
      <alignment horizontal="center" vertical="center" wrapText="1"/>
    </xf>
    <xf numFmtId="0" fontId="29" fillId="0" borderId="0" xfId="5" applyFont="1" applyFill="1" applyBorder="1" applyAlignment="1">
      <alignment horizontal="left" vertical="center" wrapText="1"/>
    </xf>
    <xf numFmtId="0" fontId="27" fillId="15" borderId="1" xfId="0" applyFont="1" applyFill="1" applyBorder="1" applyAlignment="1">
      <alignment horizontal="left" vertical="center" wrapText="1"/>
    </xf>
    <xf numFmtId="0" fontId="27" fillId="15" borderId="5" xfId="0" applyFont="1" applyFill="1" applyBorder="1" applyAlignment="1">
      <alignment horizontal="left" vertical="center" wrapText="1"/>
    </xf>
    <xf numFmtId="0" fontId="26" fillId="15" borderId="60" xfId="0" applyFont="1" applyFill="1" applyBorder="1" applyAlignment="1">
      <alignment wrapText="1"/>
    </xf>
    <xf numFmtId="0" fontId="26" fillId="0" borderId="0" xfId="0" quotePrefix="1" applyFont="1" applyAlignment="1">
      <alignment vertical="center" wrapText="1"/>
    </xf>
    <xf numFmtId="0" fontId="26" fillId="0" borderId="0" xfId="0" quotePrefix="1" applyFont="1"/>
    <xf numFmtId="0" fontId="30" fillId="12" borderId="5" xfId="0" applyFont="1" applyFill="1" applyBorder="1" applyAlignment="1">
      <alignment wrapText="1"/>
    </xf>
    <xf numFmtId="9" fontId="35" fillId="0" borderId="0" xfId="3" applyFont="1" applyFill="1" applyBorder="1" applyAlignment="1"/>
    <xf numFmtId="0" fontId="30" fillId="0" borderId="0" xfId="0" applyFont="1"/>
    <xf numFmtId="0" fontId="55" fillId="0" borderId="37" xfId="0" applyFont="1" applyBorder="1"/>
    <xf numFmtId="0" fontId="55" fillId="0" borderId="0" xfId="0" applyFont="1"/>
    <xf numFmtId="0" fontId="30" fillId="0" borderId="37" xfId="0" applyFont="1" applyBorder="1"/>
    <xf numFmtId="0" fontId="30" fillId="11" borderId="36" xfId="0" applyFont="1" applyFill="1" applyBorder="1" applyAlignment="1">
      <alignment wrapText="1"/>
    </xf>
    <xf numFmtId="0" fontId="30" fillId="11" borderId="39" xfId="0" applyFont="1" applyFill="1" applyBorder="1" applyAlignment="1">
      <alignment wrapText="1"/>
    </xf>
    <xf numFmtId="0" fontId="30" fillId="0" borderId="37" xfId="0" applyFont="1" applyBorder="1" applyAlignment="1">
      <alignment wrapText="1"/>
    </xf>
    <xf numFmtId="0" fontId="30" fillId="0" borderId="0" xfId="0" applyFont="1" applyAlignment="1">
      <alignment wrapText="1"/>
    </xf>
    <xf numFmtId="0" fontId="55" fillId="0" borderId="37" xfId="0" applyFont="1" applyBorder="1" applyAlignment="1">
      <alignment wrapText="1"/>
    </xf>
    <xf numFmtId="0" fontId="55" fillId="0" borderId="0" xfId="0" applyFont="1" applyAlignment="1">
      <alignment wrapText="1"/>
    </xf>
    <xf numFmtId="0" fontId="30" fillId="12" borderId="5" xfId="0" applyFont="1" applyFill="1" applyBorder="1"/>
    <xf numFmtId="2" fontId="41" fillId="0" borderId="0" xfId="0" applyNumberFormat="1" applyFont="1" applyAlignment="1">
      <alignment vertical="center" wrapText="1"/>
    </xf>
    <xf numFmtId="2" fontId="26" fillId="0" borderId="0" xfId="0" applyNumberFormat="1" applyFont="1" applyAlignment="1">
      <alignment vertical="center" wrapText="1"/>
    </xf>
    <xf numFmtId="0" fontId="41" fillId="0" borderId="0" xfId="0" applyFont="1" applyAlignment="1">
      <alignment horizontal="center" vertical="center"/>
    </xf>
    <xf numFmtId="0" fontId="27" fillId="0" borderId="0" xfId="0" applyFont="1" applyAlignment="1">
      <alignment horizontal="center" vertical="center" wrapText="1"/>
    </xf>
    <xf numFmtId="0" fontId="30" fillId="16" borderId="60" xfId="0" applyFont="1" applyFill="1" applyBorder="1" applyAlignment="1">
      <alignment horizontal="center" wrapText="1"/>
    </xf>
    <xf numFmtId="0" fontId="55" fillId="16" borderId="5" xfId="0" applyFont="1" applyFill="1" applyBorder="1" applyAlignment="1">
      <alignment vertical="center" wrapText="1"/>
    </xf>
    <xf numFmtId="0" fontId="30" fillId="11" borderId="39" xfId="0" applyFont="1" applyFill="1" applyBorder="1" applyAlignment="1">
      <alignment horizontal="center" wrapText="1"/>
    </xf>
    <xf numFmtId="0" fontId="55" fillId="16" borderId="5" xfId="0" applyFont="1" applyFill="1" applyBorder="1" applyAlignment="1">
      <alignment horizontal="center" wrapText="1"/>
    </xf>
    <xf numFmtId="2" fontId="35" fillId="0" borderId="0" xfId="0" applyNumberFormat="1" applyFont="1" applyBorder="1" applyAlignment="1">
      <alignment horizontal="center" vertical="center" wrapText="1"/>
    </xf>
    <xf numFmtId="0" fontId="7" fillId="0" borderId="0" xfId="0" applyFont="1" applyFill="1"/>
    <xf numFmtId="0" fontId="35" fillId="0" borderId="0" xfId="0" applyFont="1" applyFill="1" applyAlignment="1">
      <alignment horizontal="center" vertical="center" wrapText="1"/>
    </xf>
    <xf numFmtId="0" fontId="35" fillId="0" borderId="0" xfId="0" applyFont="1" applyFill="1" applyAlignment="1">
      <alignment vertical="center" wrapText="1"/>
    </xf>
    <xf numFmtId="0" fontId="35" fillId="0" borderId="0" xfId="0" applyFont="1" applyFill="1" applyAlignment="1">
      <alignment horizontal="left" vertical="center" wrapText="1"/>
    </xf>
    <xf numFmtId="0" fontId="35" fillId="0" borderId="54" xfId="0" applyFont="1" applyFill="1" applyBorder="1" applyAlignment="1">
      <alignment vertical="center" wrapText="1"/>
    </xf>
    <xf numFmtId="0" fontId="35" fillId="0" borderId="39" xfId="0" applyFont="1" applyFill="1" applyBorder="1" applyAlignment="1">
      <alignment vertical="center" wrapText="1"/>
    </xf>
    <xf numFmtId="0" fontId="26" fillId="0" borderId="5" xfId="0" applyFont="1" applyBorder="1" applyAlignment="1">
      <alignment horizontal="left" vertical="center" wrapText="1"/>
    </xf>
    <xf numFmtId="49" fontId="20" fillId="0" borderId="0" xfId="0" quotePrefix="1" applyNumberFormat="1" applyFont="1" applyAlignment="1">
      <alignment horizontal="center"/>
    </xf>
    <xf numFmtId="0" fontId="19" fillId="0" borderId="0" xfId="0" applyFont="1" applyAlignment="1">
      <alignment horizontal="center" vertical="center" wrapText="1"/>
    </xf>
    <xf numFmtId="0" fontId="17" fillId="0" borderId="0" xfId="0" applyFont="1" applyAlignment="1">
      <alignment horizontal="center"/>
    </xf>
    <xf numFmtId="0" fontId="18" fillId="0" borderId="0" xfId="0" quotePrefix="1" applyFont="1" applyAlignment="1">
      <alignment horizontal="center"/>
    </xf>
    <xf numFmtId="0" fontId="19" fillId="0" borderId="0" xfId="0" applyFont="1" applyAlignment="1">
      <alignment horizontal="center" vertical="center"/>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0" xfId="0" applyFill="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20" xfId="0" applyFill="1" applyBorder="1" applyAlignment="1">
      <alignment horizontal="center" vertical="center" wrapText="1"/>
    </xf>
    <xf numFmtId="0" fontId="22" fillId="3" borderId="0" xfId="0" applyFont="1" applyFill="1" applyAlignment="1">
      <alignment vertical="center" wrapText="1"/>
    </xf>
    <xf numFmtId="0" fontId="35" fillId="3" borderId="0" xfId="0" applyFont="1" applyFill="1" applyAlignment="1">
      <alignment horizontal="left" vertical="center"/>
    </xf>
    <xf numFmtId="0" fontId="35" fillId="3" borderId="12" xfId="0" applyFont="1" applyFill="1" applyBorder="1" applyAlignment="1">
      <alignment horizontal="left" vertical="center"/>
    </xf>
    <xf numFmtId="0" fontId="35" fillId="0" borderId="0" xfId="0" applyFont="1" applyAlignment="1">
      <alignment horizontal="center" vertical="center"/>
    </xf>
    <xf numFmtId="0" fontId="35" fillId="0" borderId="12" xfId="0" applyFont="1" applyBorder="1" applyAlignment="1">
      <alignment horizontal="center" vertical="center"/>
    </xf>
    <xf numFmtId="0" fontId="36" fillId="15" borderId="10" xfId="0" applyFont="1" applyFill="1" applyBorder="1" applyAlignment="1">
      <alignment horizontal="center" vertical="center" wrapText="1"/>
    </xf>
    <xf numFmtId="0" fontId="36" fillId="15" borderId="11" xfId="0" applyFont="1" applyFill="1" applyBorder="1" applyAlignment="1">
      <alignment horizontal="center" vertical="center" wrapText="1"/>
    </xf>
    <xf numFmtId="0" fontId="36" fillId="15" borderId="1" xfId="0" applyFont="1" applyFill="1" applyBorder="1" applyAlignment="1">
      <alignment horizontal="center" vertical="center" wrapText="1"/>
    </xf>
    <xf numFmtId="0" fontId="34" fillId="15" borderId="32" xfId="0" applyFont="1" applyFill="1" applyBorder="1" applyAlignment="1">
      <alignment horizontal="center" vertical="center" wrapText="1"/>
    </xf>
    <xf numFmtId="0" fontId="34" fillId="15" borderId="30" xfId="0" applyFont="1" applyFill="1" applyBorder="1" applyAlignment="1">
      <alignment horizontal="center" vertical="center" wrapText="1"/>
    </xf>
    <xf numFmtId="0" fontId="34" fillId="15" borderId="52" xfId="0" applyFont="1" applyFill="1" applyBorder="1" applyAlignment="1">
      <alignment horizontal="center" vertical="center" wrapText="1"/>
    </xf>
    <xf numFmtId="0" fontId="34" fillId="15" borderId="7" xfId="0" applyFont="1" applyFill="1" applyBorder="1" applyAlignment="1">
      <alignment horizontal="center" vertical="center" wrapText="1"/>
    </xf>
    <xf numFmtId="0" fontId="34" fillId="15" borderId="51" xfId="0" applyFont="1" applyFill="1" applyBorder="1" applyAlignment="1">
      <alignment horizontal="center" vertical="center" wrapText="1"/>
    </xf>
    <xf numFmtId="0" fontId="36" fillId="15" borderId="9" xfId="0" applyFont="1" applyFill="1" applyBorder="1" applyAlignment="1">
      <alignment horizontal="center" vertical="center" wrapText="1"/>
    </xf>
    <xf numFmtId="0" fontId="36" fillId="15" borderId="3" xfId="0" applyFont="1" applyFill="1" applyBorder="1" applyAlignment="1">
      <alignment horizontal="center" vertical="center" wrapText="1"/>
    </xf>
    <xf numFmtId="0" fontId="36" fillId="15" borderId="8" xfId="0" applyFont="1" applyFill="1" applyBorder="1" applyAlignment="1">
      <alignment horizontal="center" vertical="center" wrapText="1"/>
    </xf>
    <xf numFmtId="0" fontId="34" fillId="15" borderId="15" xfId="0" applyFont="1" applyFill="1" applyBorder="1" applyAlignment="1">
      <alignment horizontal="center" vertical="center" wrapText="1"/>
    </xf>
    <xf numFmtId="0" fontId="34" fillId="15" borderId="47" xfId="0" applyFont="1" applyFill="1" applyBorder="1" applyAlignment="1">
      <alignment horizontal="center" vertical="center" wrapText="1"/>
    </xf>
    <xf numFmtId="0" fontId="36" fillId="15" borderId="9" xfId="0" applyFont="1" applyFill="1" applyBorder="1" applyAlignment="1">
      <alignment horizontal="center" vertical="center"/>
    </xf>
    <xf numFmtId="0" fontId="34" fillId="15" borderId="48" xfId="0" applyFont="1" applyFill="1" applyBorder="1" applyAlignment="1">
      <alignment horizontal="center" vertical="center" wrapText="1"/>
    </xf>
    <xf numFmtId="0" fontId="36" fillId="15" borderId="1" xfId="0" applyFont="1" applyFill="1" applyBorder="1" applyAlignment="1">
      <alignment horizontal="center" vertical="center"/>
    </xf>
    <xf numFmtId="0" fontId="35" fillId="0" borderId="23" xfId="0" applyFont="1" applyBorder="1" applyAlignment="1">
      <alignment horizontal="left" vertical="center"/>
    </xf>
    <xf numFmtId="0" fontId="35" fillId="0" borderId="24" xfId="0" applyFont="1" applyBorder="1" applyAlignment="1">
      <alignment horizontal="left" vertical="center"/>
    </xf>
    <xf numFmtId="0" fontId="35" fillId="0" borderId="26" xfId="0" applyFont="1" applyBorder="1" applyAlignment="1">
      <alignment horizontal="left" vertical="center"/>
    </xf>
    <xf numFmtId="0" fontId="36" fillId="15" borderId="7" xfId="0" applyFont="1" applyFill="1" applyBorder="1" applyAlignment="1">
      <alignment horizontal="center" vertical="center" wrapText="1"/>
    </xf>
    <xf numFmtId="0" fontId="36" fillId="15" borderId="31" xfId="0" applyFont="1" applyFill="1" applyBorder="1" applyAlignment="1">
      <alignment horizontal="center" vertical="center" wrapText="1"/>
    </xf>
    <xf numFmtId="0" fontId="36" fillId="15" borderId="46" xfId="0" applyFont="1" applyFill="1" applyBorder="1" applyAlignment="1">
      <alignment horizontal="center" vertical="center" wrapText="1"/>
    </xf>
    <xf numFmtId="0" fontId="35" fillId="0" borderId="44" xfId="0" applyFont="1" applyBorder="1" applyAlignment="1">
      <alignment horizontal="left" vertical="center"/>
    </xf>
    <xf numFmtId="0" fontId="44" fillId="0" borderId="0" xfId="0" applyFont="1" applyBorder="1" applyAlignment="1">
      <alignment horizontal="left" vertical="center"/>
    </xf>
    <xf numFmtId="0" fontId="44" fillId="0" borderId="12" xfId="0" applyFont="1" applyBorder="1" applyAlignment="1">
      <alignment horizontal="left" vertical="center"/>
    </xf>
    <xf numFmtId="0" fontId="35" fillId="0" borderId="28" xfId="0" applyFont="1" applyBorder="1" applyAlignment="1">
      <alignment horizontal="left" vertical="center"/>
    </xf>
    <xf numFmtId="0" fontId="44" fillId="0" borderId="0" xfId="0" applyFont="1" applyAlignment="1">
      <alignment horizontal="left" vertical="center"/>
    </xf>
    <xf numFmtId="0" fontId="44" fillId="0" borderId="39" xfId="0" applyFont="1" applyBorder="1" applyAlignment="1">
      <alignment horizontal="left" vertical="center"/>
    </xf>
    <xf numFmtId="0" fontId="26" fillId="0" borderId="0" xfId="0" applyFont="1" applyAlignment="1">
      <alignment horizontal="left"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5" xfId="0" applyFont="1" applyBorder="1" applyAlignment="1">
      <alignment horizontal="center" vertical="center"/>
    </xf>
    <xf numFmtId="0" fontId="28" fillId="15" borderId="61" xfId="0" applyFont="1" applyFill="1" applyBorder="1" applyAlignment="1">
      <alignment horizontal="center" vertical="center"/>
    </xf>
    <xf numFmtId="0" fontId="28" fillId="15" borderId="49" xfId="0" applyFont="1" applyFill="1" applyBorder="1" applyAlignment="1">
      <alignment horizontal="center" vertical="center"/>
    </xf>
    <xf numFmtId="0" fontId="26" fillId="0" borderId="2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9" xfId="0" applyFont="1" applyBorder="1" applyAlignment="1">
      <alignment horizontal="center" vertical="center" wrapText="1"/>
    </xf>
    <xf numFmtId="0" fontId="34" fillId="15" borderId="2" xfId="0" applyFont="1" applyFill="1" applyBorder="1" applyAlignment="1">
      <alignment horizontal="center" vertical="center" wrapText="1"/>
    </xf>
    <xf numFmtId="0" fontId="34" fillId="15" borderId="5"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34" fillId="15" borderId="9" xfId="0" applyFont="1" applyFill="1" applyBorder="1" applyAlignment="1">
      <alignment horizontal="center" vertical="center" wrapText="1"/>
    </xf>
    <xf numFmtId="0" fontId="34" fillId="15" borderId="1" xfId="0" applyFont="1" applyFill="1" applyBorder="1" applyAlignment="1">
      <alignment horizontal="center" vertical="center" wrapText="1"/>
    </xf>
    <xf numFmtId="0" fontId="45" fillId="2" borderId="3" xfId="2" applyFont="1" applyFill="1" applyBorder="1" applyAlignment="1">
      <alignment horizontal="left" vertical="center" wrapText="1"/>
    </xf>
    <xf numFmtId="0" fontId="45" fillId="2" borderId="4" xfId="2" applyFont="1" applyFill="1" applyBorder="1" applyAlignment="1">
      <alignment horizontal="left" vertical="center" wrapText="1"/>
    </xf>
    <xf numFmtId="0" fontId="45" fillId="2" borderId="9" xfId="2" applyFont="1" applyFill="1" applyBorder="1" applyAlignment="1">
      <alignment horizontal="left" vertical="center" wrapText="1"/>
    </xf>
    <xf numFmtId="0" fontId="35" fillId="4" borderId="3"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53"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6" fillId="15" borderId="50" xfId="0" applyFont="1" applyFill="1" applyBorder="1" applyAlignment="1">
      <alignment horizontal="center" vertical="center" wrapText="1"/>
    </xf>
    <xf numFmtId="0" fontId="36" fillId="15" borderId="50" xfId="0" applyFont="1" applyFill="1" applyBorder="1" applyAlignment="1">
      <alignment horizontal="center" vertical="center"/>
    </xf>
    <xf numFmtId="0" fontId="36" fillId="15" borderId="1" xfId="0" applyFont="1" applyFill="1" applyBorder="1" applyAlignment="1">
      <alignment horizontal="center" wrapText="1"/>
    </xf>
    <xf numFmtId="0" fontId="35" fillId="0" borderId="5" xfId="0" applyFont="1" applyBorder="1" applyAlignment="1">
      <alignment horizontal="center" vertical="center" wrapText="1"/>
    </xf>
    <xf numFmtId="0" fontId="35" fillId="0" borderId="1" xfId="0" applyFont="1" applyBorder="1" applyAlignment="1">
      <alignment horizontal="center" vertical="center" wrapText="1"/>
    </xf>
    <xf numFmtId="0" fontId="27" fillId="15" borderId="1" xfId="0" applyFont="1" applyFill="1" applyBorder="1" applyAlignment="1">
      <alignment horizontal="center"/>
    </xf>
    <xf numFmtId="0" fontId="27" fillId="15" borderId="60" xfId="0" applyFont="1" applyFill="1" applyBorder="1" applyAlignment="1">
      <alignment horizontal="center" vertical="center"/>
    </xf>
    <xf numFmtId="0" fontId="27" fillId="15" borderId="61" xfId="0" applyFont="1" applyFill="1" applyBorder="1" applyAlignment="1">
      <alignment horizontal="center" vertical="center"/>
    </xf>
    <xf numFmtId="0" fontId="27" fillId="15" borderId="49" xfId="0" applyFont="1" applyFill="1" applyBorder="1" applyAlignment="1">
      <alignment horizontal="center" vertical="center"/>
    </xf>
    <xf numFmtId="0" fontId="27" fillId="15" borderId="3" xfId="0" applyFont="1" applyFill="1" applyBorder="1" applyAlignment="1">
      <alignment horizontal="center" vertical="center" wrapText="1"/>
    </xf>
    <xf numFmtId="0" fontId="27" fillId="15" borderId="4"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7" fillId="15" borderId="2" xfId="0" applyFont="1" applyFill="1" applyBorder="1" applyAlignment="1">
      <alignment horizontal="center" vertical="center" wrapText="1"/>
    </xf>
    <xf numFmtId="0" fontId="27" fillId="15" borderId="46" xfId="0" applyFont="1" applyFill="1" applyBorder="1" applyAlignment="1">
      <alignment horizontal="center" vertical="center" wrapText="1"/>
    </xf>
    <xf numFmtId="0" fontId="44" fillId="3" borderId="0" xfId="0" applyFont="1" applyFill="1" applyBorder="1" applyAlignment="1">
      <alignment horizontal="left" vertical="center"/>
    </xf>
    <xf numFmtId="0" fontId="44" fillId="3" borderId="57" xfId="0" applyFont="1" applyFill="1" applyBorder="1" applyAlignment="1">
      <alignment horizontal="left" vertical="center"/>
    </xf>
    <xf numFmtId="0" fontId="44" fillId="3" borderId="39" xfId="0" applyFont="1" applyFill="1" applyBorder="1" applyAlignment="1">
      <alignment horizontal="left" vertical="center"/>
    </xf>
    <xf numFmtId="0" fontId="44" fillId="3" borderId="56" xfId="0" applyFont="1" applyFill="1" applyBorder="1" applyAlignment="1">
      <alignment horizontal="left" vertical="center"/>
    </xf>
    <xf numFmtId="0" fontId="27" fillId="15" borderId="1" xfId="0" applyFont="1" applyFill="1" applyBorder="1" applyAlignment="1">
      <alignment horizontal="center" wrapText="1"/>
    </xf>
    <xf numFmtId="0" fontId="27" fillId="15" borderId="2" xfId="0" applyFont="1" applyFill="1" applyBorder="1" applyAlignment="1">
      <alignment horizontal="center"/>
    </xf>
    <xf numFmtId="0" fontId="27" fillId="15" borderId="21" xfId="0" applyFont="1" applyFill="1" applyBorder="1" applyAlignment="1">
      <alignment horizontal="center" vertical="center"/>
    </xf>
    <xf numFmtId="0" fontId="27" fillId="15" borderId="13" xfId="0" applyFont="1" applyFill="1" applyBorder="1" applyAlignment="1">
      <alignment horizontal="center" vertical="center"/>
    </xf>
    <xf numFmtId="0" fontId="27" fillId="15" borderId="55" xfId="0" applyFont="1" applyFill="1" applyBorder="1" applyAlignment="1">
      <alignment horizontal="center" vertical="center"/>
    </xf>
    <xf numFmtId="0" fontId="27" fillId="15" borderId="3" xfId="0" applyFont="1" applyFill="1" applyBorder="1" applyAlignment="1">
      <alignment horizontal="center"/>
    </xf>
    <xf numFmtId="0" fontId="27" fillId="15" borderId="9" xfId="0" applyFont="1" applyFill="1" applyBorder="1" applyAlignment="1">
      <alignment horizontal="center"/>
    </xf>
    <xf numFmtId="0" fontId="27" fillId="15" borderId="1" xfId="0" applyFont="1" applyFill="1" applyBorder="1" applyAlignment="1">
      <alignment horizontal="center" vertical="center"/>
    </xf>
    <xf numFmtId="0" fontId="28" fillId="15" borderId="1" xfId="0" applyFont="1" applyFill="1" applyBorder="1" applyAlignment="1">
      <alignment horizontal="center" vertical="center" wrapText="1"/>
    </xf>
    <xf numFmtId="0" fontId="28" fillId="15" borderId="50" xfId="0" applyFont="1" applyFill="1" applyBorder="1" applyAlignment="1">
      <alignment horizontal="center" vertical="center" wrapText="1"/>
    </xf>
    <xf numFmtId="0" fontId="28" fillId="15" borderId="1" xfId="0" applyFont="1" applyFill="1" applyBorder="1" applyAlignment="1">
      <alignment horizontal="center" vertical="center"/>
    </xf>
    <xf numFmtId="0" fontId="28" fillId="15" borderId="50" xfId="0" applyFont="1" applyFill="1" applyBorder="1" applyAlignment="1">
      <alignment horizontal="center" vertical="center"/>
    </xf>
    <xf numFmtId="0" fontId="35" fillId="0" borderId="3" xfId="0" applyFont="1" applyBorder="1" applyAlignment="1">
      <alignment horizontal="center" vertical="center" wrapText="1"/>
    </xf>
    <xf numFmtId="0" fontId="35" fillId="0" borderId="9" xfId="0" applyFont="1" applyBorder="1" applyAlignment="1">
      <alignment horizontal="center" vertical="center" wrapText="1"/>
    </xf>
    <xf numFmtId="0" fontId="29" fillId="0" borderId="1" xfId="5" applyFont="1" applyFill="1" applyBorder="1" applyAlignment="1">
      <alignment horizontal="left" vertical="center" wrapText="1"/>
    </xf>
    <xf numFmtId="0" fontId="27" fillId="15" borderId="60" xfId="0" applyFont="1" applyFill="1" applyBorder="1" applyAlignment="1">
      <alignment horizontal="center" vertical="top"/>
    </xf>
    <xf numFmtId="0" fontId="27" fillId="15" borderId="61" xfId="0" applyFont="1" applyFill="1" applyBorder="1" applyAlignment="1">
      <alignment horizontal="center" vertical="top"/>
    </xf>
    <xf numFmtId="0" fontId="28" fillId="15" borderId="2" xfId="0" applyFont="1" applyFill="1" applyBorder="1" applyAlignment="1">
      <alignment horizontal="center" vertical="center"/>
    </xf>
    <xf numFmtId="0" fontId="28" fillId="15" borderId="46" xfId="0" applyFont="1" applyFill="1" applyBorder="1" applyAlignment="1">
      <alignment horizontal="center" vertical="center"/>
    </xf>
    <xf numFmtId="0" fontId="28" fillId="15" borderId="2" xfId="0" applyFont="1" applyFill="1" applyBorder="1" applyAlignment="1">
      <alignment horizontal="center" vertical="center" wrapText="1"/>
    </xf>
    <xf numFmtId="0" fontId="28" fillId="15" borderId="46"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29" fillId="0" borderId="36" xfId="5" applyFont="1" applyFill="1" applyBorder="1" applyAlignment="1">
      <alignment horizontal="center" vertical="center" wrapText="1"/>
    </xf>
    <xf numFmtId="0" fontId="29" fillId="0" borderId="29" xfId="5" applyFont="1" applyFill="1" applyBorder="1" applyAlignment="1">
      <alignment horizontal="center" vertical="center" wrapText="1"/>
    </xf>
    <xf numFmtId="0" fontId="29" fillId="0" borderId="1" xfId="5" applyFont="1" applyFill="1" applyBorder="1" applyAlignment="1">
      <alignment horizontal="left" vertical="top" wrapText="1"/>
    </xf>
    <xf numFmtId="0" fontId="29" fillId="0" borderId="58" xfId="5" applyFont="1" applyFill="1" applyBorder="1" applyAlignment="1">
      <alignment horizontal="left" vertical="center" wrapText="1"/>
    </xf>
    <xf numFmtId="0" fontId="29" fillId="0" borderId="59" xfId="5" applyFont="1" applyFill="1" applyBorder="1" applyAlignment="1">
      <alignment horizontal="left" vertical="center" wrapText="1"/>
    </xf>
    <xf numFmtId="0" fontId="27" fillId="15" borderId="50" xfId="0" applyFont="1" applyFill="1" applyBorder="1" applyAlignment="1">
      <alignment horizontal="center" vertical="center"/>
    </xf>
    <xf numFmtId="0" fontId="26" fillId="0" borderId="5" xfId="0" applyFont="1" applyBorder="1" applyAlignment="1">
      <alignment horizontal="center" vertical="center" wrapText="1"/>
    </xf>
    <xf numFmtId="0" fontId="29" fillId="0" borderId="5" xfId="5" applyFont="1" applyFill="1" applyBorder="1" applyAlignment="1">
      <alignment horizontal="left" vertical="center" wrapText="1"/>
    </xf>
    <xf numFmtId="0" fontId="35" fillId="0" borderId="0" xfId="0" applyFont="1" applyAlignment="1">
      <alignment horizontal="center" vertical="center" wrapText="1"/>
    </xf>
    <xf numFmtId="0" fontId="55" fillId="16" borderId="60" xfId="0" applyFont="1" applyFill="1" applyBorder="1" applyAlignment="1">
      <alignment horizontal="center" vertical="center"/>
    </xf>
    <xf numFmtId="0" fontId="55" fillId="16" borderId="61" xfId="0" applyFont="1" applyFill="1" applyBorder="1" applyAlignment="1">
      <alignment horizontal="center" vertical="center"/>
    </xf>
    <xf numFmtId="0" fontId="55" fillId="16" borderId="49" xfId="0" applyFont="1" applyFill="1" applyBorder="1" applyAlignment="1">
      <alignment horizontal="center" vertical="center"/>
    </xf>
    <xf numFmtId="0" fontId="55" fillId="16" borderId="61" xfId="0" applyFont="1" applyFill="1" applyBorder="1" applyAlignment="1">
      <alignment horizontal="center" vertical="center" wrapText="1"/>
    </xf>
    <xf numFmtId="0" fontId="55" fillId="16" borderId="49" xfId="0" applyFont="1" applyFill="1" applyBorder="1" applyAlignment="1">
      <alignment horizontal="center" vertical="center" wrapText="1"/>
    </xf>
    <xf numFmtId="0" fontId="55" fillId="16" borderId="2" xfId="0" applyFont="1" applyFill="1" applyBorder="1" applyAlignment="1">
      <alignment horizontal="center" vertical="center" wrapText="1"/>
    </xf>
    <xf numFmtId="0" fontId="55" fillId="16" borderId="46" xfId="0" applyFont="1" applyFill="1" applyBorder="1" applyAlignment="1">
      <alignment horizontal="center" vertical="center" wrapText="1"/>
    </xf>
    <xf numFmtId="0" fontId="55" fillId="16" borderId="3" xfId="0" applyFont="1" applyFill="1" applyBorder="1" applyAlignment="1">
      <alignment horizontal="center" vertical="center" wrapText="1"/>
    </xf>
    <xf numFmtId="0" fontId="55" fillId="16" borderId="4"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5" fillId="16" borderId="3" xfId="0" applyFont="1" applyFill="1" applyBorder="1" applyAlignment="1">
      <alignment horizontal="center" wrapText="1"/>
    </xf>
    <xf numFmtId="0" fontId="55" fillId="16" borderId="4" xfId="0" applyFont="1" applyFill="1" applyBorder="1" applyAlignment="1">
      <alignment horizontal="center" wrapText="1"/>
    </xf>
    <xf numFmtId="0" fontId="55" fillId="16" borderId="9" xfId="0" applyFont="1" applyFill="1" applyBorder="1" applyAlignment="1">
      <alignment horizontal="center" wrapText="1"/>
    </xf>
    <xf numFmtId="0" fontId="55" fillId="16" borderId="60" xfId="0" applyFont="1" applyFill="1" applyBorder="1" applyAlignment="1">
      <alignment horizontal="center"/>
    </xf>
    <xf numFmtId="0" fontId="55" fillId="16" borderId="61" xfId="0" applyFont="1" applyFill="1" applyBorder="1" applyAlignment="1">
      <alignment horizontal="center"/>
    </xf>
    <xf numFmtId="0" fontId="55" fillId="16" borderId="49" xfId="0" applyFont="1" applyFill="1" applyBorder="1" applyAlignment="1">
      <alignment horizontal="center"/>
    </xf>
    <xf numFmtId="0" fontId="55" fillId="16" borderId="38" xfId="0" applyFont="1" applyFill="1" applyBorder="1" applyAlignment="1">
      <alignment horizont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4" fillId="2" borderId="3" xfId="2" applyFont="1" applyFill="1" applyBorder="1" applyAlignment="1">
      <alignment horizontal="left" vertical="center" wrapText="1"/>
    </xf>
    <xf numFmtId="0" fontId="14" fillId="2" borderId="9" xfId="2" applyFont="1" applyFill="1" applyBorder="1" applyAlignment="1">
      <alignment horizontal="left" vertical="center" wrapText="1"/>
    </xf>
  </cellXfs>
  <cellStyles count="6">
    <cellStyle name="Hyperlink" xfId="2" builtinId="8"/>
    <cellStyle name="Input" xfId="5" builtinId="20"/>
    <cellStyle name="Normal" xfId="0" builtinId="0"/>
    <cellStyle name="Normal 2" xfId="1" xr:uid="{00000000-0005-0000-0000-000031000000}"/>
    <cellStyle name="Normal 3" xfId="4" xr:uid="{C9026763-1B95-416D-883F-F27F26CACD8A}"/>
    <cellStyle name="Percent" xfId="3" builtinId="5"/>
  </cellStyles>
  <dxfs count="6">
    <dxf>
      <numFmt numFmtId="166" formatCode="0.0E+00"/>
    </dxf>
    <dxf>
      <numFmt numFmtId="3" formatCode="#,##0"/>
    </dxf>
    <dxf>
      <numFmt numFmtId="167" formatCode="0.0"/>
    </dxf>
    <dxf>
      <numFmt numFmtId="2" formatCode="0.00"/>
    </dxf>
    <dxf>
      <numFmt numFmtId="166" formatCode="0.0E+0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am Stasko" id="{974D9E6E-B04A-4FDD-8CEB-A2C879BD98E2}" userId="S::Sam.Stasko@erg.com::6d0d20c5-103e-4b80-aa9c-394724ebe2bf" providerId="AD"/>
  <person displayName="Brendan Scher" id="{C35422EF-4E8A-4809-8A86-59A3B123F17F}" userId="S::Brendan.Scher@erg.com::83211221-f9cc-49c1-b763-8bbb401bfdac" providerId="AD"/>
  <person displayName="Anshul Paripati" id="{30AA935C-FA26-4DD5-929E-940668B1F96F}" userId="S::Anshul.Paripati@erg.com::5cee0794-7747-4623-8756-7514cc7b1350" providerId="AD"/>
  <person displayName="Nicholas Baylis" id="{59EE4262-271E-41AD-A5CC-3DED181E1493}" userId="S::Nicholas.Baylis@erg.com::ba67134c-4667-468c-a460-1293e8bd094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94A5CF-0BFE-4985-A36E-40F3676D9996}" name="Table1" displayName="Table1" ref="B6:E1511" totalsRowShown="0">
  <autoFilter ref="B6:E1511" xr:uid="{1C94A5CF-0BFE-4985-A36E-40F3676D9996}"/>
  <sortState xmlns:xlrd2="http://schemas.microsoft.com/office/spreadsheetml/2017/richdata2" ref="B7:C1507">
    <sortCondition ref="B6:B1511"/>
  </sortState>
  <tableColumns count="4">
    <tableColumn id="1" xr3:uid="{E1DFDC43-84C0-4AD2-A11B-DB6405DA0C16}" name="HERO ID"/>
    <tableColumn id="2" xr3:uid="{0DE8A8F9-A409-4B9B-B3B3-9D199E3CB462}" name="OES"/>
    <tableColumn id="3" xr3:uid="{7BFEB3C6-4E2D-4CF0-A740-25D08F6F6F26}" name="More Data Applicable To Other OESs? " dataDxfId="5"/>
    <tableColumn id="4" xr3:uid="{BB6763F9-53C8-473A-A45D-495C1F50FAF3}" name="List of OESs"/>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02-23T19:43:40.85" personId="{59EE4262-271E-41AD-A5CC-3DED181E1493}" id="{F3B9E294-E8B2-4F61-973B-DDE8CFA10F4D}">
    <text xml:space="preserve">What if the source has multiple sets of monitoring data that apply to different OESs? </text>
  </threadedComment>
  <threadedComment ref="B10" dT="2023-02-24T15:21:12.22" personId="{59EE4262-271E-41AD-A5CC-3DED181E1493}" id="{82ECE723-ABAD-43CE-9E7F-C5A4B26EB77F}">
    <text>Extracted data could also be MFG. Source also referenced NIOSH data for multiple other OESs, not extracted into this workbook as it should be extracted from the primary NIOSH source(s)</text>
  </threadedComment>
  <threadedComment ref="B11" dT="2023-02-21T11:32:08.93" personId="{30AA935C-FA26-4DD5-929E-940668B1F96F}" id="{4B6552B9-6A24-48D9-A94D-1093A32EF267}">
    <text>Can use this source for multiple OESs based on data in tables</text>
  </threadedComment>
  <threadedComment ref="B12" dT="2023-02-27T16:22:35.77" personId="{C35422EF-4E8A-4809-8A86-59A3B123F17F}" id="{31A71A48-8C00-4009-935E-ADA796ACA7BA}">
    <text>Several other applicable OESs in Tables 4 &amp; 5 on page 354-355 of report</text>
  </threadedComment>
  <threadedComment ref="B13" dT="2023-02-27T16:31:02.21" personId="{C35422EF-4E8A-4809-8A86-59A3B123F17F}" id="{F106C88A-C5EF-4915-905D-BB7CB99CDCBB}">
    <text>Other OESs listed in this source</text>
  </threadedComment>
  <threadedComment ref="B15" dT="2023-02-24T18:41:45.03" personId="{59EE4262-271E-41AD-A5CC-3DED181E1493}" id="{2B1DCCAC-2535-49EC-B382-594AE73A04B8}">
    <text>Operations/activities at the sampled plants not clear, mapped to reactant based on DEE. Contains sampling data summarized from other sources (PDF pg 7-8) that should be captured/extracted from primary sources</text>
  </threadedComment>
  <threadedComment ref="B17" dT="2023-02-22T13:05:23.89" personId="{30AA935C-FA26-4DD5-929E-940668B1F96F}" id="{29CBD039-45EB-4B3B-AD3E-EA03D61AFE51}">
    <text>Can be used for other OESs</text>
  </threadedComment>
  <threadedComment ref="B24" dT="2023-04-04T18:59:19.67" personId="{59EE4262-271E-41AD-A5CC-3DED181E1493}" id="{7142E268-ECF4-417A-B278-72801024DB7C}">
    <text>PDF pg 2 and 5 have data from earlier studies, not extracted as part of this source (assuming primary data sources came through SR)</text>
  </threadedComment>
  <threadedComment ref="B25" dT="2023-02-23T15:11:53.88" personId="{30AA935C-FA26-4DD5-929E-940668B1F96F}" id="{F7DB68E6-33F5-4E9E-89A1-1E3106955FD3}">
    <text>Source cannot be used for molding compounds or resins. Other OESs such as plywood still have data available</text>
  </threadedComment>
  <threadedComment ref="B26" dT="2023-03-29T17:45:05.70" personId="{59EE4262-271E-41AD-A5CC-3DED181E1493}" id="{16321693-AC46-4194-A27E-C95CE1ED2D7B}">
    <text>Page 2 has data (provided as ranges) for varnishing of furniture and wooden floors, MFG of board mills, foundries, embalmers, pathologists, and paper workers. Not extracted from this source as it is not the primary source of this data</text>
  </threadedComment>
  <threadedComment ref="B27" dT="2023-02-27T14:19:15.58" personId="{30AA935C-FA26-4DD5-929E-940668B1F96F}" id="{DA46C0F4-07B8-4891-84CB-F444537E8529}">
    <text>Extra data available for the following OESs: 
Plastic/Resin MFG, Paint/Dye MFG, Adhesive/Sealant MFG, Textile Finishing, Plywood MFG, Wood furniture, Paper/Paperboard MFG, Plastic Molding, Foundries, Funeral Services</text>
  </threadedComment>
  <threadedComment ref="B32" dT="2023-03-30T16:26:29.52" personId="{59EE4262-271E-41AD-A5CC-3DED181E1493}" id="{2A41E36C-1AD8-4C9C-819B-430148494372}">
    <text>TSCA submission of a "prepublication version" of a NIOSH HHE (HETA 91-0153-2581; HERO 8048799), extracting data from official version</text>
  </threadedComment>
  <threadedComment ref="B33" dT="2023-03-31T19:02:13.94" personId="{59EE4262-271E-41AD-A5CC-3DED181E1493}" id="{8558DA11-867D-4B07-B6D8-8A6E3EB33E7C}">
    <text>Pre-PEL, data not extracted (yet)</text>
  </threadedComment>
  <threadedComment ref="B34" dT="2023-04-03T13:20:57.36" personId="{59EE4262-271E-41AD-A5CC-3DED181E1493}" id="{A6477127-35A4-483E-97A4-61AE10D1D731}">
    <text>Might be more applicable to MFG. Hard to tell as a lot of the report is redacted. Data from Dow site</text>
  </threadedComment>
  <threadedComment ref="B35" dT="2023-04-04T13:13:35.30" personId="{59EE4262-271E-41AD-A5CC-3DED181E1493}" id="{568A5280-4126-4BD0-A036-0957B819DDEF}">
    <text>May be applicable to other OESs, hard to tell as most of report is redacted</text>
  </threadedComment>
  <threadedComment ref="B36" dT="2023-04-04T14:02:58.87" personId="{59EE4262-271E-41AD-A5CC-3DED181E1493}" id="{77583BD8-BAB8-4267-8D3E-CEC1FA32FD3F}">
    <text>Unclear what COU/OES is most applicable; data from Perstorp Polyols site</text>
  </threadedComment>
  <threadedComment ref="B37" dT="2023-04-04T14:02:58.87" personId="{59EE4262-271E-41AD-A5CC-3DED181E1493}" id="{D231521E-695D-4CD0-A1B2-577A546DECCA}">
    <text>Unclear what COU/OES is most applicable; data from Perstorp Polyols site</text>
  </threadedComment>
  <threadedComment ref="B38" dT="2023-04-03T16:18:13.67" personId="{59EE4262-271E-41AD-A5CC-3DED181E1493}" id="{961F70A7-4577-4652-BC96-9C77B56405D9}">
    <text>Unclear what COU/OES is most applicable; data from Perstorp Polyols site</text>
  </threadedComment>
  <threadedComment ref="B39" dT="2023-04-03T17:17:05.26" personId="{59EE4262-271E-41AD-A5CC-3DED181E1493}" id="{CDBBF0EF-4382-4D8C-83C3-52FBC89D6BE0}">
    <text>Unclear which COU/OES data is most applicable for due to redactions, extracted in Proc - Reactant tab as that was the SR tag</text>
  </threadedComment>
  <threadedComment ref="B40" dT="2023-04-04T12:55:11.17" personId="{59EE4262-271E-41AD-A5CC-3DED181E1493}" id="{127F4D36-9D2F-4965-96D5-1A63D6AC4FAF}">
    <text>Data may be applicable to other OESs, unclear the source of FA at the site being sampled</text>
  </threadedComment>
</ThreadedComments>
</file>

<file path=xl/threadedComments/threadedComment2.xml><?xml version="1.0" encoding="utf-8"?>
<ThreadedComments xmlns="http://schemas.microsoft.com/office/spreadsheetml/2018/threadedcomments" xmlns:x="http://schemas.openxmlformats.org/spreadsheetml/2006/main">
  <threadedComment ref="Q9" dT="2024-07-19T13:32:51.65" personId="{974D9E6E-B04A-4FDD-8CEB-A2C879BD98E2}" id="{B073103B-DC31-4F3D-93EF-DF352E597855}">
    <text>This sample's mean is reported higher than the max in the source?</text>
  </threadedComment>
  <threadedComment ref="Q15" dT="2024-07-19T13:25:50.12" personId="{974D9E6E-B04A-4FDD-8CEB-A2C879BD98E2}" id="{7DBBEAA4-4987-4DEA-95B5-566D7FAEB612}">
    <text>This sample's mean is reported higher than the max in the source?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file:///C:\Users\jrappold\AppData\Local\Microsoft\Windows\INetCache\whollins\AppData\Roaming\whollins\AppData\Local\Microsoft\Windows\INetCache\Content.Outlook\MSHDRPGD\Formaldehyde%20Exposures%20QA%20Sheet.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3BCBE-80CB-4F4E-BFDC-655A9967BB4F}">
  <dimension ref="B1:G14"/>
  <sheetViews>
    <sheetView tabSelected="1" workbookViewId="0">
      <selection activeCell="B5" sqref="B5:G8"/>
    </sheetView>
  </sheetViews>
  <sheetFormatPr defaultRowHeight="14.5" x14ac:dyDescent="0.35"/>
  <cols>
    <col min="2" max="2" width="9.08984375" customWidth="1"/>
  </cols>
  <sheetData>
    <row r="1" spans="2:7" x14ac:dyDescent="0.35">
      <c r="B1" s="384" t="s">
        <v>0</v>
      </c>
      <c r="C1" s="384"/>
      <c r="D1" s="384"/>
      <c r="E1" s="384"/>
      <c r="F1" s="384"/>
      <c r="G1" s="384"/>
    </row>
    <row r="2" spans="2:7" ht="15.5" x14ac:dyDescent="0.35">
      <c r="B2" s="86"/>
      <c r="C2" s="385" t="s">
        <v>1</v>
      </c>
      <c r="D2" s="385"/>
      <c r="E2" s="385"/>
      <c r="F2" s="385"/>
      <c r="G2" s="83"/>
    </row>
    <row r="3" spans="2:7" s="83" customFormat="1" ht="15.5" x14ac:dyDescent="0.35">
      <c r="B3" s="86"/>
      <c r="C3" s="88"/>
      <c r="D3" s="88"/>
      <c r="E3" s="88"/>
      <c r="F3" s="86"/>
    </row>
    <row r="4" spans="2:7" x14ac:dyDescent="0.35">
      <c r="B4" s="83"/>
      <c r="C4" s="83"/>
      <c r="D4" s="83"/>
      <c r="E4" s="83"/>
      <c r="F4" s="83"/>
      <c r="G4" s="83"/>
    </row>
    <row r="5" spans="2:7" ht="20.149999999999999" customHeight="1" x14ac:dyDescent="0.35">
      <c r="B5" s="383" t="s">
        <v>770</v>
      </c>
      <c r="C5" s="383"/>
      <c r="D5" s="383"/>
      <c r="E5" s="383"/>
      <c r="F5" s="383"/>
      <c r="G5" s="383"/>
    </row>
    <row r="6" spans="2:7" ht="14.4" customHeight="1" x14ac:dyDescent="0.35">
      <c r="B6" s="383"/>
      <c r="C6" s="383"/>
      <c r="D6" s="383"/>
      <c r="E6" s="383"/>
      <c r="F6" s="383"/>
      <c r="G6" s="383"/>
    </row>
    <row r="7" spans="2:7" ht="15" customHeight="1" x14ac:dyDescent="0.35">
      <c r="B7" s="383"/>
      <c r="C7" s="383"/>
      <c r="D7" s="383"/>
      <c r="E7" s="383"/>
      <c r="F7" s="383"/>
      <c r="G7" s="383"/>
    </row>
    <row r="8" spans="2:7" ht="15" customHeight="1" x14ac:dyDescent="0.35">
      <c r="B8" s="383"/>
      <c r="C8" s="383"/>
      <c r="D8" s="383"/>
      <c r="E8" s="383"/>
      <c r="F8" s="383"/>
      <c r="G8" s="383"/>
    </row>
    <row r="9" spans="2:7" x14ac:dyDescent="0.35">
      <c r="B9" s="83"/>
      <c r="C9" s="83"/>
      <c r="D9" s="83"/>
      <c r="E9" s="83"/>
      <c r="F9" s="83"/>
      <c r="G9" s="83"/>
    </row>
    <row r="10" spans="2:7" x14ac:dyDescent="0.35">
      <c r="B10" s="83"/>
      <c r="C10" s="83"/>
      <c r="D10" s="83"/>
      <c r="E10" s="83"/>
      <c r="F10" s="83"/>
      <c r="G10" s="83"/>
    </row>
    <row r="11" spans="2:7" ht="22.5" x14ac:dyDescent="0.35">
      <c r="B11" s="386" t="s">
        <v>2</v>
      </c>
      <c r="C11" s="386"/>
      <c r="D11" s="386"/>
      <c r="E11" s="386"/>
      <c r="F11" s="386"/>
      <c r="G11" s="386"/>
    </row>
    <row r="12" spans="2:7" s="83" customFormat="1" ht="22.5" x14ac:dyDescent="0.35">
      <c r="B12" s="87"/>
      <c r="C12" s="87"/>
      <c r="D12" s="87"/>
      <c r="E12" s="87"/>
      <c r="F12" s="87"/>
    </row>
    <row r="13" spans="2:7" x14ac:dyDescent="0.35">
      <c r="B13" s="83"/>
      <c r="C13" s="83"/>
      <c r="D13" s="83"/>
      <c r="E13" s="83"/>
      <c r="F13" s="83"/>
      <c r="G13" s="83"/>
    </row>
    <row r="14" spans="2:7" ht="17.5" x14ac:dyDescent="0.35">
      <c r="B14" s="382" t="s">
        <v>1</v>
      </c>
      <c r="C14" s="382"/>
      <c r="D14" s="382"/>
      <c r="E14" s="382"/>
      <c r="F14" s="382"/>
      <c r="G14" s="382"/>
    </row>
  </sheetData>
  <sheetProtection sheet="1" objects="1" scenarios="1" formatCells="0" formatColumns="0" formatRows="0"/>
  <mergeCells count="5">
    <mergeCell ref="B14:G14"/>
    <mergeCell ref="B5:G8"/>
    <mergeCell ref="B1:G1"/>
    <mergeCell ref="C2:F2"/>
    <mergeCell ref="B11:G11"/>
  </mergeCells>
  <pageMargins left="0.7" right="0.7" top="0.75" bottom="0.75" header="0.3" footer="0.3"/>
  <pageSetup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6C14-32B4-4179-8955-34B39681F5CA}">
  <sheetPr>
    <tabColor rgb="FF00B050"/>
  </sheetPr>
  <dimension ref="A1:BF36"/>
  <sheetViews>
    <sheetView zoomScale="70" zoomScaleNormal="70" workbookViewId="0">
      <selection activeCell="E14" sqref="E14"/>
    </sheetView>
  </sheetViews>
  <sheetFormatPr defaultColWidth="9.453125" defaultRowHeight="15.5" x14ac:dyDescent="0.35"/>
  <cols>
    <col min="1" max="1" width="13.1796875" style="207" customWidth="1"/>
    <col min="2" max="2" width="16.08984375" style="207" customWidth="1"/>
    <col min="3" max="3" width="28" style="207" customWidth="1"/>
    <col min="4" max="4" width="14.453125" style="207" customWidth="1"/>
    <col min="5" max="5" width="19.54296875" style="207" customWidth="1"/>
    <col min="6" max="6" width="42.54296875" style="205" customWidth="1"/>
    <col min="7" max="7" width="23.54296875" style="206" customWidth="1"/>
    <col min="8" max="8" width="22.453125" style="207" customWidth="1"/>
    <col min="9" max="9" width="22.1796875" style="223" customWidth="1"/>
    <col min="10" max="10" width="15.54296875" style="223" customWidth="1"/>
    <col min="11" max="11" width="12.54296875" style="223" customWidth="1"/>
    <col min="12" max="13" width="12.54296875" style="207" customWidth="1"/>
    <col min="14" max="14" width="11" style="207" customWidth="1"/>
    <col min="15" max="15" width="8.453125" style="207" customWidth="1"/>
    <col min="16" max="16" width="7.453125" style="207" customWidth="1"/>
    <col min="17" max="19" width="10.54296875" style="207" customWidth="1"/>
    <col min="20" max="20" width="14.36328125" style="207" customWidth="1"/>
    <col min="21" max="21" width="18.81640625" style="207" customWidth="1"/>
    <col min="22" max="22" width="19" style="207" customWidth="1"/>
    <col min="23" max="23" width="18.81640625" style="207" customWidth="1"/>
    <col min="24" max="24" width="20.90625" style="207" customWidth="1"/>
    <col min="25" max="25" width="20.54296875" style="207" customWidth="1"/>
    <col min="26" max="26" width="23.90625" style="207" customWidth="1"/>
    <col min="27" max="27" width="18" style="207" customWidth="1"/>
    <col min="28" max="28" width="20.453125" style="207" customWidth="1"/>
    <col min="29" max="30" width="18.453125" style="207" customWidth="1"/>
    <col min="31" max="31" width="15.453125" style="207" customWidth="1"/>
    <col min="32" max="32" width="15.453125" style="208" customWidth="1"/>
    <col min="33" max="33" width="38" style="209" customWidth="1"/>
    <col min="34" max="34" width="32.453125" style="209" customWidth="1"/>
    <col min="35" max="36" width="15.54296875" style="189" customWidth="1"/>
    <col min="37" max="46" width="15.54296875" style="135" customWidth="1"/>
    <col min="47" max="47" width="16.453125" style="135" customWidth="1"/>
    <col min="48" max="48" width="17.54296875" style="135" customWidth="1"/>
    <col min="49" max="55" width="15.54296875" style="135" customWidth="1"/>
    <col min="56" max="57" width="9.453125" style="135"/>
    <col min="58" max="58" width="18.453125" style="135" customWidth="1"/>
    <col min="59" max="59" width="14.453125" style="135" bestFit="1" customWidth="1"/>
    <col min="60" max="16384" width="9.453125" style="135"/>
  </cols>
  <sheetData>
    <row r="1" spans="1:58" ht="31" x14ac:dyDescent="0.35">
      <c r="A1" s="443" t="s">
        <v>102</v>
      </c>
      <c r="B1" s="444"/>
      <c r="C1" s="444"/>
      <c r="D1" s="444"/>
      <c r="E1" s="444"/>
      <c r="F1" s="444"/>
      <c r="G1" s="444"/>
      <c r="H1" s="444"/>
      <c r="I1" s="444"/>
      <c r="J1" s="444"/>
      <c r="K1" s="444"/>
      <c r="L1" s="444"/>
      <c r="M1" s="444"/>
      <c r="N1" s="445"/>
      <c r="O1" s="449" t="s">
        <v>856</v>
      </c>
      <c r="P1" s="450"/>
      <c r="Q1" s="450"/>
      <c r="R1" s="450"/>
      <c r="S1" s="450"/>
      <c r="T1" s="451"/>
      <c r="U1" s="452" t="s">
        <v>857</v>
      </c>
      <c r="V1" s="452"/>
      <c r="W1" s="452" t="s">
        <v>858</v>
      </c>
      <c r="X1" s="452"/>
      <c r="Y1" s="452" t="s">
        <v>859</v>
      </c>
      <c r="Z1" s="452"/>
      <c r="AA1" s="449" t="s">
        <v>873</v>
      </c>
      <c r="AB1" s="450"/>
      <c r="AC1" s="452" t="s">
        <v>126</v>
      </c>
      <c r="AD1" s="452"/>
      <c r="AE1" s="452"/>
      <c r="AF1" s="452"/>
      <c r="AG1" s="452"/>
      <c r="AH1" s="446"/>
      <c r="AI1" s="447"/>
      <c r="AJ1" s="447"/>
      <c r="AK1" s="447"/>
      <c r="AL1" s="447"/>
      <c r="AM1" s="447"/>
      <c r="AN1" s="447"/>
      <c r="AO1" s="447"/>
      <c r="AP1" s="447"/>
      <c r="AQ1" s="447"/>
      <c r="AR1" s="447"/>
      <c r="AS1" s="447"/>
      <c r="AT1" s="447"/>
      <c r="AU1" s="447"/>
      <c r="AV1" s="448"/>
      <c r="AW1" s="197"/>
      <c r="AX1" s="198"/>
      <c r="AY1" s="197" t="s">
        <v>572</v>
      </c>
      <c r="AZ1" s="199" t="s">
        <v>137</v>
      </c>
      <c r="BA1" s="200" t="s">
        <v>573</v>
      </c>
      <c r="BB1" s="200" t="s">
        <v>420</v>
      </c>
      <c r="BC1" s="200" t="s">
        <v>572</v>
      </c>
      <c r="BD1" s="201" t="s">
        <v>137</v>
      </c>
      <c r="BE1" s="202" t="s">
        <v>574</v>
      </c>
    </row>
    <row r="2" spans="1:58" s="134" customFormat="1" ht="75" customHeight="1" thickBot="1" x14ac:dyDescent="0.4">
      <c r="A2" s="217" t="s">
        <v>5</v>
      </c>
      <c r="B2" s="217" t="s">
        <v>166</v>
      </c>
      <c r="C2" s="217" t="s">
        <v>168</v>
      </c>
      <c r="D2" s="217" t="s">
        <v>170</v>
      </c>
      <c r="E2" s="217" t="s">
        <v>172</v>
      </c>
      <c r="F2" s="217" t="s">
        <v>174</v>
      </c>
      <c r="G2" s="218" t="s">
        <v>176</v>
      </c>
      <c r="H2" s="217" t="s">
        <v>178</v>
      </c>
      <c r="I2" s="218" t="s">
        <v>180</v>
      </c>
      <c r="J2" s="218" t="s">
        <v>860</v>
      </c>
      <c r="K2" s="218" t="s">
        <v>184</v>
      </c>
      <c r="L2" s="217" t="s">
        <v>186</v>
      </c>
      <c r="M2" s="217" t="s">
        <v>861</v>
      </c>
      <c r="N2" s="217" t="s">
        <v>190</v>
      </c>
      <c r="O2" s="217" t="s">
        <v>195</v>
      </c>
      <c r="P2" s="217" t="s">
        <v>197</v>
      </c>
      <c r="Q2" s="217" t="s">
        <v>575</v>
      </c>
      <c r="R2" s="217" t="s">
        <v>207</v>
      </c>
      <c r="S2" s="217" t="s">
        <v>201</v>
      </c>
      <c r="T2" s="217" t="s">
        <v>209</v>
      </c>
      <c r="U2" s="217" t="s">
        <v>862</v>
      </c>
      <c r="V2" s="219" t="s">
        <v>863</v>
      </c>
      <c r="W2" s="217" t="s">
        <v>862</v>
      </c>
      <c r="X2" s="217" t="s">
        <v>863</v>
      </c>
      <c r="Y2" s="219" t="s">
        <v>862</v>
      </c>
      <c r="Z2" s="217" t="s">
        <v>863</v>
      </c>
      <c r="AA2" s="217" t="s">
        <v>862</v>
      </c>
      <c r="AB2" s="217" t="s">
        <v>863</v>
      </c>
      <c r="AC2" s="217" t="s">
        <v>225</v>
      </c>
      <c r="AD2" s="217" t="s">
        <v>227</v>
      </c>
      <c r="AE2" s="217" t="s">
        <v>864</v>
      </c>
      <c r="AF2" s="220" t="s">
        <v>229</v>
      </c>
      <c r="AG2" s="217" t="s">
        <v>126</v>
      </c>
      <c r="AH2" s="221" t="s">
        <v>880</v>
      </c>
      <c r="AI2" s="221" t="s">
        <v>577</v>
      </c>
      <c r="AJ2" s="221" t="s">
        <v>578</v>
      </c>
      <c r="AK2" s="221" t="s">
        <v>579</v>
      </c>
      <c r="AL2" s="221" t="s">
        <v>580</v>
      </c>
      <c r="AM2" s="221" t="s">
        <v>882</v>
      </c>
      <c r="AN2" s="221" t="s">
        <v>582</v>
      </c>
      <c r="AO2" s="221" t="s">
        <v>881</v>
      </c>
      <c r="AP2" s="221" t="s">
        <v>584</v>
      </c>
      <c r="AQ2" s="221" t="s">
        <v>585</v>
      </c>
      <c r="AR2" s="221" t="s">
        <v>578</v>
      </c>
      <c r="AS2" s="221" t="s">
        <v>586</v>
      </c>
      <c r="AT2" s="221" t="s">
        <v>580</v>
      </c>
      <c r="AU2" s="221" t="s">
        <v>883</v>
      </c>
      <c r="AV2" s="221" t="s">
        <v>884</v>
      </c>
      <c r="AW2" s="210"/>
      <c r="AX2" s="211"/>
      <c r="AY2" s="212" t="s">
        <v>50</v>
      </c>
      <c r="AZ2" s="213" t="s">
        <v>50</v>
      </c>
      <c r="BA2" s="214" t="s">
        <v>50</v>
      </c>
      <c r="BB2" s="214" t="s">
        <v>50</v>
      </c>
      <c r="BC2" s="214" t="s">
        <v>63</v>
      </c>
      <c r="BD2" s="215" t="s">
        <v>63</v>
      </c>
      <c r="BE2" s="216" t="s">
        <v>50</v>
      </c>
    </row>
    <row r="3" spans="1:58" ht="31" x14ac:dyDescent="0.35">
      <c r="A3" s="150">
        <v>7310564</v>
      </c>
      <c r="B3" s="150" t="s">
        <v>589</v>
      </c>
      <c r="C3" s="150" t="s">
        <v>601</v>
      </c>
      <c r="D3" s="150">
        <v>1989</v>
      </c>
      <c r="E3" s="150" t="s">
        <v>590</v>
      </c>
      <c r="F3" s="148" t="s">
        <v>591</v>
      </c>
      <c r="G3" s="149" t="s">
        <v>592</v>
      </c>
      <c r="H3" s="149" t="s">
        <v>593</v>
      </c>
      <c r="I3" s="150" t="s">
        <v>50</v>
      </c>
      <c r="J3" s="149" t="s">
        <v>572</v>
      </c>
      <c r="K3" s="150" t="s">
        <v>239</v>
      </c>
      <c r="L3" s="234">
        <v>32483</v>
      </c>
      <c r="M3" s="150">
        <v>413</v>
      </c>
      <c r="N3" s="150">
        <v>1</v>
      </c>
      <c r="O3" s="150" t="s">
        <v>592</v>
      </c>
      <c r="P3" s="150" t="s">
        <v>592</v>
      </c>
      <c r="Q3" s="150" t="s">
        <v>592</v>
      </c>
      <c r="R3" s="150" t="s">
        <v>592</v>
      </c>
      <c r="S3" s="150" t="s">
        <v>592</v>
      </c>
      <c r="T3" s="150">
        <f>0.13*296.61/24.45</f>
        <v>1.5770674846625767</v>
      </c>
      <c r="U3" s="150">
        <f>IFERROR(IF(AND($I3="W", $J3="TWA", $K3="PBZ",$T3&lt;&gt;"", $AF3&lt;&gt;"ND"), $T3*($M3/480), IF(AND($I3="W", $J3="TWA", $K3="PBZ",$T3&lt;&gt;"", $AF3="ND",$AY$6&gt;3),$AH3/2,IF(AND($I3="W", $J3="TWA", $K3="PBZ",$T3&lt;&gt;"", $AF3="ND",$AY$6&lt;3),$AH3/(SQRT(2)),""))),"")</f>
        <v>1.3569351482617589</v>
      </c>
      <c r="V3" s="155" t="str">
        <f t="shared" ref="V3:V34" si="0">IFERROR(IF(AND($I3="ONU", $J3="TWA", $K3="PBZ",$T3&lt;&gt;"", $AF3&lt;&gt;"ND"), $T3*($M3/480), IF(AND($I3="ONU", $J3="TWA", $K3="PBZ",$T3&lt;&gt;"", $AF3="ND"),$AH3/2,"")),"")</f>
        <v/>
      </c>
      <c r="W3" s="155" t="str">
        <f>IFERROR(IF(AND($I3="W", $J3="12-hr", $K3="PBZ",$T3&lt;&gt;"", $AF3&lt;&gt;"ND"), $T3, IF(AND($I3="W", $J3="12-hr", $K3="PBZ",$T3&lt;&gt;"", $AF3="ND",$AZ$6&gt;3),$AH3/2,IF(AND($I3="W", $J3="12-hr", $K3="PBZ",$T3&lt;&gt;"", $AF3="ND",$AZ$6&lt;3),$AH3/(SQRT(2)),""))),"")</f>
        <v/>
      </c>
      <c r="X3" s="155" t="str">
        <f>IFERROR(IF(AND($I3="ONU", $J3="12-hr", $K3="PBZ",$T3&lt;&gt;"", $AF3&lt;&gt;"ND"), $T3, IF(AND($I3="ONU", $J3="12-hr", $K3="PBZ",$T3&lt;&gt;"", $AF3="ND",$BD$6&gt;3),$AH3/2,IF(AND($I3="ONU", $J3="12-hr", $K3="PBZ",$T3&lt;&gt;"", $AF3="ND",$BD$6&lt;3),$AH3/(SQRT(2)),""))),"")</f>
        <v/>
      </c>
      <c r="Y3" s="155" t="str">
        <f>IFERROR(IF(AND($I3="W", $J3="Short-term", $K3="PBZ",$T3&lt;&gt;"", $AF3&lt;&gt;"ND"), $T3, IF(AND($I3="W", $J3="Short-term", $K3="PBZ",$T3&lt;&gt;"", $AF3="ND"),$AH3/2,"")),"")</f>
        <v/>
      </c>
      <c r="Z3" s="155" t="str">
        <f>IFERROR(IF(AND($I3="ONU", $J3="Short-term", $K3="PBZ",$T3&lt;&gt;"", $AF3&lt;&gt;"ND"), $T3, IF(AND($I3="ONU", $J3="Short-term", $K3="PBZ",$T3&lt;&gt;"", $AF3="ND",$AY$6&gt;3),$AH3/2,IF(AND($I3="ONU", $J3="Short-term", $K3="PBZ",$T3&lt;&gt;"", $AF3="ND",$AY$6&lt;3),$AH3/(SQRT(2)),""))),"")</f>
        <v/>
      </c>
      <c r="AA3" s="155" t="str">
        <f>IFERROR(IF(AND($I3="W", $J3="15-min", $K3="PBZ",$T3&lt;&gt;"", $AF3&lt;&gt;"ND"), $T3, IF(AND($I3="W", $J3="15-min", $K3="PBZ",$T3&lt;&gt;"", $AF3="ND",$AY$6&gt;3),$AH3/2,IF(AND($I3="W", $J3="15-min", $K3="PBZ",$T3&lt;&gt;"", $AF3="ND",$AY$6&lt;3),$AH3/(SQRT(2)),""))),"")</f>
        <v/>
      </c>
      <c r="AB3" s="155" t="str">
        <f>IFERROR(IF(AND($I3="ONU", $J3="15-min", $K3="PBZ",$T3&lt;&gt;"", $AF3&lt;&gt;"ND"), $T3, IF(AND($I3="ONU", $J3="15-min", $K3="PBZ",$T3&lt;&gt;"", $AF3="ND",$AY$6&gt;3),$AH3/2,IF(AND($I3="ONU", $J3="15-min", $K3="PBZ",$T3&lt;&gt;"", $AF3="ND",$AY$6&lt;3),$AH3/(SQRT(2)),""))),"")</f>
        <v/>
      </c>
      <c r="AC3" s="149"/>
      <c r="AD3" s="149"/>
      <c r="AE3" s="150" t="s">
        <v>865</v>
      </c>
      <c r="AF3" s="225"/>
      <c r="AG3" s="150" t="s">
        <v>874</v>
      </c>
      <c r="AH3" s="155"/>
      <c r="AI3" s="150">
        <f t="shared" ref="AI3:AI36" si="1">IF(AND($I3="W", $J3="TWA", $K3="PBZ",$T3&lt;&gt;"", $AF3&lt;&gt;"ND"), $T3*($M3/480),"")</f>
        <v>1.3569351482617589</v>
      </c>
      <c r="AJ3" s="150">
        <f>+IFERROR(LN(AI3),"")</f>
        <v>0.30522858918881191</v>
      </c>
      <c r="AK3" s="155" t="str">
        <f t="shared" ref="AK3:AK36" si="2">IF(AND($I3="W", $J3="12-hr", $K3="PBZ",$T3&lt;&gt;"", $AF3&lt;&gt;"ND"), $T3, "")</f>
        <v/>
      </c>
      <c r="AL3" s="155" t="str">
        <f t="shared" ref="AL3:AL36" si="3">+IFERROR(LN(AK3),"")</f>
        <v/>
      </c>
      <c r="AM3" s="155" t="str">
        <f t="shared" ref="AM3:AM36" si="4">IF(AND($I3="W", $J3="15-min", $K3="PBZ",$T3&lt;&gt;"", $AF3&lt;&gt;"ND"), $T3, "")</f>
        <v/>
      </c>
      <c r="AN3" s="155" t="str">
        <f t="shared" ref="AN3:AN36" si="5">+IFERROR(LN(AM3),"")</f>
        <v/>
      </c>
      <c r="AO3" s="155" t="str">
        <f t="shared" ref="AO3:AO36" si="6">IF(AND($I3="W", $J3="short-term", $K3="PBZ",$T3&lt;&gt;"", $AF3&lt;&gt;"ND"), $T3, "")</f>
        <v/>
      </c>
      <c r="AP3" s="155" t="str">
        <f t="shared" ref="AP3:AP36" si="7">+IFERROR(LN(AO3),"")</f>
        <v/>
      </c>
      <c r="AQ3" s="155" t="str">
        <f t="shared" ref="AQ3:AQ36" si="8">IF(AND($I3="ONU", $J3="TWA", $K3="PBZ",$T3&lt;&gt;"", $AF3&lt;&gt;"ND"), $T3*($M3/480), "")</f>
        <v/>
      </c>
      <c r="AR3" s="155" t="str">
        <f t="shared" ref="AR3:AR36" si="9">+IFERROR(LN(AQ3),"")</f>
        <v/>
      </c>
      <c r="AS3" s="155" t="str">
        <f t="shared" ref="AS3:AS36" si="10">IF(AND($I3="ONU", $J3="12-hr", $K3="PBZ",$T3&lt;&gt;"", $AF3&lt;&gt;"ND"), $T3, "")</f>
        <v/>
      </c>
      <c r="AT3" s="155" t="str">
        <f t="shared" ref="AT3:AT36" si="11">+IFERROR(LN(AS3),"")</f>
        <v/>
      </c>
      <c r="AU3" s="155" t="str">
        <f t="shared" ref="AU3:AU36" si="12">IF(AND($I3="W", $J3="Short-term", $K3="PBZ", $M3&lt;&gt;"", $T3&lt;&gt;""),$M3, "")</f>
        <v/>
      </c>
      <c r="AV3" s="155" t="str">
        <f>IF(AND($I3="ONU", $J3="Short-term", $K3="PBZ", $M3&lt;&gt;"", $T3&lt;&gt;""),$M3, "")</f>
        <v/>
      </c>
      <c r="AX3" s="226" t="s">
        <v>594</v>
      </c>
      <c r="AY3" s="227">
        <f>COUNTIFS($J:$J,AY$1,$I:$I,"W", $K:$K, "PBZ")</f>
        <v>27</v>
      </c>
      <c r="AZ3" s="227">
        <f>COUNTIFS($J:$J,AZ$1,$I:$I,"W", $K:$K, "PBZ")</f>
        <v>0</v>
      </c>
      <c r="BA3" s="227">
        <f>COUNTIFS($J:$J,BA$1,$I:$I,"W", $K:$K, "PBZ")</f>
        <v>0</v>
      </c>
      <c r="BB3" s="227">
        <f>COUNTIFS($J:$J,BB$1,$I:$I,"W", $K:$K, "PBZ")</f>
        <v>0</v>
      </c>
      <c r="BC3" s="227">
        <f>COUNTIFS($J:$J,BC$1,$I:$I,"ONU", $K:$K, "PBZ")</f>
        <v>1</v>
      </c>
      <c r="BD3" s="227">
        <f>COUNTIFS($J:$J,BD$1,$I:$I,"ONU", $K:$K, "PBZ")</f>
        <v>0</v>
      </c>
      <c r="BE3" s="228">
        <f>SUM(AY3:BC3)</f>
        <v>28</v>
      </c>
    </row>
    <row r="4" spans="1:58" ht="18.5" x14ac:dyDescent="0.35">
      <c r="A4" s="150">
        <v>7310564</v>
      </c>
      <c r="B4" s="150" t="s">
        <v>589</v>
      </c>
      <c r="C4" s="150" t="s">
        <v>601</v>
      </c>
      <c r="D4" s="150">
        <v>1989</v>
      </c>
      <c r="E4" s="150" t="s">
        <v>590</v>
      </c>
      <c r="F4" s="148" t="s">
        <v>595</v>
      </c>
      <c r="G4" s="149" t="s">
        <v>592</v>
      </c>
      <c r="H4" s="149" t="s">
        <v>593</v>
      </c>
      <c r="I4" s="150" t="s">
        <v>50</v>
      </c>
      <c r="J4" s="149" t="s">
        <v>572</v>
      </c>
      <c r="K4" s="150" t="s">
        <v>239</v>
      </c>
      <c r="L4" s="234">
        <v>32483</v>
      </c>
      <c r="M4" s="150">
        <v>410</v>
      </c>
      <c r="N4" s="150">
        <v>1</v>
      </c>
      <c r="O4" s="150" t="s">
        <v>592</v>
      </c>
      <c r="P4" s="150" t="s">
        <v>592</v>
      </c>
      <c r="Q4" s="150" t="s">
        <v>592</v>
      </c>
      <c r="R4" s="150" t="s">
        <v>592</v>
      </c>
      <c r="S4" s="150" t="s">
        <v>592</v>
      </c>
      <c r="T4" s="150">
        <f>0.35*296.61/24.45</f>
        <v>4.2459509202453987</v>
      </c>
      <c r="U4" s="150">
        <f t="shared" ref="U4:U36" si="13">IFERROR(IF(AND($I4="W", $J4="TWA", $K4="PBZ",$T4&lt;&gt;"", $AF4&lt;&gt;"ND"), $T4*($M4/480), IF(AND($I4="W", $J4="TWA", $K4="PBZ",$T4&lt;&gt;"", $AF4="ND",$AY$6&gt;3),$AH4/2,IF(AND($I4="W", $J4="TWA", $K4="PBZ",$T4&lt;&gt;"", $AF4="ND",$AY$6&lt;3),$AH4/(SQRT(2)),""))),"")</f>
        <v>3.6267497443762777</v>
      </c>
      <c r="V4" s="155" t="str">
        <f t="shared" si="0"/>
        <v/>
      </c>
      <c r="W4" s="155" t="str">
        <f t="shared" ref="W4:W36" si="14">IFERROR(IF(AND($I4="W", $J4="12-hr", $K4="PBZ",$T4&lt;&gt;"", $AF4&lt;&gt;"ND"), $T4, IF(AND($I4="W", $J4="12-hr", $K4="PBZ",$T4&lt;&gt;"", $AF4="ND",$AZ$6&gt;3),$AH4/2,IF(AND($I4="W", $J4="12-hr", $K4="PBZ",$T4&lt;&gt;"", $AF4="ND",$AZ$6&lt;3),$AH4/(SQRT(2)),""))),"")</f>
        <v/>
      </c>
      <c r="X4" s="155" t="str">
        <f t="shared" ref="X4:X36" si="15">IFERROR(IF(AND($I4="ONU", $J4="12-hr", $K4="PBZ",$T4&lt;&gt;"", $AF4&lt;&gt;"ND"), $T4, IF(AND($I4="ONU", $J4="12-hr", $K4="PBZ",$T4&lt;&gt;"", $AF4="ND",$BD$6&gt;3),$AH4/2,IF(AND($I4="ONU", $J4="12-hr", $K4="PBZ",$T4&lt;&gt;"", $AF4="ND",$BD$6&lt;3),$AH4/(SQRT(2)),""))),"")</f>
        <v/>
      </c>
      <c r="Y4" s="155" t="str">
        <f t="shared" ref="Y4:Y36" si="16">IFERROR(IF(AND($I4="W", $J4="Short-term", $K4="PBZ",$T4&lt;&gt;"", $AF4&lt;&gt;"ND"), $T4, IF(AND($I4="W", $J4="Short-term", $K4="PBZ",$T4&lt;&gt;"", $AF4="ND"),$AH4/2,"")),"")</f>
        <v/>
      </c>
      <c r="Z4" s="155" t="str">
        <f t="shared" ref="Z4:Z36" si="17">IFERROR(IF(AND($I4="ONU", $J4="Short-term", $K4="PBZ",$T4&lt;&gt;"", $AF4&lt;&gt;"ND"), $T4, IF(AND($I4="ONU", $J4="Short-term", $K4="PBZ",$T4&lt;&gt;"", $AF4="ND",$AY$6&gt;3),$AH4/2,IF(AND($I4="ONU", $J4="Short-term", $K4="PBZ",$T4&lt;&gt;"", $AF4="ND",$AY$6&lt;3),$AH4/(SQRT(2)),""))),"")</f>
        <v/>
      </c>
      <c r="AA4" s="155" t="str">
        <f t="shared" ref="AA4:AA36" si="18">IFERROR(IF(AND($I4="W", $J4="15-min", $K4="PBZ",$T4&lt;&gt;"", $AF4&lt;&gt;"ND"), $T4, IF(AND($I4="W", $J4="15-min", $K4="PBZ",$T4&lt;&gt;"", $AF4="ND",$AY$6&gt;3),$AH4/2,IF(AND($I4="W", $J4="15-min", $K4="PBZ",$T4&lt;&gt;"", $AF4="ND",$AY$6&lt;3),$AH4/(SQRT(2)),""))),"")</f>
        <v/>
      </c>
      <c r="AB4" s="155" t="str">
        <f t="shared" ref="AB4:AB36" si="19">IFERROR(IF(AND($I4="ONU", $J4="15-min", $K4="PBZ",$T4&lt;&gt;"", $AF4&lt;&gt;"ND"), $T4, IF(AND($I4="ONU", $J4="15-min", $K4="PBZ",$T4&lt;&gt;"", $AF4="ND",$AY$6&gt;3),$AH4/2,IF(AND($I4="ONU", $J4="15-min", $K4="PBZ",$T4&lt;&gt;"", $AF4="ND",$AY$6&lt;3),$AH4/(SQRT(2)),""))),"")</f>
        <v/>
      </c>
      <c r="AC4" s="148"/>
      <c r="AD4" s="148"/>
      <c r="AE4" s="150" t="s">
        <v>865</v>
      </c>
      <c r="AF4" s="225"/>
      <c r="AG4" s="150" t="s">
        <v>874</v>
      </c>
      <c r="AH4" s="155"/>
      <c r="AI4" s="150">
        <f t="shared" si="1"/>
        <v>3.6267497443762777</v>
      </c>
      <c r="AJ4" s="150">
        <f t="shared" ref="AJ4:AJ36" si="20">+IFERROR(LN(AI4),"")</f>
        <v>1.2883368599540093</v>
      </c>
      <c r="AK4" s="155" t="str">
        <f t="shared" si="2"/>
        <v/>
      </c>
      <c r="AL4" s="155" t="str">
        <f t="shared" si="3"/>
        <v/>
      </c>
      <c r="AM4" s="155" t="str">
        <f t="shared" si="4"/>
        <v/>
      </c>
      <c r="AN4" s="155" t="str">
        <f t="shared" si="5"/>
        <v/>
      </c>
      <c r="AO4" s="155" t="str">
        <f t="shared" si="6"/>
        <v/>
      </c>
      <c r="AP4" s="155" t="str">
        <f t="shared" si="7"/>
        <v/>
      </c>
      <c r="AQ4" s="155" t="str">
        <f t="shared" si="8"/>
        <v/>
      </c>
      <c r="AR4" s="155" t="str">
        <f t="shared" si="9"/>
        <v/>
      </c>
      <c r="AS4" s="155" t="str">
        <f t="shared" si="10"/>
        <v/>
      </c>
      <c r="AT4" s="155" t="str">
        <f t="shared" si="11"/>
        <v/>
      </c>
      <c r="AU4" s="155" t="str">
        <f t="shared" si="12"/>
        <v/>
      </c>
      <c r="AV4" s="155" t="str">
        <f t="shared" ref="AV4:AV36" si="21">IF(AND($I4="ONU", $J4="Short-term", $K4="PBZ", $M4&lt;&gt;"", $T4&lt;&gt;""),$M4, "")</f>
        <v/>
      </c>
      <c r="AX4" s="135" t="s">
        <v>596</v>
      </c>
      <c r="AY4" s="135">
        <f>COUNTIFS($AF:$AF, "ND", $J:$J, AY$1,$I:$I,"W", $K:$K, "PBZ")</f>
        <v>0</v>
      </c>
      <c r="AZ4" s="135">
        <f>COUNTIFS($AF:$AF, "ND", $J:$J, AZ$1,$I:$I,"W", $K:$K, "PBZ")</f>
        <v>0</v>
      </c>
      <c r="BA4" s="135">
        <f>COUNTIFS($AF:$AF, "ND", $J:$J, BA$1,$I:$I,"W", $K:$K, "PBZ")</f>
        <v>0</v>
      </c>
      <c r="BB4" s="135">
        <f>COUNTIFS($AF:$AF, "ND", $J:$J, BB$1,$I:$I,"W", $K:$K, "PBZ")</f>
        <v>0</v>
      </c>
      <c r="BC4" s="135">
        <f>COUNTIFS($AF:$AF, "ND", $J:$J, BC$1,$I:$I,"ONU", $K:$K, "PBZ")</f>
        <v>0</v>
      </c>
      <c r="BD4" s="135">
        <f>COUNTIFS($AF:$AF, "ND", $J:$J, BD$1,$I:$I,"ONU", $K:$K, "PBZ")</f>
        <v>0</v>
      </c>
      <c r="BE4" s="135">
        <f>SUM(AY4:BC4)</f>
        <v>0</v>
      </c>
      <c r="BF4" s="229"/>
    </row>
    <row r="5" spans="1:58" ht="18.5" x14ac:dyDescent="0.35">
      <c r="A5" s="150">
        <v>7310564</v>
      </c>
      <c r="B5" s="150" t="s">
        <v>589</v>
      </c>
      <c r="C5" s="150" t="s">
        <v>601</v>
      </c>
      <c r="D5" s="150">
        <v>1989</v>
      </c>
      <c r="E5" s="150" t="s">
        <v>590</v>
      </c>
      <c r="F5" s="148" t="s">
        <v>595</v>
      </c>
      <c r="G5" s="149" t="s">
        <v>592</v>
      </c>
      <c r="H5" s="149" t="s">
        <v>593</v>
      </c>
      <c r="I5" s="150" t="s">
        <v>50</v>
      </c>
      <c r="J5" s="149" t="s">
        <v>572</v>
      </c>
      <c r="K5" s="150" t="s">
        <v>239</v>
      </c>
      <c r="L5" s="234">
        <v>32483</v>
      </c>
      <c r="M5" s="150">
        <v>411</v>
      </c>
      <c r="N5" s="150">
        <v>1</v>
      </c>
      <c r="O5" s="150" t="s">
        <v>592</v>
      </c>
      <c r="P5" s="150" t="s">
        <v>592</v>
      </c>
      <c r="Q5" s="150" t="s">
        <v>592</v>
      </c>
      <c r="R5" s="150" t="s">
        <v>592</v>
      </c>
      <c r="S5" s="150" t="s">
        <v>592</v>
      </c>
      <c r="T5" s="150">
        <f>0.56*296.61/24.45</f>
        <v>6.7935214723926389</v>
      </c>
      <c r="U5" s="150">
        <f t="shared" si="13"/>
        <v>5.8169527607361964</v>
      </c>
      <c r="V5" s="155" t="str">
        <f t="shared" si="0"/>
        <v/>
      </c>
      <c r="W5" s="155" t="str">
        <f t="shared" si="14"/>
        <v/>
      </c>
      <c r="X5" s="155" t="str">
        <f t="shared" si="15"/>
        <v/>
      </c>
      <c r="Y5" s="155" t="str">
        <f t="shared" si="16"/>
        <v/>
      </c>
      <c r="Z5" s="155" t="str">
        <f t="shared" si="17"/>
        <v/>
      </c>
      <c r="AA5" s="238" t="str">
        <f t="shared" si="18"/>
        <v/>
      </c>
      <c r="AB5" s="238" t="str">
        <f t="shared" si="19"/>
        <v/>
      </c>
      <c r="AC5" s="239"/>
      <c r="AD5" s="239"/>
      <c r="AE5" s="150" t="s">
        <v>865</v>
      </c>
      <c r="AF5" s="225"/>
      <c r="AG5" s="150" t="s">
        <v>875</v>
      </c>
      <c r="AH5" s="155"/>
      <c r="AI5" s="150">
        <f t="shared" si="1"/>
        <v>5.8169527607361964</v>
      </c>
      <c r="AJ5" s="150">
        <f t="shared" si="20"/>
        <v>1.7607765439976262</v>
      </c>
      <c r="AK5" s="155" t="str">
        <f t="shared" si="2"/>
        <v/>
      </c>
      <c r="AL5" s="155" t="str">
        <f t="shared" si="3"/>
        <v/>
      </c>
      <c r="AM5" s="155" t="str">
        <f t="shared" si="4"/>
        <v/>
      </c>
      <c r="AN5" s="155" t="str">
        <f t="shared" si="5"/>
        <v/>
      </c>
      <c r="AO5" s="155" t="str">
        <f t="shared" si="6"/>
        <v/>
      </c>
      <c r="AP5" s="155" t="str">
        <f t="shared" si="7"/>
        <v/>
      </c>
      <c r="AQ5" s="155" t="str">
        <f t="shared" si="8"/>
        <v/>
      </c>
      <c r="AR5" s="155" t="str">
        <f t="shared" si="9"/>
        <v/>
      </c>
      <c r="AS5" s="155" t="str">
        <f t="shared" si="10"/>
        <v/>
      </c>
      <c r="AT5" s="155" t="str">
        <f t="shared" si="11"/>
        <v/>
      </c>
      <c r="AU5" s="155" t="str">
        <f t="shared" si="12"/>
        <v/>
      </c>
      <c r="AV5" s="155" t="str">
        <f t="shared" si="21"/>
        <v/>
      </c>
      <c r="AX5" s="135" t="s">
        <v>597</v>
      </c>
      <c r="AY5" s="230">
        <f>AY4/AY3</f>
        <v>0</v>
      </c>
      <c r="AZ5" s="230" t="e">
        <f t="shared" ref="AZ5:BE5" si="22">AZ4/AZ3</f>
        <v>#DIV/0!</v>
      </c>
      <c r="BA5" s="230" t="e">
        <f t="shared" si="22"/>
        <v>#DIV/0!</v>
      </c>
      <c r="BB5" s="230" t="e">
        <f t="shared" si="22"/>
        <v>#DIV/0!</v>
      </c>
      <c r="BC5" s="230">
        <f t="shared" si="22"/>
        <v>0</v>
      </c>
      <c r="BD5" s="230" t="e">
        <f>BD4/BD3</f>
        <v>#DIV/0!</v>
      </c>
      <c r="BE5" s="230">
        <f t="shared" si="22"/>
        <v>0</v>
      </c>
    </row>
    <row r="6" spans="1:58" ht="18.5" x14ac:dyDescent="0.35">
      <c r="A6" s="150">
        <v>7310564</v>
      </c>
      <c r="B6" s="150" t="s">
        <v>589</v>
      </c>
      <c r="C6" s="150" t="s">
        <v>601</v>
      </c>
      <c r="D6" s="150">
        <v>1989</v>
      </c>
      <c r="E6" s="150" t="s">
        <v>590</v>
      </c>
      <c r="F6" s="148" t="s">
        <v>598</v>
      </c>
      <c r="G6" s="149" t="s">
        <v>592</v>
      </c>
      <c r="H6" s="149" t="s">
        <v>593</v>
      </c>
      <c r="I6" s="150" t="s">
        <v>50</v>
      </c>
      <c r="J6" s="149" t="s">
        <v>572</v>
      </c>
      <c r="K6" s="150" t="s">
        <v>239</v>
      </c>
      <c r="L6" s="234">
        <v>32519</v>
      </c>
      <c r="M6" s="150">
        <v>414</v>
      </c>
      <c r="N6" s="150">
        <v>1</v>
      </c>
      <c r="O6" s="150" t="s">
        <v>592</v>
      </c>
      <c r="P6" s="150" t="s">
        <v>592</v>
      </c>
      <c r="Q6" s="150" t="s">
        <v>592</v>
      </c>
      <c r="R6" s="150" t="s">
        <v>592</v>
      </c>
      <c r="S6" s="150" t="s">
        <v>592</v>
      </c>
      <c r="T6" s="150">
        <f>0.26*296.61/24.45</f>
        <v>3.1541349693251535</v>
      </c>
      <c r="U6" s="150">
        <f t="shared" si="13"/>
        <v>2.7204414110429451</v>
      </c>
      <c r="V6" s="155" t="str">
        <f t="shared" si="0"/>
        <v/>
      </c>
      <c r="W6" s="155" t="str">
        <f t="shared" si="14"/>
        <v/>
      </c>
      <c r="X6" s="155" t="str">
        <f t="shared" si="15"/>
        <v/>
      </c>
      <c r="Y6" s="155" t="str">
        <f t="shared" si="16"/>
        <v/>
      </c>
      <c r="Z6" s="155" t="str">
        <f t="shared" si="17"/>
        <v/>
      </c>
      <c r="AA6" s="238" t="str">
        <f t="shared" si="18"/>
        <v/>
      </c>
      <c r="AB6" s="238" t="str">
        <f t="shared" si="19"/>
        <v/>
      </c>
      <c r="AC6" s="239"/>
      <c r="AD6" s="239"/>
      <c r="AE6" s="150" t="s">
        <v>865</v>
      </c>
      <c r="AF6" s="225"/>
      <c r="AG6" s="150" t="s">
        <v>875</v>
      </c>
      <c r="AH6" s="155"/>
      <c r="AI6" s="150">
        <f t="shared" si="1"/>
        <v>2.7204414110429451</v>
      </c>
      <c r="AJ6" s="150">
        <f t="shared" si="20"/>
        <v>1.0007941506130389</v>
      </c>
      <c r="AK6" s="155" t="str">
        <f t="shared" si="2"/>
        <v/>
      </c>
      <c r="AL6" s="155" t="str">
        <f t="shared" si="3"/>
        <v/>
      </c>
      <c r="AM6" s="155" t="str">
        <f t="shared" si="4"/>
        <v/>
      </c>
      <c r="AN6" s="155" t="str">
        <f t="shared" si="5"/>
        <v/>
      </c>
      <c r="AO6" s="155" t="str">
        <f t="shared" si="6"/>
        <v/>
      </c>
      <c r="AP6" s="155" t="str">
        <f t="shared" si="7"/>
        <v/>
      </c>
      <c r="AQ6" s="155" t="str">
        <f t="shared" si="8"/>
        <v/>
      </c>
      <c r="AR6" s="155" t="str">
        <f t="shared" si="9"/>
        <v/>
      </c>
      <c r="AS6" s="155" t="str">
        <f t="shared" si="10"/>
        <v/>
      </c>
      <c r="AT6" s="155" t="str">
        <f t="shared" si="11"/>
        <v/>
      </c>
      <c r="AU6" s="155" t="str">
        <f t="shared" si="12"/>
        <v/>
      </c>
      <c r="AV6" s="155" t="str">
        <f t="shared" si="21"/>
        <v/>
      </c>
      <c r="AX6" s="135" t="s">
        <v>599</v>
      </c>
      <c r="AY6" s="231">
        <f>+EXP(_xlfn.STDEV.S(AJ:AJ))</f>
        <v>2.1622980417400908</v>
      </c>
      <c r="AZ6" s="231" t="e">
        <f>+EXP(_xlfn.STDEV.S(AL:AL))</f>
        <v>#DIV/0!</v>
      </c>
      <c r="BA6" s="231" t="e">
        <f>+EXP(_xlfn.STDEV.S(AN:AN))</f>
        <v>#DIV/0!</v>
      </c>
      <c r="BB6" s="231" t="e">
        <f>+EXP(_xlfn.STDEV.S(AP:AP))</f>
        <v>#DIV/0!</v>
      </c>
      <c r="BC6" s="231" t="e">
        <f>+EXP(_xlfn.STDEV.S(AR:AR))</f>
        <v>#DIV/0!</v>
      </c>
      <c r="BD6" s="231" t="e">
        <f>+EXP(_xlfn.STDEV.S(AT:AT))</f>
        <v>#DIV/0!</v>
      </c>
      <c r="BE6" s="231"/>
    </row>
    <row r="7" spans="1:58" ht="18.5" x14ac:dyDescent="0.35">
      <c r="A7" s="150">
        <v>7310564</v>
      </c>
      <c r="B7" s="150" t="s">
        <v>589</v>
      </c>
      <c r="C7" s="150" t="s">
        <v>601</v>
      </c>
      <c r="D7" s="150">
        <v>1989</v>
      </c>
      <c r="E7" s="150" t="s">
        <v>590</v>
      </c>
      <c r="F7" s="148" t="s">
        <v>598</v>
      </c>
      <c r="G7" s="149" t="s">
        <v>592</v>
      </c>
      <c r="H7" s="149" t="s">
        <v>593</v>
      </c>
      <c r="I7" s="150" t="s">
        <v>50</v>
      </c>
      <c r="J7" s="149" t="s">
        <v>572</v>
      </c>
      <c r="K7" s="150" t="s">
        <v>239</v>
      </c>
      <c r="L7" s="234">
        <v>32519</v>
      </c>
      <c r="M7" s="150">
        <v>418</v>
      </c>
      <c r="N7" s="150">
        <v>1</v>
      </c>
      <c r="O7" s="150" t="s">
        <v>592</v>
      </c>
      <c r="P7" s="150" t="s">
        <v>592</v>
      </c>
      <c r="Q7" s="150" t="s">
        <v>592</v>
      </c>
      <c r="R7" s="150" t="s">
        <v>592</v>
      </c>
      <c r="S7" s="150" t="s">
        <v>592</v>
      </c>
      <c r="T7" s="150">
        <f>0.26*296.61/24.45</f>
        <v>3.1541349693251535</v>
      </c>
      <c r="U7" s="150">
        <f t="shared" si="13"/>
        <v>2.7467258691206546</v>
      </c>
      <c r="V7" s="155" t="str">
        <f t="shared" si="0"/>
        <v/>
      </c>
      <c r="W7" s="155" t="str">
        <f t="shared" si="14"/>
        <v/>
      </c>
      <c r="X7" s="155" t="str">
        <f t="shared" si="15"/>
        <v/>
      </c>
      <c r="Y7" s="155" t="str">
        <f t="shared" si="16"/>
        <v/>
      </c>
      <c r="Z7" s="155" t="str">
        <f t="shared" si="17"/>
        <v/>
      </c>
      <c r="AA7" s="238" t="str">
        <f t="shared" si="18"/>
        <v/>
      </c>
      <c r="AB7" s="238" t="str">
        <f t="shared" si="19"/>
        <v/>
      </c>
      <c r="AC7" s="239"/>
      <c r="AD7" s="239"/>
      <c r="AE7" s="150" t="s">
        <v>865</v>
      </c>
      <c r="AF7" s="225"/>
      <c r="AG7" s="150" t="s">
        <v>875</v>
      </c>
      <c r="AH7" s="155"/>
      <c r="AI7" s="150">
        <f t="shared" si="1"/>
        <v>2.7467258691206546</v>
      </c>
      <c r="AJ7" s="150">
        <f t="shared" si="20"/>
        <v>1.0104096093124808</v>
      </c>
      <c r="AK7" s="155" t="str">
        <f t="shared" si="2"/>
        <v/>
      </c>
      <c r="AL7" s="155" t="str">
        <f t="shared" si="3"/>
        <v/>
      </c>
      <c r="AM7" s="155" t="str">
        <f t="shared" si="4"/>
        <v/>
      </c>
      <c r="AN7" s="155" t="str">
        <f t="shared" si="5"/>
        <v/>
      </c>
      <c r="AO7" s="155" t="str">
        <f t="shared" si="6"/>
        <v/>
      </c>
      <c r="AP7" s="155" t="str">
        <f t="shared" si="7"/>
        <v/>
      </c>
      <c r="AQ7" s="155" t="str">
        <f t="shared" si="8"/>
        <v/>
      </c>
      <c r="AR7" s="155" t="str">
        <f t="shared" si="9"/>
        <v/>
      </c>
      <c r="AS7" s="155" t="str">
        <f t="shared" si="10"/>
        <v/>
      </c>
      <c r="AT7" s="155" t="str">
        <f t="shared" si="11"/>
        <v/>
      </c>
      <c r="AU7" s="155" t="str">
        <f t="shared" si="12"/>
        <v/>
      </c>
      <c r="AV7" s="155" t="str">
        <f t="shared" si="21"/>
        <v/>
      </c>
    </row>
    <row r="8" spans="1:58" ht="18.5" x14ac:dyDescent="0.35">
      <c r="A8" s="150">
        <v>7310564</v>
      </c>
      <c r="B8" s="150" t="s">
        <v>589</v>
      </c>
      <c r="C8" s="150" t="s">
        <v>601</v>
      </c>
      <c r="D8" s="150">
        <v>1989</v>
      </c>
      <c r="E8" s="150" t="s">
        <v>590</v>
      </c>
      <c r="F8" s="148" t="s">
        <v>598</v>
      </c>
      <c r="G8" s="149" t="s">
        <v>592</v>
      </c>
      <c r="H8" s="149" t="s">
        <v>593</v>
      </c>
      <c r="I8" s="150" t="s">
        <v>50</v>
      </c>
      <c r="J8" s="149" t="s">
        <v>572</v>
      </c>
      <c r="K8" s="150" t="s">
        <v>239</v>
      </c>
      <c r="L8" s="234">
        <v>32520</v>
      </c>
      <c r="M8" s="150">
        <v>409</v>
      </c>
      <c r="N8" s="150">
        <v>1</v>
      </c>
      <c r="O8" s="150" t="s">
        <v>592</v>
      </c>
      <c r="P8" s="150" t="s">
        <v>592</v>
      </c>
      <c r="Q8" s="150" t="s">
        <v>592</v>
      </c>
      <c r="R8" s="150" t="s">
        <v>592</v>
      </c>
      <c r="S8" s="150" t="s">
        <v>592</v>
      </c>
      <c r="T8" s="150">
        <f>0.23*296.61/24.45</f>
        <v>2.7901963190184054</v>
      </c>
      <c r="U8" s="150">
        <f t="shared" si="13"/>
        <v>2.3774797801635996</v>
      </c>
      <c r="V8" s="155" t="str">
        <f t="shared" si="0"/>
        <v/>
      </c>
      <c r="W8" s="155" t="str">
        <f t="shared" si="14"/>
        <v/>
      </c>
      <c r="X8" s="155" t="str">
        <f t="shared" si="15"/>
        <v/>
      </c>
      <c r="Y8" s="155" t="str">
        <f t="shared" si="16"/>
        <v/>
      </c>
      <c r="Z8" s="155" t="str">
        <f t="shared" si="17"/>
        <v/>
      </c>
      <c r="AA8" s="238" t="str">
        <f t="shared" si="18"/>
        <v/>
      </c>
      <c r="AB8" s="238" t="str">
        <f t="shared" si="19"/>
        <v/>
      </c>
      <c r="AC8" s="240"/>
      <c r="AD8" s="233"/>
      <c r="AE8" s="150" t="s">
        <v>865</v>
      </c>
      <c r="AF8" s="222"/>
      <c r="AG8" s="150" t="s">
        <v>875</v>
      </c>
      <c r="AH8" s="155"/>
      <c r="AI8" s="150">
        <f t="shared" si="1"/>
        <v>2.3774797801635996</v>
      </c>
      <c r="AJ8" s="150">
        <f t="shared" si="20"/>
        <v>0.86604101073819384</v>
      </c>
      <c r="AK8" s="155" t="str">
        <f t="shared" si="2"/>
        <v/>
      </c>
      <c r="AL8" s="155" t="str">
        <f t="shared" si="3"/>
        <v/>
      </c>
      <c r="AM8" s="155" t="str">
        <f t="shared" si="4"/>
        <v/>
      </c>
      <c r="AN8" s="155" t="str">
        <f t="shared" si="5"/>
        <v/>
      </c>
      <c r="AO8" s="155" t="str">
        <f t="shared" si="6"/>
        <v/>
      </c>
      <c r="AP8" s="155" t="str">
        <f t="shared" si="7"/>
        <v/>
      </c>
      <c r="AQ8" s="155" t="str">
        <f t="shared" si="8"/>
        <v/>
      </c>
      <c r="AR8" s="155" t="str">
        <f t="shared" si="9"/>
        <v/>
      </c>
      <c r="AS8" s="155" t="str">
        <f t="shared" si="10"/>
        <v/>
      </c>
      <c r="AT8" s="155" t="str">
        <f t="shared" si="11"/>
        <v/>
      </c>
      <c r="AU8" s="155" t="str">
        <f t="shared" si="12"/>
        <v/>
      </c>
      <c r="AV8" s="155" t="str">
        <f t="shared" si="21"/>
        <v/>
      </c>
    </row>
    <row r="9" spans="1:58" ht="18.5" x14ac:dyDescent="0.35">
      <c r="A9" s="150">
        <v>7310564</v>
      </c>
      <c r="B9" s="150" t="s">
        <v>589</v>
      </c>
      <c r="C9" s="150" t="s">
        <v>601</v>
      </c>
      <c r="D9" s="150">
        <v>1989</v>
      </c>
      <c r="E9" s="150" t="s">
        <v>590</v>
      </c>
      <c r="F9" s="148" t="s">
        <v>598</v>
      </c>
      <c r="G9" s="149" t="s">
        <v>592</v>
      </c>
      <c r="H9" s="149" t="s">
        <v>593</v>
      </c>
      <c r="I9" s="150" t="s">
        <v>50</v>
      </c>
      <c r="J9" s="149" t="s">
        <v>572</v>
      </c>
      <c r="K9" s="150" t="s">
        <v>239</v>
      </c>
      <c r="L9" s="234">
        <v>32520</v>
      </c>
      <c r="M9" s="150">
        <v>414</v>
      </c>
      <c r="N9" s="150">
        <v>1</v>
      </c>
      <c r="O9" s="150" t="s">
        <v>592</v>
      </c>
      <c r="P9" s="150" t="s">
        <v>592</v>
      </c>
      <c r="Q9" s="150" t="s">
        <v>592</v>
      </c>
      <c r="R9" s="150" t="s">
        <v>592</v>
      </c>
      <c r="S9" s="150" t="s">
        <v>592</v>
      </c>
      <c r="T9" s="150">
        <f>0.31*296.61/24.45</f>
        <v>3.7606993865030676</v>
      </c>
      <c r="U9" s="150">
        <f t="shared" si="13"/>
        <v>3.2436032208588959</v>
      </c>
      <c r="V9" s="155" t="str">
        <f t="shared" si="0"/>
        <v/>
      </c>
      <c r="W9" s="155" t="str">
        <f t="shared" si="14"/>
        <v/>
      </c>
      <c r="X9" s="155" t="str">
        <f t="shared" si="15"/>
        <v/>
      </c>
      <c r="Y9" s="155" t="str">
        <f t="shared" si="16"/>
        <v/>
      </c>
      <c r="Z9" s="155" t="str">
        <f t="shared" si="17"/>
        <v/>
      </c>
      <c r="AA9" s="238" t="str">
        <f t="shared" si="18"/>
        <v/>
      </c>
      <c r="AB9" s="238" t="str">
        <f t="shared" si="19"/>
        <v/>
      </c>
      <c r="AC9" s="240"/>
      <c r="AD9" s="233"/>
      <c r="AE9" s="150" t="s">
        <v>865</v>
      </c>
      <c r="AF9" s="222"/>
      <c r="AG9" s="150" t="s">
        <v>875</v>
      </c>
      <c r="AH9" s="155"/>
      <c r="AI9" s="150">
        <f t="shared" si="1"/>
        <v>3.2436032208588959</v>
      </c>
      <c r="AJ9" s="150">
        <f t="shared" si="20"/>
        <v>1.176684817076703</v>
      </c>
      <c r="AK9" s="155" t="str">
        <f t="shared" si="2"/>
        <v/>
      </c>
      <c r="AL9" s="155" t="str">
        <f t="shared" si="3"/>
        <v/>
      </c>
      <c r="AM9" s="155" t="str">
        <f t="shared" si="4"/>
        <v/>
      </c>
      <c r="AN9" s="155" t="str">
        <f t="shared" si="5"/>
        <v/>
      </c>
      <c r="AO9" s="155" t="str">
        <f t="shared" si="6"/>
        <v/>
      </c>
      <c r="AP9" s="155" t="str">
        <f t="shared" si="7"/>
        <v/>
      </c>
      <c r="AQ9" s="155" t="str">
        <f t="shared" si="8"/>
        <v/>
      </c>
      <c r="AR9" s="155" t="str">
        <f t="shared" si="9"/>
        <v/>
      </c>
      <c r="AS9" s="155" t="str">
        <f t="shared" si="10"/>
        <v/>
      </c>
      <c r="AT9" s="155" t="str">
        <f t="shared" si="11"/>
        <v/>
      </c>
      <c r="AU9" s="155" t="str">
        <f t="shared" si="12"/>
        <v/>
      </c>
      <c r="AV9" s="155" t="str">
        <f t="shared" si="21"/>
        <v/>
      </c>
    </row>
    <row r="10" spans="1:58" ht="18.5" x14ac:dyDescent="0.35">
      <c r="A10" s="150">
        <v>7310564</v>
      </c>
      <c r="B10" s="150" t="s">
        <v>589</v>
      </c>
      <c r="C10" s="150" t="s">
        <v>601</v>
      </c>
      <c r="D10" s="150">
        <v>1989</v>
      </c>
      <c r="E10" s="150" t="s">
        <v>590</v>
      </c>
      <c r="F10" s="148" t="s">
        <v>598</v>
      </c>
      <c r="G10" s="149" t="s">
        <v>592</v>
      </c>
      <c r="H10" s="149" t="s">
        <v>593</v>
      </c>
      <c r="I10" s="150" t="s">
        <v>50</v>
      </c>
      <c r="J10" s="149" t="s">
        <v>572</v>
      </c>
      <c r="K10" s="150" t="s">
        <v>239</v>
      </c>
      <c r="L10" s="234">
        <v>32520</v>
      </c>
      <c r="M10" s="150">
        <v>411</v>
      </c>
      <c r="N10" s="150">
        <v>1</v>
      </c>
      <c r="O10" s="150" t="s">
        <v>592</v>
      </c>
      <c r="P10" s="150" t="s">
        <v>592</v>
      </c>
      <c r="Q10" s="150" t="s">
        <v>592</v>
      </c>
      <c r="R10" s="150" t="s">
        <v>592</v>
      </c>
      <c r="S10" s="150" t="s">
        <v>592</v>
      </c>
      <c r="T10" s="150">
        <f>0.15*296.61/24.45</f>
        <v>1.8196932515337425</v>
      </c>
      <c r="U10" s="150">
        <f t="shared" si="13"/>
        <v>1.5581123466257669</v>
      </c>
      <c r="V10" s="155" t="str">
        <f t="shared" si="0"/>
        <v/>
      </c>
      <c r="W10" s="155" t="str">
        <f t="shared" si="14"/>
        <v/>
      </c>
      <c r="X10" s="155" t="str">
        <f t="shared" si="15"/>
        <v/>
      </c>
      <c r="Y10" s="155" t="str">
        <f t="shared" si="16"/>
        <v/>
      </c>
      <c r="Z10" s="155" t="str">
        <f t="shared" si="17"/>
        <v/>
      </c>
      <c r="AA10" s="238" t="str">
        <f t="shared" si="18"/>
        <v/>
      </c>
      <c r="AB10" s="238" t="str">
        <f t="shared" si="19"/>
        <v/>
      </c>
      <c r="AC10" s="240"/>
      <c r="AD10" s="233"/>
      <c r="AE10" s="150" t="s">
        <v>865</v>
      </c>
      <c r="AF10" s="222"/>
      <c r="AG10" s="150" t="s">
        <v>875</v>
      </c>
      <c r="AH10" s="155"/>
      <c r="AI10" s="150">
        <f t="shared" si="1"/>
        <v>1.5581123466257669</v>
      </c>
      <c r="AJ10" s="150">
        <f t="shared" si="20"/>
        <v>0.44347505436468698</v>
      </c>
      <c r="AK10" s="155" t="str">
        <f t="shared" si="2"/>
        <v/>
      </c>
      <c r="AL10" s="155" t="str">
        <f t="shared" si="3"/>
        <v/>
      </c>
      <c r="AM10" s="155" t="str">
        <f t="shared" si="4"/>
        <v/>
      </c>
      <c r="AN10" s="155" t="str">
        <f t="shared" si="5"/>
        <v/>
      </c>
      <c r="AO10" s="155" t="str">
        <f t="shared" si="6"/>
        <v/>
      </c>
      <c r="AP10" s="155" t="str">
        <f t="shared" si="7"/>
        <v/>
      </c>
      <c r="AQ10" s="155" t="str">
        <f t="shared" si="8"/>
        <v/>
      </c>
      <c r="AR10" s="155" t="str">
        <f t="shared" si="9"/>
        <v/>
      </c>
      <c r="AS10" s="155" t="str">
        <f t="shared" si="10"/>
        <v/>
      </c>
      <c r="AT10" s="155" t="str">
        <f t="shared" si="11"/>
        <v/>
      </c>
      <c r="AU10" s="155" t="str">
        <f t="shared" si="12"/>
        <v/>
      </c>
      <c r="AV10" s="155" t="str">
        <f t="shared" si="21"/>
        <v/>
      </c>
    </row>
    <row r="11" spans="1:58" ht="18.5" x14ac:dyDescent="0.35">
      <c r="A11" s="150">
        <v>7310564</v>
      </c>
      <c r="B11" s="150" t="s">
        <v>589</v>
      </c>
      <c r="C11" s="150" t="s">
        <v>601</v>
      </c>
      <c r="D11" s="150">
        <v>1989</v>
      </c>
      <c r="E11" s="150" t="s">
        <v>590</v>
      </c>
      <c r="F11" s="148" t="s">
        <v>598</v>
      </c>
      <c r="G11" s="149" t="s">
        <v>592</v>
      </c>
      <c r="H11" s="149" t="s">
        <v>593</v>
      </c>
      <c r="I11" s="150" t="s">
        <v>50</v>
      </c>
      <c r="J11" s="149" t="s">
        <v>572</v>
      </c>
      <c r="K11" s="150" t="s">
        <v>239</v>
      </c>
      <c r="L11" s="234">
        <v>32521</v>
      </c>
      <c r="M11" s="150">
        <v>398</v>
      </c>
      <c r="N11" s="150">
        <v>1</v>
      </c>
      <c r="O11" s="150" t="s">
        <v>592</v>
      </c>
      <c r="P11" s="150" t="s">
        <v>592</v>
      </c>
      <c r="Q11" s="150" t="s">
        <v>592</v>
      </c>
      <c r="R11" s="150" t="s">
        <v>592</v>
      </c>
      <c r="S11" s="150" t="s">
        <v>592</v>
      </c>
      <c r="T11" s="150">
        <f>0.29*296.61/24.45</f>
        <v>3.5180736196319016</v>
      </c>
      <c r="U11" s="150">
        <f t="shared" si="13"/>
        <v>2.9170693762781186</v>
      </c>
      <c r="V11" s="155" t="str">
        <f t="shared" si="0"/>
        <v/>
      </c>
      <c r="W11" s="155" t="str">
        <f t="shared" si="14"/>
        <v/>
      </c>
      <c r="X11" s="155" t="str">
        <f t="shared" si="15"/>
        <v/>
      </c>
      <c r="Y11" s="155" t="str">
        <f t="shared" si="16"/>
        <v/>
      </c>
      <c r="Z11" s="155" t="str">
        <f t="shared" si="17"/>
        <v/>
      </c>
      <c r="AA11" s="238" t="str">
        <f t="shared" si="18"/>
        <v/>
      </c>
      <c r="AB11" s="238" t="str">
        <f t="shared" si="19"/>
        <v/>
      </c>
      <c r="AC11" s="240"/>
      <c r="AD11" s="233"/>
      <c r="AE11" s="150" t="s">
        <v>865</v>
      </c>
      <c r="AF11" s="222"/>
      <c r="AG11" s="150" t="s">
        <v>875</v>
      </c>
      <c r="AH11" s="155"/>
      <c r="AI11" s="150">
        <f t="shared" si="1"/>
        <v>2.9170693762781186</v>
      </c>
      <c r="AJ11" s="150">
        <f t="shared" si="20"/>
        <v>1.0705794740371539</v>
      </c>
      <c r="AK11" s="155" t="str">
        <f t="shared" si="2"/>
        <v/>
      </c>
      <c r="AL11" s="155" t="str">
        <f t="shared" si="3"/>
        <v/>
      </c>
      <c r="AM11" s="155" t="str">
        <f t="shared" si="4"/>
        <v/>
      </c>
      <c r="AN11" s="155" t="str">
        <f t="shared" si="5"/>
        <v/>
      </c>
      <c r="AO11" s="155" t="str">
        <f t="shared" si="6"/>
        <v/>
      </c>
      <c r="AP11" s="155" t="str">
        <f t="shared" si="7"/>
        <v/>
      </c>
      <c r="AQ11" s="155" t="str">
        <f t="shared" si="8"/>
        <v/>
      </c>
      <c r="AR11" s="155" t="str">
        <f t="shared" si="9"/>
        <v/>
      </c>
      <c r="AS11" s="155" t="str">
        <f t="shared" si="10"/>
        <v/>
      </c>
      <c r="AT11" s="155" t="str">
        <f t="shared" si="11"/>
        <v/>
      </c>
      <c r="AU11" s="155" t="str">
        <f t="shared" si="12"/>
        <v/>
      </c>
      <c r="AV11" s="155" t="str">
        <f t="shared" si="21"/>
        <v/>
      </c>
    </row>
    <row r="12" spans="1:58" ht="18.5" x14ac:dyDescent="0.35">
      <c r="A12" s="150">
        <v>7310564</v>
      </c>
      <c r="B12" s="150" t="s">
        <v>589</v>
      </c>
      <c r="C12" s="150" t="s">
        <v>601</v>
      </c>
      <c r="D12" s="150">
        <v>1989</v>
      </c>
      <c r="E12" s="150" t="s">
        <v>590</v>
      </c>
      <c r="F12" s="148" t="s">
        <v>598</v>
      </c>
      <c r="G12" s="149" t="s">
        <v>592</v>
      </c>
      <c r="H12" s="149" t="s">
        <v>593</v>
      </c>
      <c r="I12" s="150" t="s">
        <v>50</v>
      </c>
      <c r="J12" s="149" t="s">
        <v>572</v>
      </c>
      <c r="K12" s="150" t="s">
        <v>239</v>
      </c>
      <c r="L12" s="234">
        <v>32521</v>
      </c>
      <c r="M12" s="150">
        <v>400</v>
      </c>
      <c r="N12" s="150">
        <v>1</v>
      </c>
      <c r="O12" s="150" t="s">
        <v>592</v>
      </c>
      <c r="P12" s="150" t="s">
        <v>592</v>
      </c>
      <c r="Q12" s="150" t="s">
        <v>592</v>
      </c>
      <c r="R12" s="150" t="s">
        <v>592</v>
      </c>
      <c r="S12" s="150" t="s">
        <v>592</v>
      </c>
      <c r="T12" s="150">
        <f>0.28*296.61/24.45</f>
        <v>3.3967607361963195</v>
      </c>
      <c r="U12" s="150">
        <f t="shared" si="13"/>
        <v>2.8306339468302664</v>
      </c>
      <c r="V12" s="155" t="str">
        <f t="shared" si="0"/>
        <v/>
      </c>
      <c r="W12" s="155" t="str">
        <f t="shared" si="14"/>
        <v/>
      </c>
      <c r="X12" s="155" t="str">
        <f t="shared" si="15"/>
        <v/>
      </c>
      <c r="Y12" s="155" t="str">
        <f t="shared" si="16"/>
        <v/>
      </c>
      <c r="Z12" s="155" t="str">
        <f t="shared" si="17"/>
        <v/>
      </c>
      <c r="AA12" s="238" t="str">
        <f t="shared" si="18"/>
        <v/>
      </c>
      <c r="AB12" s="238" t="str">
        <f t="shared" si="19"/>
        <v/>
      </c>
      <c r="AC12" s="240"/>
      <c r="AD12" s="233"/>
      <c r="AE12" s="150" t="s">
        <v>865</v>
      </c>
      <c r="AF12" s="222"/>
      <c r="AG12" s="150" t="s">
        <v>875</v>
      </c>
      <c r="AH12" s="155"/>
      <c r="AI12" s="150">
        <f t="shared" si="1"/>
        <v>2.8306339468302664</v>
      </c>
      <c r="AJ12" s="150">
        <f t="shared" si="20"/>
        <v>1.0405006960494283</v>
      </c>
      <c r="AK12" s="155" t="str">
        <f t="shared" si="2"/>
        <v/>
      </c>
      <c r="AL12" s="155" t="str">
        <f t="shared" si="3"/>
        <v/>
      </c>
      <c r="AM12" s="155" t="str">
        <f t="shared" si="4"/>
        <v/>
      </c>
      <c r="AN12" s="155" t="str">
        <f t="shared" si="5"/>
        <v/>
      </c>
      <c r="AO12" s="155" t="str">
        <f t="shared" si="6"/>
        <v/>
      </c>
      <c r="AP12" s="155" t="str">
        <f t="shared" si="7"/>
        <v/>
      </c>
      <c r="AQ12" s="155" t="str">
        <f t="shared" si="8"/>
        <v/>
      </c>
      <c r="AR12" s="155" t="str">
        <f t="shared" si="9"/>
        <v/>
      </c>
      <c r="AS12" s="155" t="str">
        <f t="shared" si="10"/>
        <v/>
      </c>
      <c r="AT12" s="155" t="str">
        <f t="shared" si="11"/>
        <v/>
      </c>
      <c r="AU12" s="155" t="str">
        <f t="shared" si="12"/>
        <v/>
      </c>
      <c r="AV12" s="155" t="str">
        <f t="shared" si="21"/>
        <v/>
      </c>
    </row>
    <row r="13" spans="1:58" ht="18.5" x14ac:dyDescent="0.35">
      <c r="A13" s="150">
        <v>7310564</v>
      </c>
      <c r="B13" s="150" t="s">
        <v>589</v>
      </c>
      <c r="C13" s="150" t="s">
        <v>601</v>
      </c>
      <c r="D13" s="150">
        <v>1989</v>
      </c>
      <c r="E13" s="150" t="s">
        <v>590</v>
      </c>
      <c r="F13" s="148" t="s">
        <v>598</v>
      </c>
      <c r="G13" s="149" t="s">
        <v>592</v>
      </c>
      <c r="H13" s="149" t="s">
        <v>593</v>
      </c>
      <c r="I13" s="150" t="s">
        <v>50</v>
      </c>
      <c r="J13" s="149" t="s">
        <v>572</v>
      </c>
      <c r="K13" s="150" t="s">
        <v>239</v>
      </c>
      <c r="L13" s="234">
        <v>32521</v>
      </c>
      <c r="M13" s="150">
        <v>400</v>
      </c>
      <c r="N13" s="150">
        <v>1</v>
      </c>
      <c r="O13" s="150" t="s">
        <v>592</v>
      </c>
      <c r="P13" s="150" t="s">
        <v>592</v>
      </c>
      <c r="Q13" s="150" t="s">
        <v>592</v>
      </c>
      <c r="R13" s="150" t="s">
        <v>592</v>
      </c>
      <c r="S13" s="150" t="s">
        <v>592</v>
      </c>
      <c r="T13" s="150">
        <f>0.2*296.61/24.45</f>
        <v>2.4262576687116568</v>
      </c>
      <c r="U13" s="150">
        <f t="shared" si="13"/>
        <v>2.0218813905930473</v>
      </c>
      <c r="V13" s="155" t="str">
        <f t="shared" si="0"/>
        <v/>
      </c>
      <c r="W13" s="155" t="str">
        <f t="shared" si="14"/>
        <v/>
      </c>
      <c r="X13" s="155" t="str">
        <f t="shared" si="15"/>
        <v/>
      </c>
      <c r="Y13" s="155" t="str">
        <f t="shared" si="16"/>
        <v/>
      </c>
      <c r="Z13" s="155" t="str">
        <f t="shared" si="17"/>
        <v/>
      </c>
      <c r="AA13" s="238" t="str">
        <f t="shared" si="18"/>
        <v/>
      </c>
      <c r="AB13" s="238" t="str">
        <f t="shared" si="19"/>
        <v/>
      </c>
      <c r="AC13" s="240"/>
      <c r="AD13" s="233"/>
      <c r="AE13" s="150" t="s">
        <v>865</v>
      </c>
      <c r="AF13" s="222"/>
      <c r="AG13" s="150" t="s">
        <v>875</v>
      </c>
      <c r="AH13" s="155"/>
      <c r="AI13" s="150">
        <f t="shared" si="1"/>
        <v>2.0218813905930473</v>
      </c>
      <c r="AJ13" s="150">
        <f t="shared" si="20"/>
        <v>0.70402845942821535</v>
      </c>
      <c r="AK13" s="155" t="str">
        <f t="shared" si="2"/>
        <v/>
      </c>
      <c r="AL13" s="155" t="str">
        <f t="shared" si="3"/>
        <v/>
      </c>
      <c r="AM13" s="155" t="str">
        <f t="shared" si="4"/>
        <v/>
      </c>
      <c r="AN13" s="155" t="str">
        <f t="shared" si="5"/>
        <v/>
      </c>
      <c r="AO13" s="155" t="str">
        <f t="shared" si="6"/>
        <v/>
      </c>
      <c r="AP13" s="155" t="str">
        <f t="shared" si="7"/>
        <v/>
      </c>
      <c r="AQ13" s="155" t="str">
        <f t="shared" si="8"/>
        <v/>
      </c>
      <c r="AR13" s="155" t="str">
        <f t="shared" si="9"/>
        <v/>
      </c>
      <c r="AS13" s="155" t="str">
        <f t="shared" si="10"/>
        <v/>
      </c>
      <c r="AT13" s="155" t="str">
        <f t="shared" si="11"/>
        <v/>
      </c>
      <c r="AU13" s="155" t="str">
        <f t="shared" si="12"/>
        <v/>
      </c>
      <c r="AV13" s="155" t="str">
        <f t="shared" si="21"/>
        <v/>
      </c>
    </row>
    <row r="14" spans="1:58" ht="201.5" x14ac:dyDescent="0.35">
      <c r="A14" s="150">
        <v>5885380</v>
      </c>
      <c r="B14" s="150" t="s">
        <v>600</v>
      </c>
      <c r="C14" s="150" t="s">
        <v>601</v>
      </c>
      <c r="D14" s="150">
        <v>1977</v>
      </c>
      <c r="E14" s="150" t="s">
        <v>590</v>
      </c>
      <c r="F14" s="148" t="s">
        <v>866</v>
      </c>
      <c r="G14" s="150"/>
      <c r="H14" s="150" t="s">
        <v>602</v>
      </c>
      <c r="I14" s="150" t="s">
        <v>50</v>
      </c>
      <c r="J14" s="150" t="s">
        <v>572</v>
      </c>
      <c r="K14" s="150" t="s">
        <v>239</v>
      </c>
      <c r="L14" s="234">
        <v>27842</v>
      </c>
      <c r="M14" s="150">
        <f>480-33</f>
        <v>447</v>
      </c>
      <c r="N14" s="150">
        <v>1</v>
      </c>
      <c r="O14" s="150" t="s">
        <v>592</v>
      </c>
      <c r="P14" s="150" t="s">
        <v>592</v>
      </c>
      <c r="Q14" s="150" t="s">
        <v>592</v>
      </c>
      <c r="R14" s="150" t="s">
        <v>592</v>
      </c>
      <c r="S14" s="150" t="s">
        <v>592</v>
      </c>
      <c r="T14" s="150">
        <f>0.38*296.61/24.45</f>
        <v>4.6098895705521477</v>
      </c>
      <c r="U14" s="150">
        <f t="shared" si="13"/>
        <v>4.2929596625766875</v>
      </c>
      <c r="V14" s="155" t="str">
        <f t="shared" si="0"/>
        <v/>
      </c>
      <c r="W14" s="155" t="str">
        <f t="shared" si="14"/>
        <v/>
      </c>
      <c r="X14" s="155" t="str">
        <f t="shared" si="15"/>
        <v/>
      </c>
      <c r="Y14" s="155" t="str">
        <f t="shared" si="16"/>
        <v/>
      </c>
      <c r="Z14" s="155" t="str">
        <f t="shared" si="17"/>
        <v/>
      </c>
      <c r="AA14" s="238" t="str">
        <f t="shared" si="18"/>
        <v/>
      </c>
      <c r="AB14" s="238" t="str">
        <f t="shared" si="19"/>
        <v/>
      </c>
      <c r="AC14" s="240"/>
      <c r="AD14" s="233"/>
      <c r="AE14" s="150" t="s">
        <v>867</v>
      </c>
      <c r="AF14" s="222"/>
      <c r="AG14" s="150" t="s">
        <v>876</v>
      </c>
      <c r="AH14" s="155"/>
      <c r="AI14" s="150">
        <f t="shared" si="1"/>
        <v>4.2929596625766875</v>
      </c>
      <c r="AJ14" s="150">
        <f t="shared" si="20"/>
        <v>1.456976393106197</v>
      </c>
      <c r="AK14" s="155" t="str">
        <f t="shared" si="2"/>
        <v/>
      </c>
      <c r="AL14" s="155" t="str">
        <f t="shared" si="3"/>
        <v/>
      </c>
      <c r="AM14" s="155" t="str">
        <f t="shared" si="4"/>
        <v/>
      </c>
      <c r="AN14" s="155" t="str">
        <f t="shared" si="5"/>
        <v/>
      </c>
      <c r="AO14" s="155" t="str">
        <f t="shared" si="6"/>
        <v/>
      </c>
      <c r="AP14" s="155" t="str">
        <f t="shared" si="7"/>
        <v/>
      </c>
      <c r="AQ14" s="155" t="str">
        <f t="shared" si="8"/>
        <v/>
      </c>
      <c r="AR14" s="155" t="str">
        <f t="shared" si="9"/>
        <v/>
      </c>
      <c r="AS14" s="155" t="str">
        <f t="shared" si="10"/>
        <v/>
      </c>
      <c r="AT14" s="155" t="str">
        <f t="shared" si="11"/>
        <v/>
      </c>
      <c r="AU14" s="155" t="str">
        <f t="shared" si="12"/>
        <v/>
      </c>
      <c r="AV14" s="155" t="str">
        <f t="shared" si="21"/>
        <v/>
      </c>
    </row>
    <row r="15" spans="1:58" ht="201.5" x14ac:dyDescent="0.35">
      <c r="A15" s="150">
        <v>5885380</v>
      </c>
      <c r="B15" s="150" t="s">
        <v>600</v>
      </c>
      <c r="C15" s="150" t="s">
        <v>601</v>
      </c>
      <c r="D15" s="150">
        <v>1977</v>
      </c>
      <c r="E15" s="150" t="s">
        <v>590</v>
      </c>
      <c r="F15" s="148" t="s">
        <v>866</v>
      </c>
      <c r="G15" s="150"/>
      <c r="H15" s="149" t="s">
        <v>603</v>
      </c>
      <c r="I15" s="150" t="s">
        <v>50</v>
      </c>
      <c r="J15" s="150" t="s">
        <v>572</v>
      </c>
      <c r="K15" s="150" t="s">
        <v>239</v>
      </c>
      <c r="L15" s="234">
        <v>27842</v>
      </c>
      <c r="M15" s="150">
        <f>480-34</f>
        <v>446</v>
      </c>
      <c r="N15" s="150">
        <v>1</v>
      </c>
      <c r="O15" s="150" t="s">
        <v>592</v>
      </c>
      <c r="P15" s="150" t="s">
        <v>592</v>
      </c>
      <c r="Q15" s="150" t="s">
        <v>592</v>
      </c>
      <c r="R15" s="150" t="s">
        <v>592</v>
      </c>
      <c r="S15" s="150" t="s">
        <v>592</v>
      </c>
      <c r="T15" s="150">
        <f>1.5*296.61/24.45</f>
        <v>18.196932515337426</v>
      </c>
      <c r="U15" s="150">
        <f t="shared" si="13"/>
        <v>16.90798312883436</v>
      </c>
      <c r="V15" s="155" t="str">
        <f t="shared" si="0"/>
        <v/>
      </c>
      <c r="W15" s="155" t="str">
        <f t="shared" si="14"/>
        <v/>
      </c>
      <c r="X15" s="155" t="str">
        <f t="shared" si="15"/>
        <v/>
      </c>
      <c r="Y15" s="155" t="str">
        <f t="shared" si="16"/>
        <v/>
      </c>
      <c r="Z15" s="155" t="str">
        <f t="shared" si="17"/>
        <v/>
      </c>
      <c r="AA15" s="155" t="str">
        <f t="shared" si="18"/>
        <v/>
      </c>
      <c r="AB15" s="155" t="str">
        <f t="shared" si="19"/>
        <v/>
      </c>
      <c r="AC15" s="232"/>
      <c r="AD15" s="233"/>
      <c r="AE15" s="150" t="s">
        <v>867</v>
      </c>
      <c r="AF15" s="222"/>
      <c r="AG15" s="150" t="s">
        <v>876</v>
      </c>
      <c r="AH15" s="155"/>
      <c r="AI15" s="150">
        <f t="shared" si="1"/>
        <v>16.90798312883436</v>
      </c>
      <c r="AJ15" s="150">
        <f t="shared" si="20"/>
        <v>2.8277858848825623</v>
      </c>
      <c r="AK15" s="155" t="str">
        <f t="shared" si="2"/>
        <v/>
      </c>
      <c r="AL15" s="155" t="str">
        <f t="shared" si="3"/>
        <v/>
      </c>
      <c r="AM15" s="155" t="str">
        <f t="shared" si="4"/>
        <v/>
      </c>
      <c r="AN15" s="155" t="str">
        <f t="shared" si="5"/>
        <v/>
      </c>
      <c r="AO15" s="155" t="str">
        <f t="shared" si="6"/>
        <v/>
      </c>
      <c r="AP15" s="155" t="str">
        <f t="shared" si="7"/>
        <v/>
      </c>
      <c r="AQ15" s="155" t="str">
        <f t="shared" si="8"/>
        <v/>
      </c>
      <c r="AR15" s="155" t="str">
        <f t="shared" si="9"/>
        <v/>
      </c>
      <c r="AS15" s="155" t="str">
        <f t="shared" si="10"/>
        <v/>
      </c>
      <c r="AT15" s="155" t="str">
        <f t="shared" si="11"/>
        <v/>
      </c>
      <c r="AU15" s="155" t="str">
        <f t="shared" si="12"/>
        <v/>
      </c>
      <c r="AV15" s="155" t="str">
        <f t="shared" si="21"/>
        <v/>
      </c>
    </row>
    <row r="16" spans="1:58" ht="201.5" x14ac:dyDescent="0.35">
      <c r="A16" s="150">
        <v>5885380</v>
      </c>
      <c r="B16" s="150" t="s">
        <v>600</v>
      </c>
      <c r="C16" s="150" t="s">
        <v>601</v>
      </c>
      <c r="D16" s="150">
        <v>1977</v>
      </c>
      <c r="E16" s="150" t="s">
        <v>590</v>
      </c>
      <c r="F16" s="148" t="s">
        <v>866</v>
      </c>
      <c r="G16" s="150"/>
      <c r="H16" s="149" t="s">
        <v>602</v>
      </c>
      <c r="I16" s="150" t="s">
        <v>50</v>
      </c>
      <c r="J16" s="150" t="s">
        <v>572</v>
      </c>
      <c r="K16" s="150" t="s">
        <v>239</v>
      </c>
      <c r="L16" s="234">
        <v>27845</v>
      </c>
      <c r="M16" s="150">
        <v>420</v>
      </c>
      <c r="N16" s="150">
        <v>1</v>
      </c>
      <c r="O16" s="150" t="s">
        <v>592</v>
      </c>
      <c r="P16" s="150" t="s">
        <v>592</v>
      </c>
      <c r="Q16" s="150" t="s">
        <v>592</v>
      </c>
      <c r="R16" s="150" t="s">
        <v>592</v>
      </c>
      <c r="S16" s="150" t="s">
        <v>592</v>
      </c>
      <c r="T16" s="150">
        <f>0.95*296.61/24.45</f>
        <v>11.524723926380368</v>
      </c>
      <c r="U16" s="150">
        <f t="shared" si="13"/>
        <v>10.084133435582821</v>
      </c>
      <c r="V16" s="155" t="str">
        <f t="shared" si="0"/>
        <v/>
      </c>
      <c r="W16" s="155" t="str">
        <f t="shared" si="14"/>
        <v/>
      </c>
      <c r="X16" s="155" t="str">
        <f t="shared" si="15"/>
        <v/>
      </c>
      <c r="Y16" s="155" t="str">
        <f t="shared" si="16"/>
        <v/>
      </c>
      <c r="Z16" s="155" t="str">
        <f t="shared" si="17"/>
        <v/>
      </c>
      <c r="AA16" s="155" t="str">
        <f t="shared" si="18"/>
        <v/>
      </c>
      <c r="AB16" s="155" t="str">
        <f t="shared" si="19"/>
        <v/>
      </c>
      <c r="AC16" s="232"/>
      <c r="AD16" s="233"/>
      <c r="AE16" s="150" t="s">
        <v>867</v>
      </c>
      <c r="AF16" s="222"/>
      <c r="AG16" s="150" t="s">
        <v>876</v>
      </c>
      <c r="AH16" s="155"/>
      <c r="AI16" s="150">
        <f t="shared" si="1"/>
        <v>10.084133435582821</v>
      </c>
      <c r="AJ16" s="150">
        <f t="shared" si="20"/>
        <v>2.3109632416441972</v>
      </c>
      <c r="AK16" s="155" t="str">
        <f t="shared" si="2"/>
        <v/>
      </c>
      <c r="AL16" s="155" t="str">
        <f t="shared" si="3"/>
        <v/>
      </c>
      <c r="AM16" s="155" t="str">
        <f t="shared" si="4"/>
        <v/>
      </c>
      <c r="AN16" s="155" t="str">
        <f t="shared" si="5"/>
        <v/>
      </c>
      <c r="AO16" s="155" t="str">
        <f t="shared" si="6"/>
        <v/>
      </c>
      <c r="AP16" s="155" t="str">
        <f t="shared" si="7"/>
        <v/>
      </c>
      <c r="AQ16" s="155" t="str">
        <f t="shared" si="8"/>
        <v/>
      </c>
      <c r="AR16" s="155" t="str">
        <f t="shared" si="9"/>
        <v/>
      </c>
      <c r="AS16" s="155" t="str">
        <f t="shared" si="10"/>
        <v/>
      </c>
      <c r="AT16" s="155" t="str">
        <f t="shared" si="11"/>
        <v/>
      </c>
      <c r="AU16" s="155" t="str">
        <f t="shared" si="12"/>
        <v/>
      </c>
      <c r="AV16" s="155" t="str">
        <f t="shared" si="21"/>
        <v/>
      </c>
    </row>
    <row r="17" spans="1:48" ht="201.5" x14ac:dyDescent="0.35">
      <c r="A17" s="150">
        <v>5885380</v>
      </c>
      <c r="B17" s="150" t="s">
        <v>600</v>
      </c>
      <c r="C17" s="150" t="s">
        <v>601</v>
      </c>
      <c r="D17" s="150">
        <v>1977</v>
      </c>
      <c r="E17" s="150" t="s">
        <v>590</v>
      </c>
      <c r="F17" s="148" t="s">
        <v>866</v>
      </c>
      <c r="G17" s="150"/>
      <c r="H17" s="149" t="s">
        <v>603</v>
      </c>
      <c r="I17" s="150" t="s">
        <v>50</v>
      </c>
      <c r="J17" s="150" t="s">
        <v>572</v>
      </c>
      <c r="K17" s="150" t="s">
        <v>239</v>
      </c>
      <c r="L17" s="234">
        <v>27845</v>
      </c>
      <c r="M17" s="150">
        <v>420</v>
      </c>
      <c r="N17" s="150">
        <v>1</v>
      </c>
      <c r="O17" s="150" t="s">
        <v>592</v>
      </c>
      <c r="P17" s="150" t="s">
        <v>592</v>
      </c>
      <c r="Q17" s="150" t="s">
        <v>592</v>
      </c>
      <c r="R17" s="150" t="s">
        <v>592</v>
      </c>
      <c r="S17" s="150" t="s">
        <v>592</v>
      </c>
      <c r="T17" s="150">
        <f>0.3*296.61/24.45</f>
        <v>3.639386503067485</v>
      </c>
      <c r="U17" s="150">
        <f t="shared" si="13"/>
        <v>3.1844631901840494</v>
      </c>
      <c r="V17" s="155" t="str">
        <f t="shared" si="0"/>
        <v/>
      </c>
      <c r="W17" s="155" t="str">
        <f t="shared" si="14"/>
        <v/>
      </c>
      <c r="X17" s="155" t="str">
        <f t="shared" si="15"/>
        <v/>
      </c>
      <c r="Y17" s="155" t="str">
        <f t="shared" si="16"/>
        <v/>
      </c>
      <c r="Z17" s="155" t="str">
        <f t="shared" si="17"/>
        <v/>
      </c>
      <c r="AA17" s="155" t="str">
        <f t="shared" si="18"/>
        <v/>
      </c>
      <c r="AB17" s="155" t="str">
        <f t="shared" si="19"/>
        <v/>
      </c>
      <c r="AC17" s="232"/>
      <c r="AD17" s="233"/>
      <c r="AE17" s="150" t="s">
        <v>867</v>
      </c>
      <c r="AF17" s="222"/>
      <c r="AG17" s="150" t="s">
        <v>876</v>
      </c>
      <c r="AH17" s="155"/>
      <c r="AI17" s="150">
        <f t="shared" si="1"/>
        <v>3.1844631901840494</v>
      </c>
      <c r="AJ17" s="150">
        <f t="shared" si="20"/>
        <v>1.1582837317058117</v>
      </c>
      <c r="AK17" s="155" t="str">
        <f t="shared" si="2"/>
        <v/>
      </c>
      <c r="AL17" s="155" t="str">
        <f t="shared" si="3"/>
        <v/>
      </c>
      <c r="AM17" s="155" t="str">
        <f t="shared" si="4"/>
        <v/>
      </c>
      <c r="AN17" s="155" t="str">
        <f t="shared" si="5"/>
        <v/>
      </c>
      <c r="AO17" s="155" t="str">
        <f t="shared" si="6"/>
        <v/>
      </c>
      <c r="AP17" s="155" t="str">
        <f t="shared" si="7"/>
        <v/>
      </c>
      <c r="AQ17" s="155" t="str">
        <f t="shared" si="8"/>
        <v/>
      </c>
      <c r="AR17" s="155" t="str">
        <f t="shared" si="9"/>
        <v/>
      </c>
      <c r="AS17" s="155" t="str">
        <f t="shared" si="10"/>
        <v/>
      </c>
      <c r="AT17" s="155" t="str">
        <f t="shared" si="11"/>
        <v/>
      </c>
      <c r="AU17" s="155" t="str">
        <f t="shared" si="12"/>
        <v/>
      </c>
      <c r="AV17" s="155" t="str">
        <f t="shared" si="21"/>
        <v/>
      </c>
    </row>
    <row r="18" spans="1:48" ht="201.5" x14ac:dyDescent="0.35">
      <c r="A18" s="150">
        <v>5885380</v>
      </c>
      <c r="B18" s="150" t="s">
        <v>600</v>
      </c>
      <c r="C18" s="150" t="s">
        <v>601</v>
      </c>
      <c r="D18" s="150">
        <v>1977</v>
      </c>
      <c r="E18" s="150" t="s">
        <v>590</v>
      </c>
      <c r="F18" s="148" t="s">
        <v>866</v>
      </c>
      <c r="G18" s="150"/>
      <c r="H18" s="149" t="s">
        <v>604</v>
      </c>
      <c r="I18" s="150" t="s">
        <v>50</v>
      </c>
      <c r="J18" s="150" t="s">
        <v>572</v>
      </c>
      <c r="K18" s="150" t="s">
        <v>239</v>
      </c>
      <c r="L18" s="234">
        <v>27850</v>
      </c>
      <c r="M18" s="150">
        <f>480+20</f>
        <v>500</v>
      </c>
      <c r="N18" s="150">
        <v>1</v>
      </c>
      <c r="O18" s="150" t="s">
        <v>592</v>
      </c>
      <c r="P18" s="150" t="s">
        <v>592</v>
      </c>
      <c r="Q18" s="150" t="s">
        <v>592</v>
      </c>
      <c r="R18" s="150" t="s">
        <v>592</v>
      </c>
      <c r="S18" s="150" t="s">
        <v>592</v>
      </c>
      <c r="T18" s="150">
        <f>1.2*296.61/24.45</f>
        <v>14.55754601226994</v>
      </c>
      <c r="U18" s="150">
        <f t="shared" si="13"/>
        <v>15.164110429447856</v>
      </c>
      <c r="V18" s="155" t="str">
        <f t="shared" si="0"/>
        <v/>
      </c>
      <c r="W18" s="155" t="str">
        <f t="shared" si="14"/>
        <v/>
      </c>
      <c r="X18" s="155" t="str">
        <f t="shared" si="15"/>
        <v/>
      </c>
      <c r="Y18" s="155" t="str">
        <f t="shared" si="16"/>
        <v/>
      </c>
      <c r="Z18" s="155" t="str">
        <f t="shared" si="17"/>
        <v/>
      </c>
      <c r="AA18" s="155" t="str">
        <f t="shared" si="18"/>
        <v/>
      </c>
      <c r="AB18" s="155" t="str">
        <f t="shared" si="19"/>
        <v/>
      </c>
      <c r="AC18" s="232"/>
      <c r="AD18" s="233"/>
      <c r="AE18" s="150" t="s">
        <v>867</v>
      </c>
      <c r="AF18" s="222"/>
      <c r="AG18" s="150" t="s">
        <v>876</v>
      </c>
      <c r="AH18" s="155"/>
      <c r="AI18" s="150">
        <f t="shared" si="1"/>
        <v>15.164110429447856</v>
      </c>
      <c r="AJ18" s="150">
        <f t="shared" si="20"/>
        <v>2.7189314799704802</v>
      </c>
      <c r="AK18" s="155" t="str">
        <f t="shared" si="2"/>
        <v/>
      </c>
      <c r="AL18" s="155" t="str">
        <f t="shared" si="3"/>
        <v/>
      </c>
      <c r="AM18" s="155" t="str">
        <f t="shared" si="4"/>
        <v/>
      </c>
      <c r="AN18" s="155" t="str">
        <f t="shared" si="5"/>
        <v/>
      </c>
      <c r="AO18" s="155" t="str">
        <f t="shared" si="6"/>
        <v/>
      </c>
      <c r="AP18" s="155" t="str">
        <f t="shared" si="7"/>
        <v/>
      </c>
      <c r="AQ18" s="155" t="str">
        <f t="shared" si="8"/>
        <v/>
      </c>
      <c r="AR18" s="155" t="str">
        <f t="shared" si="9"/>
        <v/>
      </c>
      <c r="AS18" s="155" t="str">
        <f t="shared" si="10"/>
        <v/>
      </c>
      <c r="AT18" s="155" t="str">
        <f t="shared" si="11"/>
        <v/>
      </c>
      <c r="AU18" s="155" t="str">
        <f t="shared" si="12"/>
        <v/>
      </c>
      <c r="AV18" s="155" t="str">
        <f t="shared" si="21"/>
        <v/>
      </c>
    </row>
    <row r="19" spans="1:48" ht="201.5" x14ac:dyDescent="0.35">
      <c r="A19" s="150">
        <v>5885380</v>
      </c>
      <c r="B19" s="150" t="s">
        <v>600</v>
      </c>
      <c r="C19" s="150" t="s">
        <v>601</v>
      </c>
      <c r="D19" s="150">
        <v>1977</v>
      </c>
      <c r="E19" s="150" t="s">
        <v>590</v>
      </c>
      <c r="F19" s="148" t="s">
        <v>866</v>
      </c>
      <c r="G19" s="150"/>
      <c r="H19" s="149" t="s">
        <v>605</v>
      </c>
      <c r="I19" s="150" t="s">
        <v>50</v>
      </c>
      <c r="J19" s="150" t="s">
        <v>572</v>
      </c>
      <c r="K19" s="150" t="s">
        <v>239</v>
      </c>
      <c r="L19" s="234">
        <v>27850</v>
      </c>
      <c r="M19" s="150">
        <f>480-10</f>
        <v>470</v>
      </c>
      <c r="N19" s="150">
        <v>1</v>
      </c>
      <c r="O19" s="150" t="s">
        <v>592</v>
      </c>
      <c r="P19" s="150" t="s">
        <v>592</v>
      </c>
      <c r="Q19" s="150" t="s">
        <v>592</v>
      </c>
      <c r="R19" s="150" t="s">
        <v>592</v>
      </c>
      <c r="S19" s="150" t="s">
        <v>592</v>
      </c>
      <c r="T19" s="150">
        <f>0.25*296.61/24.45</f>
        <v>3.0328220858895709</v>
      </c>
      <c r="U19" s="150">
        <f t="shared" si="13"/>
        <v>2.9696382924335381</v>
      </c>
      <c r="V19" s="155" t="str">
        <f t="shared" si="0"/>
        <v/>
      </c>
      <c r="W19" s="155" t="str">
        <f t="shared" si="14"/>
        <v/>
      </c>
      <c r="X19" s="155" t="str">
        <f t="shared" si="15"/>
        <v/>
      </c>
      <c r="Y19" s="155" t="str">
        <f t="shared" si="16"/>
        <v/>
      </c>
      <c r="Z19" s="155" t="str">
        <f t="shared" si="17"/>
        <v/>
      </c>
      <c r="AA19" s="155" t="str">
        <f t="shared" si="18"/>
        <v/>
      </c>
      <c r="AB19" s="155" t="str">
        <f t="shared" si="19"/>
        <v/>
      </c>
      <c r="AC19" s="232"/>
      <c r="AD19" s="233"/>
      <c r="AE19" s="150" t="s">
        <v>867</v>
      </c>
      <c r="AF19" s="222"/>
      <c r="AG19" s="150" t="s">
        <v>876</v>
      </c>
      <c r="AH19" s="155"/>
      <c r="AI19" s="150">
        <f t="shared" si="1"/>
        <v>2.9696382924335381</v>
      </c>
      <c r="AJ19" s="150">
        <f t="shared" si="20"/>
        <v>1.0884401583385475</v>
      </c>
      <c r="AK19" s="155" t="str">
        <f t="shared" si="2"/>
        <v/>
      </c>
      <c r="AL19" s="155" t="str">
        <f t="shared" si="3"/>
        <v/>
      </c>
      <c r="AM19" s="155" t="str">
        <f t="shared" si="4"/>
        <v/>
      </c>
      <c r="AN19" s="155" t="str">
        <f t="shared" si="5"/>
        <v/>
      </c>
      <c r="AO19" s="155" t="str">
        <f t="shared" si="6"/>
        <v/>
      </c>
      <c r="AP19" s="155" t="str">
        <f t="shared" si="7"/>
        <v/>
      </c>
      <c r="AQ19" s="155" t="str">
        <f t="shared" si="8"/>
        <v/>
      </c>
      <c r="AR19" s="155" t="str">
        <f t="shared" si="9"/>
        <v/>
      </c>
      <c r="AS19" s="155" t="str">
        <f t="shared" si="10"/>
        <v/>
      </c>
      <c r="AT19" s="155" t="str">
        <f t="shared" si="11"/>
        <v/>
      </c>
      <c r="AU19" s="155" t="str">
        <f t="shared" si="12"/>
        <v/>
      </c>
      <c r="AV19" s="155" t="str">
        <f t="shared" si="21"/>
        <v/>
      </c>
    </row>
    <row r="20" spans="1:48" ht="201.5" x14ac:dyDescent="0.35">
      <c r="A20" s="150">
        <v>5885380</v>
      </c>
      <c r="B20" s="150" t="s">
        <v>600</v>
      </c>
      <c r="C20" s="150" t="s">
        <v>601</v>
      </c>
      <c r="D20" s="150">
        <v>1977</v>
      </c>
      <c r="E20" s="150" t="s">
        <v>590</v>
      </c>
      <c r="F20" s="148" t="s">
        <v>866</v>
      </c>
      <c r="G20" s="150"/>
      <c r="H20" s="149" t="s">
        <v>605</v>
      </c>
      <c r="I20" s="150" t="s">
        <v>50</v>
      </c>
      <c r="J20" s="150" t="s">
        <v>572</v>
      </c>
      <c r="K20" s="150" t="s">
        <v>239</v>
      </c>
      <c r="L20" s="234">
        <v>27934</v>
      </c>
      <c r="M20" s="150">
        <f>420-14</f>
        <v>406</v>
      </c>
      <c r="N20" s="150">
        <v>1</v>
      </c>
      <c r="O20" s="150" t="s">
        <v>592</v>
      </c>
      <c r="P20" s="150" t="s">
        <v>592</v>
      </c>
      <c r="Q20" s="150" t="s">
        <v>592</v>
      </c>
      <c r="R20" s="150" t="s">
        <v>592</v>
      </c>
      <c r="S20" s="150" t="s">
        <v>592</v>
      </c>
      <c r="T20" s="150">
        <f>2.2*296.61/24.45</f>
        <v>26.688834355828224</v>
      </c>
      <c r="U20" s="150">
        <f t="shared" si="13"/>
        <v>22.574305725971371</v>
      </c>
      <c r="V20" s="155" t="str">
        <f t="shared" si="0"/>
        <v/>
      </c>
      <c r="W20" s="155" t="str">
        <f t="shared" si="14"/>
        <v/>
      </c>
      <c r="X20" s="155" t="str">
        <f t="shared" si="15"/>
        <v/>
      </c>
      <c r="Y20" s="155" t="str">
        <f t="shared" si="16"/>
        <v/>
      </c>
      <c r="Z20" s="155" t="str">
        <f t="shared" si="17"/>
        <v/>
      </c>
      <c r="AA20" s="155" t="str">
        <f t="shared" si="18"/>
        <v/>
      </c>
      <c r="AB20" s="155" t="str">
        <f t="shared" si="19"/>
        <v/>
      </c>
      <c r="AC20" s="232"/>
      <c r="AD20" s="233"/>
      <c r="AE20" s="150" t="s">
        <v>867</v>
      </c>
      <c r="AF20" s="222"/>
      <c r="AG20" s="150" t="s">
        <v>876</v>
      </c>
      <c r="AH20" s="155"/>
      <c r="AI20" s="150">
        <f t="shared" si="1"/>
        <v>22.574305725971371</v>
      </c>
      <c r="AJ20" s="150">
        <f t="shared" si="20"/>
        <v>3.1168123447203366</v>
      </c>
      <c r="AK20" s="155" t="str">
        <f t="shared" si="2"/>
        <v/>
      </c>
      <c r="AL20" s="155" t="str">
        <f t="shared" si="3"/>
        <v/>
      </c>
      <c r="AM20" s="155" t="str">
        <f t="shared" si="4"/>
        <v/>
      </c>
      <c r="AN20" s="155" t="str">
        <f t="shared" si="5"/>
        <v/>
      </c>
      <c r="AO20" s="155" t="str">
        <f t="shared" si="6"/>
        <v/>
      </c>
      <c r="AP20" s="155" t="str">
        <f t="shared" si="7"/>
        <v/>
      </c>
      <c r="AQ20" s="155" t="str">
        <f t="shared" si="8"/>
        <v/>
      </c>
      <c r="AR20" s="155" t="str">
        <f t="shared" si="9"/>
        <v/>
      </c>
      <c r="AS20" s="155" t="str">
        <f t="shared" si="10"/>
        <v/>
      </c>
      <c r="AT20" s="155" t="str">
        <f t="shared" si="11"/>
        <v/>
      </c>
      <c r="AU20" s="155" t="str">
        <f t="shared" si="12"/>
        <v/>
      </c>
      <c r="AV20" s="155" t="str">
        <f t="shared" si="21"/>
        <v/>
      </c>
    </row>
    <row r="21" spans="1:48" ht="78.650000000000006" customHeight="1" x14ac:dyDescent="0.35">
      <c r="A21" s="150">
        <v>5885380</v>
      </c>
      <c r="B21" s="150" t="s">
        <v>600</v>
      </c>
      <c r="C21" s="150" t="s">
        <v>601</v>
      </c>
      <c r="D21" s="150">
        <v>1977</v>
      </c>
      <c r="E21" s="150" t="s">
        <v>590</v>
      </c>
      <c r="F21" s="148" t="s">
        <v>866</v>
      </c>
      <c r="G21" s="150"/>
      <c r="H21" s="149" t="s">
        <v>606</v>
      </c>
      <c r="I21" s="150" t="s">
        <v>50</v>
      </c>
      <c r="J21" s="150" t="s">
        <v>572</v>
      </c>
      <c r="K21" s="150" t="s">
        <v>239</v>
      </c>
      <c r="L21" s="234">
        <v>27934</v>
      </c>
      <c r="M21" s="150">
        <f>420-14</f>
        <v>406</v>
      </c>
      <c r="N21" s="150">
        <v>1</v>
      </c>
      <c r="O21" s="150" t="s">
        <v>592</v>
      </c>
      <c r="P21" s="150" t="s">
        <v>592</v>
      </c>
      <c r="Q21" s="150" t="s">
        <v>592</v>
      </c>
      <c r="R21" s="150" t="s">
        <v>592</v>
      </c>
      <c r="S21" s="150" t="s">
        <v>592</v>
      </c>
      <c r="T21" s="150">
        <f>1*296.61/24.45</f>
        <v>12.131288343558284</v>
      </c>
      <c r="U21" s="150">
        <f t="shared" si="13"/>
        <v>10.261048057259714</v>
      </c>
      <c r="V21" s="155" t="str">
        <f t="shared" si="0"/>
        <v/>
      </c>
      <c r="W21" s="155" t="str">
        <f t="shared" si="14"/>
        <v/>
      </c>
      <c r="X21" s="155" t="str">
        <f t="shared" si="15"/>
        <v/>
      </c>
      <c r="Y21" s="155" t="str">
        <f t="shared" si="16"/>
        <v/>
      </c>
      <c r="Z21" s="155" t="str">
        <f t="shared" si="17"/>
        <v/>
      </c>
      <c r="AA21" s="155" t="str">
        <f t="shared" si="18"/>
        <v/>
      </c>
      <c r="AB21" s="155" t="str">
        <f t="shared" si="19"/>
        <v/>
      </c>
      <c r="AC21" s="232"/>
      <c r="AD21" s="233"/>
      <c r="AE21" s="150" t="s">
        <v>867</v>
      </c>
      <c r="AF21" s="222"/>
      <c r="AG21" s="150" t="s">
        <v>876</v>
      </c>
      <c r="AH21" s="155"/>
      <c r="AI21" s="150">
        <f t="shared" si="1"/>
        <v>10.261048057259714</v>
      </c>
      <c r="AJ21" s="150">
        <f t="shared" si="20"/>
        <v>2.3283549843560665</v>
      </c>
      <c r="AK21" s="155" t="str">
        <f t="shared" si="2"/>
        <v/>
      </c>
      <c r="AL21" s="155" t="str">
        <f t="shared" si="3"/>
        <v/>
      </c>
      <c r="AM21" s="155" t="str">
        <f t="shared" si="4"/>
        <v/>
      </c>
      <c r="AN21" s="155" t="str">
        <f t="shared" si="5"/>
        <v/>
      </c>
      <c r="AO21" s="155" t="str">
        <f t="shared" si="6"/>
        <v/>
      </c>
      <c r="AP21" s="155" t="str">
        <f t="shared" si="7"/>
        <v/>
      </c>
      <c r="AQ21" s="155" t="str">
        <f t="shared" si="8"/>
        <v/>
      </c>
      <c r="AR21" s="155" t="str">
        <f t="shared" si="9"/>
        <v/>
      </c>
      <c r="AS21" s="155" t="str">
        <f t="shared" si="10"/>
        <v/>
      </c>
      <c r="AT21" s="155" t="str">
        <f t="shared" si="11"/>
        <v/>
      </c>
      <c r="AU21" s="155" t="str">
        <f t="shared" si="12"/>
        <v/>
      </c>
      <c r="AV21" s="155" t="str">
        <f t="shared" si="21"/>
        <v/>
      </c>
    </row>
    <row r="22" spans="1:48" ht="201.5" x14ac:dyDescent="0.35">
      <c r="A22" s="150">
        <v>5885380</v>
      </c>
      <c r="B22" s="150" t="s">
        <v>600</v>
      </c>
      <c r="C22" s="150" t="s">
        <v>601</v>
      </c>
      <c r="D22" s="150">
        <v>1977</v>
      </c>
      <c r="E22" s="150" t="s">
        <v>590</v>
      </c>
      <c r="F22" s="148" t="s">
        <v>866</v>
      </c>
      <c r="G22" s="150"/>
      <c r="H22" s="149" t="s">
        <v>607</v>
      </c>
      <c r="I22" s="150" t="s">
        <v>50</v>
      </c>
      <c r="J22" s="150" t="s">
        <v>572</v>
      </c>
      <c r="K22" s="150" t="s">
        <v>239</v>
      </c>
      <c r="L22" s="234">
        <v>27940</v>
      </c>
      <c r="M22" s="150">
        <f>480-46</f>
        <v>434</v>
      </c>
      <c r="N22" s="150">
        <v>1</v>
      </c>
      <c r="O22" s="150" t="s">
        <v>592</v>
      </c>
      <c r="P22" s="150" t="s">
        <v>592</v>
      </c>
      <c r="Q22" s="150" t="s">
        <v>592</v>
      </c>
      <c r="R22" s="150" t="s">
        <v>592</v>
      </c>
      <c r="S22" s="150" t="s">
        <v>592</v>
      </c>
      <c r="T22" s="150">
        <f>0.59*296.61/24.45</f>
        <v>7.1574601226993861</v>
      </c>
      <c r="U22" s="150">
        <f t="shared" si="13"/>
        <v>6.4715368609406951</v>
      </c>
      <c r="V22" s="155" t="str">
        <f t="shared" si="0"/>
        <v/>
      </c>
      <c r="W22" s="155" t="str">
        <f t="shared" si="14"/>
        <v/>
      </c>
      <c r="X22" s="155" t="str">
        <f t="shared" si="15"/>
        <v/>
      </c>
      <c r="Y22" s="155" t="str">
        <f t="shared" si="16"/>
        <v/>
      </c>
      <c r="Z22" s="155" t="str">
        <f t="shared" si="17"/>
        <v/>
      </c>
      <c r="AA22" s="155" t="str">
        <f t="shared" si="18"/>
        <v/>
      </c>
      <c r="AB22" s="155" t="str">
        <f t="shared" si="19"/>
        <v/>
      </c>
      <c r="AC22" s="232"/>
      <c r="AD22" s="233"/>
      <c r="AE22" s="150" t="s">
        <v>867</v>
      </c>
      <c r="AF22" s="222"/>
      <c r="AG22" s="150" t="s">
        <v>876</v>
      </c>
      <c r="AH22" s="155"/>
      <c r="AI22" s="150">
        <f t="shared" si="1"/>
        <v>6.4715368609406951</v>
      </c>
      <c r="AJ22" s="150">
        <f t="shared" si="20"/>
        <v>1.8674136167723665</v>
      </c>
      <c r="AK22" s="155" t="str">
        <f t="shared" si="2"/>
        <v/>
      </c>
      <c r="AL22" s="155" t="str">
        <f t="shared" si="3"/>
        <v/>
      </c>
      <c r="AM22" s="155" t="str">
        <f t="shared" si="4"/>
        <v/>
      </c>
      <c r="AN22" s="155" t="str">
        <f t="shared" si="5"/>
        <v/>
      </c>
      <c r="AO22" s="155" t="str">
        <f t="shared" si="6"/>
        <v/>
      </c>
      <c r="AP22" s="155" t="str">
        <f t="shared" si="7"/>
        <v/>
      </c>
      <c r="AQ22" s="155" t="str">
        <f t="shared" si="8"/>
        <v/>
      </c>
      <c r="AR22" s="155" t="str">
        <f t="shared" si="9"/>
        <v/>
      </c>
      <c r="AS22" s="155" t="str">
        <f t="shared" si="10"/>
        <v/>
      </c>
      <c r="AT22" s="155" t="str">
        <f t="shared" si="11"/>
        <v/>
      </c>
      <c r="AU22" s="155" t="str">
        <f t="shared" si="12"/>
        <v/>
      </c>
      <c r="AV22" s="155" t="str">
        <f t="shared" si="21"/>
        <v/>
      </c>
    </row>
    <row r="23" spans="1:48" ht="201.5" x14ac:dyDescent="0.35">
      <c r="A23" s="150">
        <v>5885380</v>
      </c>
      <c r="B23" s="150" t="s">
        <v>600</v>
      </c>
      <c r="C23" s="150" t="s">
        <v>601</v>
      </c>
      <c r="D23" s="150">
        <v>1977</v>
      </c>
      <c r="E23" s="150" t="s">
        <v>590</v>
      </c>
      <c r="F23" s="148" t="s">
        <v>866</v>
      </c>
      <c r="G23" s="150"/>
      <c r="H23" s="149" t="s">
        <v>608</v>
      </c>
      <c r="I23" s="150" t="s">
        <v>50</v>
      </c>
      <c r="J23" s="150" t="s">
        <v>572</v>
      </c>
      <c r="K23" s="150" t="s">
        <v>239</v>
      </c>
      <c r="L23" s="234">
        <v>27940</v>
      </c>
      <c r="M23" s="150">
        <f>480-46</f>
        <v>434</v>
      </c>
      <c r="N23" s="150">
        <v>1</v>
      </c>
      <c r="O23" s="150" t="s">
        <v>592</v>
      </c>
      <c r="P23" s="150" t="s">
        <v>592</v>
      </c>
      <c r="Q23" s="150" t="s">
        <v>592</v>
      </c>
      <c r="R23" s="150" t="s">
        <v>592</v>
      </c>
      <c r="S23" s="150" t="s">
        <v>592</v>
      </c>
      <c r="T23" s="150">
        <f>0.55*296.61/24.45</f>
        <v>6.6722085889570559</v>
      </c>
      <c r="U23" s="150">
        <f t="shared" si="13"/>
        <v>6.0327885991820045</v>
      </c>
      <c r="V23" s="155" t="str">
        <f t="shared" si="0"/>
        <v/>
      </c>
      <c r="W23" s="155" t="str">
        <f t="shared" si="14"/>
        <v/>
      </c>
      <c r="X23" s="155" t="str">
        <f t="shared" si="15"/>
        <v/>
      </c>
      <c r="Y23" s="155" t="str">
        <f t="shared" si="16"/>
        <v/>
      </c>
      <c r="Z23" s="155" t="str">
        <f t="shared" si="17"/>
        <v/>
      </c>
      <c r="AA23" s="155" t="str">
        <f t="shared" si="18"/>
        <v/>
      </c>
      <c r="AB23" s="155" t="str">
        <f t="shared" si="19"/>
        <v/>
      </c>
      <c r="AC23" s="232"/>
      <c r="AD23" s="233"/>
      <c r="AE23" s="150" t="s">
        <v>867</v>
      </c>
      <c r="AF23" s="222"/>
      <c r="AG23" s="150" t="s">
        <v>876</v>
      </c>
      <c r="AH23" s="155"/>
      <c r="AI23" s="150">
        <f t="shared" si="1"/>
        <v>6.0327885991820045</v>
      </c>
      <c r="AJ23" s="150">
        <f t="shared" si="20"/>
        <v>1.7972093580991182</v>
      </c>
      <c r="AK23" s="155" t="str">
        <f t="shared" si="2"/>
        <v/>
      </c>
      <c r="AL23" s="155" t="str">
        <f t="shared" si="3"/>
        <v/>
      </c>
      <c r="AM23" s="155" t="str">
        <f t="shared" si="4"/>
        <v/>
      </c>
      <c r="AN23" s="155" t="str">
        <f t="shared" si="5"/>
        <v/>
      </c>
      <c r="AO23" s="155" t="str">
        <f t="shared" si="6"/>
        <v/>
      </c>
      <c r="AP23" s="155" t="str">
        <f t="shared" si="7"/>
        <v/>
      </c>
      <c r="AQ23" s="155" t="str">
        <f t="shared" si="8"/>
        <v/>
      </c>
      <c r="AR23" s="155" t="str">
        <f t="shared" si="9"/>
        <v/>
      </c>
      <c r="AS23" s="155" t="str">
        <f t="shared" si="10"/>
        <v/>
      </c>
      <c r="AT23" s="155" t="str">
        <f t="shared" si="11"/>
        <v/>
      </c>
      <c r="AU23" s="155" t="str">
        <f t="shared" si="12"/>
        <v/>
      </c>
      <c r="AV23" s="155" t="str">
        <f t="shared" si="21"/>
        <v/>
      </c>
    </row>
    <row r="24" spans="1:48" ht="201.5" x14ac:dyDescent="0.35">
      <c r="A24" s="150">
        <v>5885380</v>
      </c>
      <c r="B24" s="150" t="s">
        <v>600</v>
      </c>
      <c r="C24" s="150" t="s">
        <v>601</v>
      </c>
      <c r="D24" s="150">
        <v>1977</v>
      </c>
      <c r="E24" s="150" t="s">
        <v>590</v>
      </c>
      <c r="F24" s="148" t="s">
        <v>866</v>
      </c>
      <c r="G24" s="150"/>
      <c r="H24" s="149" t="s">
        <v>609</v>
      </c>
      <c r="I24" s="150" t="s">
        <v>50</v>
      </c>
      <c r="J24" s="150" t="s">
        <v>572</v>
      </c>
      <c r="K24" s="150" t="s">
        <v>239</v>
      </c>
      <c r="L24" s="234">
        <v>28031</v>
      </c>
      <c r="M24" s="150">
        <f>420-25</f>
        <v>395</v>
      </c>
      <c r="N24" s="150">
        <v>1</v>
      </c>
      <c r="O24" s="150" t="s">
        <v>592</v>
      </c>
      <c r="P24" s="150" t="s">
        <v>592</v>
      </c>
      <c r="Q24" s="150" t="s">
        <v>592</v>
      </c>
      <c r="R24" s="150" t="s">
        <v>592</v>
      </c>
      <c r="S24" s="150" t="s">
        <v>592</v>
      </c>
      <c r="T24" s="150">
        <f>0.68*296.61/24.45</f>
        <v>8.2492760736196331</v>
      </c>
      <c r="U24" s="150">
        <f t="shared" si="13"/>
        <v>6.7884667689161562</v>
      </c>
      <c r="V24" s="155" t="str">
        <f t="shared" si="0"/>
        <v/>
      </c>
      <c r="W24" s="155" t="str">
        <f t="shared" si="14"/>
        <v/>
      </c>
      <c r="X24" s="155" t="str">
        <f t="shared" si="15"/>
        <v/>
      </c>
      <c r="Y24" s="155" t="str">
        <f t="shared" si="16"/>
        <v/>
      </c>
      <c r="Z24" s="155" t="str">
        <f t="shared" si="17"/>
        <v/>
      </c>
      <c r="AA24" s="155" t="str">
        <f t="shared" si="18"/>
        <v/>
      </c>
      <c r="AB24" s="155" t="str">
        <f t="shared" si="19"/>
        <v/>
      </c>
      <c r="AC24" s="232"/>
      <c r="AD24" s="233"/>
      <c r="AE24" s="150" t="s">
        <v>867</v>
      </c>
      <c r="AF24" s="222"/>
      <c r="AG24" s="150" t="s">
        <v>876</v>
      </c>
      <c r="AH24" s="155"/>
      <c r="AI24" s="150">
        <f t="shared" si="1"/>
        <v>6.7884667689161562</v>
      </c>
      <c r="AJ24" s="150">
        <f t="shared" si="20"/>
        <v>1.9152251088434709</v>
      </c>
      <c r="AK24" s="155" t="str">
        <f t="shared" si="2"/>
        <v/>
      </c>
      <c r="AL24" s="155" t="str">
        <f t="shared" si="3"/>
        <v/>
      </c>
      <c r="AM24" s="155" t="str">
        <f t="shared" si="4"/>
        <v/>
      </c>
      <c r="AN24" s="155" t="str">
        <f t="shared" si="5"/>
        <v/>
      </c>
      <c r="AO24" s="155" t="str">
        <f t="shared" si="6"/>
        <v/>
      </c>
      <c r="AP24" s="155" t="str">
        <f t="shared" si="7"/>
        <v/>
      </c>
      <c r="AQ24" s="155" t="str">
        <f t="shared" si="8"/>
        <v/>
      </c>
      <c r="AR24" s="155" t="str">
        <f t="shared" si="9"/>
        <v/>
      </c>
      <c r="AS24" s="155" t="str">
        <f t="shared" si="10"/>
        <v/>
      </c>
      <c r="AT24" s="155" t="str">
        <f t="shared" si="11"/>
        <v/>
      </c>
      <c r="AU24" s="155" t="str">
        <f t="shared" si="12"/>
        <v/>
      </c>
      <c r="AV24" s="155" t="str">
        <f t="shared" si="21"/>
        <v/>
      </c>
    </row>
    <row r="25" spans="1:48" ht="201.5" x14ac:dyDescent="0.35">
      <c r="A25" s="150">
        <v>5885380</v>
      </c>
      <c r="B25" s="150" t="s">
        <v>600</v>
      </c>
      <c r="C25" s="150" t="s">
        <v>601</v>
      </c>
      <c r="D25" s="150">
        <v>1977</v>
      </c>
      <c r="E25" s="150" t="s">
        <v>590</v>
      </c>
      <c r="F25" s="148" t="s">
        <v>866</v>
      </c>
      <c r="G25" s="150"/>
      <c r="H25" s="149" t="s">
        <v>610</v>
      </c>
      <c r="I25" s="150" t="s">
        <v>50</v>
      </c>
      <c r="J25" s="150" t="s">
        <v>572</v>
      </c>
      <c r="K25" s="150" t="s">
        <v>239</v>
      </c>
      <c r="L25" s="234">
        <v>28031</v>
      </c>
      <c r="M25" s="150">
        <f>420-25</f>
        <v>395</v>
      </c>
      <c r="N25" s="150">
        <v>1</v>
      </c>
      <c r="O25" s="150" t="s">
        <v>592</v>
      </c>
      <c r="P25" s="150" t="s">
        <v>592</v>
      </c>
      <c r="Q25" s="150" t="s">
        <v>592</v>
      </c>
      <c r="R25" s="150" t="s">
        <v>592</v>
      </c>
      <c r="S25" s="150" t="s">
        <v>592</v>
      </c>
      <c r="T25" s="150">
        <f>0.49*296.61/24.45</f>
        <v>5.944331288343558</v>
      </c>
      <c r="U25" s="150">
        <f t="shared" si="13"/>
        <v>4.8916892893660524</v>
      </c>
      <c r="V25" s="155" t="str">
        <f t="shared" si="0"/>
        <v/>
      </c>
      <c r="W25" s="155" t="str">
        <f t="shared" si="14"/>
        <v/>
      </c>
      <c r="X25" s="155" t="str">
        <f t="shared" si="15"/>
        <v/>
      </c>
      <c r="Y25" s="155" t="str">
        <f t="shared" si="16"/>
        <v/>
      </c>
      <c r="Z25" s="155" t="str">
        <f t="shared" si="17"/>
        <v/>
      </c>
      <c r="AA25" s="155" t="str">
        <f t="shared" si="18"/>
        <v/>
      </c>
      <c r="AB25" s="155" t="str">
        <f t="shared" si="19"/>
        <v/>
      </c>
      <c r="AC25" s="232"/>
      <c r="AD25" s="233"/>
      <c r="AE25" s="150" t="s">
        <v>867</v>
      </c>
      <c r="AF25" s="222"/>
      <c r="AG25" s="150" t="s">
        <v>876</v>
      </c>
      <c r="AH25" s="155"/>
      <c r="AI25" s="150">
        <f t="shared" si="1"/>
        <v>4.8916892893660524</v>
      </c>
      <c r="AJ25" s="150">
        <f t="shared" si="20"/>
        <v>1.5875377017779906</v>
      </c>
      <c r="AK25" s="155" t="str">
        <f t="shared" si="2"/>
        <v/>
      </c>
      <c r="AL25" s="155" t="str">
        <f t="shared" si="3"/>
        <v/>
      </c>
      <c r="AM25" s="155" t="str">
        <f t="shared" si="4"/>
        <v/>
      </c>
      <c r="AN25" s="155" t="str">
        <f t="shared" si="5"/>
        <v/>
      </c>
      <c r="AO25" s="155" t="str">
        <f t="shared" si="6"/>
        <v/>
      </c>
      <c r="AP25" s="155" t="str">
        <f t="shared" si="7"/>
        <v/>
      </c>
      <c r="AQ25" s="155" t="str">
        <f t="shared" si="8"/>
        <v/>
      </c>
      <c r="AR25" s="155" t="str">
        <f t="shared" si="9"/>
        <v/>
      </c>
      <c r="AS25" s="155" t="str">
        <f t="shared" si="10"/>
        <v/>
      </c>
      <c r="AT25" s="155" t="str">
        <f t="shared" si="11"/>
        <v/>
      </c>
      <c r="AU25" s="155" t="str">
        <f t="shared" si="12"/>
        <v/>
      </c>
      <c r="AV25" s="155" t="str">
        <f t="shared" si="21"/>
        <v/>
      </c>
    </row>
    <row r="26" spans="1:48" ht="201.5" x14ac:dyDescent="0.35">
      <c r="A26" s="150">
        <v>5885380</v>
      </c>
      <c r="B26" s="150" t="s">
        <v>600</v>
      </c>
      <c r="C26" s="150" t="s">
        <v>601</v>
      </c>
      <c r="D26" s="150">
        <v>1977</v>
      </c>
      <c r="E26" s="150" t="s">
        <v>590</v>
      </c>
      <c r="F26" s="148" t="s">
        <v>866</v>
      </c>
      <c r="G26" s="150"/>
      <c r="H26" s="149" t="s">
        <v>610</v>
      </c>
      <c r="I26" s="150" t="s">
        <v>50</v>
      </c>
      <c r="J26" s="150" t="s">
        <v>572</v>
      </c>
      <c r="K26" s="150" t="s">
        <v>239</v>
      </c>
      <c r="L26" s="234">
        <v>28032</v>
      </c>
      <c r="M26" s="150">
        <f>420-15</f>
        <v>405</v>
      </c>
      <c r="N26" s="150">
        <v>1</v>
      </c>
      <c r="O26" s="150" t="s">
        <v>592</v>
      </c>
      <c r="P26" s="150" t="s">
        <v>592</v>
      </c>
      <c r="Q26" s="150" t="s">
        <v>592</v>
      </c>
      <c r="R26" s="150" t="s">
        <v>592</v>
      </c>
      <c r="S26" s="150" t="s">
        <v>592</v>
      </c>
      <c r="T26" s="150">
        <f>0.17*296.61/24.45</f>
        <v>2.0623190184049083</v>
      </c>
      <c r="U26" s="150">
        <f t="shared" si="13"/>
        <v>1.7400816717791414</v>
      </c>
      <c r="V26" s="155" t="str">
        <f t="shared" si="0"/>
        <v/>
      </c>
      <c r="W26" s="155" t="str">
        <f t="shared" si="14"/>
        <v/>
      </c>
      <c r="X26" s="155" t="str">
        <f t="shared" si="15"/>
        <v/>
      </c>
      <c r="Y26" s="155" t="str">
        <f t="shared" si="16"/>
        <v/>
      </c>
      <c r="Z26" s="155" t="str">
        <f t="shared" si="17"/>
        <v/>
      </c>
      <c r="AA26" s="155" t="str">
        <f t="shared" si="18"/>
        <v/>
      </c>
      <c r="AB26" s="155" t="str">
        <f t="shared" si="19"/>
        <v/>
      </c>
      <c r="AC26" s="232"/>
      <c r="AD26" s="233"/>
      <c r="AE26" s="150" t="s">
        <v>867</v>
      </c>
      <c r="AF26" s="222"/>
      <c r="AG26" s="150" t="s">
        <v>876</v>
      </c>
      <c r="AH26" s="155"/>
      <c r="AI26" s="150">
        <f t="shared" si="1"/>
        <v>1.7400816717791414</v>
      </c>
      <c r="AJ26" s="150">
        <f t="shared" si="20"/>
        <v>0.55393204992899769</v>
      </c>
      <c r="AK26" s="155" t="str">
        <f t="shared" si="2"/>
        <v/>
      </c>
      <c r="AL26" s="155" t="str">
        <f t="shared" si="3"/>
        <v/>
      </c>
      <c r="AM26" s="155" t="str">
        <f t="shared" si="4"/>
        <v/>
      </c>
      <c r="AN26" s="155" t="str">
        <f t="shared" si="5"/>
        <v/>
      </c>
      <c r="AO26" s="155" t="str">
        <f t="shared" si="6"/>
        <v/>
      </c>
      <c r="AP26" s="155" t="str">
        <f t="shared" si="7"/>
        <v/>
      </c>
      <c r="AQ26" s="155" t="str">
        <f t="shared" si="8"/>
        <v/>
      </c>
      <c r="AR26" s="155" t="str">
        <f t="shared" si="9"/>
        <v/>
      </c>
      <c r="AS26" s="155" t="str">
        <f t="shared" si="10"/>
        <v/>
      </c>
      <c r="AT26" s="155" t="str">
        <f t="shared" si="11"/>
        <v/>
      </c>
      <c r="AU26" s="155" t="str">
        <f t="shared" si="12"/>
        <v/>
      </c>
      <c r="AV26" s="155" t="str">
        <f t="shared" si="21"/>
        <v/>
      </c>
    </row>
    <row r="27" spans="1:48" ht="201.5" x14ac:dyDescent="0.35">
      <c r="A27" s="150">
        <v>5885380</v>
      </c>
      <c r="B27" s="150" t="s">
        <v>600</v>
      </c>
      <c r="C27" s="150" t="s">
        <v>601</v>
      </c>
      <c r="D27" s="150">
        <v>1977</v>
      </c>
      <c r="E27" s="150" t="s">
        <v>590</v>
      </c>
      <c r="F27" s="148" t="s">
        <v>866</v>
      </c>
      <c r="G27" s="150"/>
      <c r="H27" s="149" t="s">
        <v>609</v>
      </c>
      <c r="I27" s="150" t="s">
        <v>50</v>
      </c>
      <c r="J27" s="150" t="s">
        <v>572</v>
      </c>
      <c r="K27" s="150" t="s">
        <v>239</v>
      </c>
      <c r="L27" s="234">
        <v>28032</v>
      </c>
      <c r="M27" s="150">
        <f>420-15</f>
        <v>405</v>
      </c>
      <c r="N27" s="150">
        <v>1</v>
      </c>
      <c r="O27" s="150" t="s">
        <v>592</v>
      </c>
      <c r="P27" s="150" t="s">
        <v>592</v>
      </c>
      <c r="Q27" s="150" t="s">
        <v>592</v>
      </c>
      <c r="R27" s="150" t="s">
        <v>592</v>
      </c>
      <c r="S27" s="150" t="s">
        <v>592</v>
      </c>
      <c r="T27" s="150">
        <f>0.17*296.61/24.45</f>
        <v>2.0623190184049083</v>
      </c>
      <c r="U27" s="150">
        <f t="shared" si="13"/>
        <v>1.7400816717791414</v>
      </c>
      <c r="V27" s="155" t="str">
        <f t="shared" si="0"/>
        <v/>
      </c>
      <c r="W27" s="155" t="str">
        <f t="shared" si="14"/>
        <v/>
      </c>
      <c r="X27" s="155" t="str">
        <f t="shared" si="15"/>
        <v/>
      </c>
      <c r="Y27" s="155" t="str">
        <f t="shared" si="16"/>
        <v/>
      </c>
      <c r="Z27" s="155" t="str">
        <f t="shared" si="17"/>
        <v/>
      </c>
      <c r="AA27" s="155" t="str">
        <f t="shared" si="18"/>
        <v/>
      </c>
      <c r="AB27" s="155" t="str">
        <f t="shared" si="19"/>
        <v/>
      </c>
      <c r="AC27" s="232"/>
      <c r="AD27" s="233"/>
      <c r="AE27" s="150" t="s">
        <v>867</v>
      </c>
      <c r="AF27" s="222"/>
      <c r="AG27" s="150" t="s">
        <v>876</v>
      </c>
      <c r="AH27" s="155"/>
      <c r="AI27" s="150">
        <f t="shared" si="1"/>
        <v>1.7400816717791414</v>
      </c>
      <c r="AJ27" s="150">
        <f t="shared" si="20"/>
        <v>0.55393204992899769</v>
      </c>
      <c r="AK27" s="155" t="str">
        <f t="shared" si="2"/>
        <v/>
      </c>
      <c r="AL27" s="155" t="str">
        <f t="shared" si="3"/>
        <v/>
      </c>
      <c r="AM27" s="155" t="str">
        <f t="shared" si="4"/>
        <v/>
      </c>
      <c r="AN27" s="155" t="str">
        <f t="shared" si="5"/>
        <v/>
      </c>
      <c r="AO27" s="155" t="str">
        <f t="shared" si="6"/>
        <v/>
      </c>
      <c r="AP27" s="155" t="str">
        <f t="shared" si="7"/>
        <v/>
      </c>
      <c r="AQ27" s="155" t="str">
        <f t="shared" si="8"/>
        <v/>
      </c>
      <c r="AR27" s="155" t="str">
        <f t="shared" si="9"/>
        <v/>
      </c>
      <c r="AS27" s="155" t="str">
        <f t="shared" si="10"/>
        <v/>
      </c>
      <c r="AT27" s="155" t="str">
        <f t="shared" si="11"/>
        <v/>
      </c>
      <c r="AU27" s="155" t="str">
        <f t="shared" si="12"/>
        <v/>
      </c>
      <c r="AV27" s="155" t="str">
        <f t="shared" si="21"/>
        <v/>
      </c>
    </row>
    <row r="28" spans="1:48" ht="201.5" x14ac:dyDescent="0.35">
      <c r="A28" s="150">
        <v>5885380</v>
      </c>
      <c r="B28" s="150" t="s">
        <v>600</v>
      </c>
      <c r="C28" s="150" t="s">
        <v>601</v>
      </c>
      <c r="D28" s="150">
        <v>1977</v>
      </c>
      <c r="E28" s="150" t="s">
        <v>590</v>
      </c>
      <c r="F28" s="148" t="s">
        <v>866</v>
      </c>
      <c r="G28" s="150"/>
      <c r="H28" s="237" t="s">
        <v>611</v>
      </c>
      <c r="I28" s="150" t="s">
        <v>50</v>
      </c>
      <c r="J28" s="150" t="s">
        <v>572</v>
      </c>
      <c r="K28" s="150" t="s">
        <v>241</v>
      </c>
      <c r="L28" s="150" t="s">
        <v>612</v>
      </c>
      <c r="M28" s="150">
        <f>18*60</f>
        <v>1080</v>
      </c>
      <c r="N28" s="150">
        <v>1</v>
      </c>
      <c r="O28" s="150" t="s">
        <v>592</v>
      </c>
      <c r="P28" s="150" t="s">
        <v>592</v>
      </c>
      <c r="Q28" s="150" t="s">
        <v>592</v>
      </c>
      <c r="R28" s="150" t="s">
        <v>592</v>
      </c>
      <c r="S28" s="150" t="s">
        <v>592</v>
      </c>
      <c r="T28" s="150">
        <f>2.2*296.61/24.45</f>
        <v>26.688834355828224</v>
      </c>
      <c r="U28" s="150" t="str">
        <f t="shared" si="13"/>
        <v/>
      </c>
      <c r="V28" s="155" t="str">
        <f t="shared" si="0"/>
        <v/>
      </c>
      <c r="W28" s="155" t="str">
        <f t="shared" si="14"/>
        <v/>
      </c>
      <c r="X28" s="155" t="str">
        <f t="shared" si="15"/>
        <v/>
      </c>
      <c r="Y28" s="155" t="str">
        <f t="shared" si="16"/>
        <v/>
      </c>
      <c r="Z28" s="155" t="str">
        <f t="shared" si="17"/>
        <v/>
      </c>
      <c r="AA28" s="155" t="str">
        <f t="shared" si="18"/>
        <v/>
      </c>
      <c r="AB28" s="155" t="str">
        <f t="shared" si="19"/>
        <v/>
      </c>
      <c r="AC28" s="232"/>
      <c r="AD28" s="233"/>
      <c r="AE28" s="150" t="s">
        <v>868</v>
      </c>
      <c r="AF28" s="222"/>
      <c r="AG28" s="148" t="s">
        <v>877</v>
      </c>
      <c r="AH28" s="155"/>
      <c r="AI28" s="150" t="str">
        <f t="shared" si="1"/>
        <v/>
      </c>
      <c r="AJ28" s="150" t="str">
        <f t="shared" si="20"/>
        <v/>
      </c>
      <c r="AK28" s="155" t="str">
        <f t="shared" si="2"/>
        <v/>
      </c>
      <c r="AL28" s="155" t="str">
        <f t="shared" si="3"/>
        <v/>
      </c>
      <c r="AM28" s="155" t="str">
        <f t="shared" si="4"/>
        <v/>
      </c>
      <c r="AN28" s="155" t="str">
        <f t="shared" si="5"/>
        <v/>
      </c>
      <c r="AO28" s="155" t="str">
        <f t="shared" si="6"/>
        <v/>
      </c>
      <c r="AP28" s="155" t="str">
        <f t="shared" si="7"/>
        <v/>
      </c>
      <c r="AQ28" s="155" t="str">
        <f t="shared" si="8"/>
        <v/>
      </c>
      <c r="AR28" s="155" t="str">
        <f t="shared" si="9"/>
        <v/>
      </c>
      <c r="AS28" s="155" t="str">
        <f t="shared" si="10"/>
        <v/>
      </c>
      <c r="AT28" s="155" t="str">
        <f t="shared" si="11"/>
        <v/>
      </c>
      <c r="AU28" s="155" t="str">
        <f t="shared" si="12"/>
        <v/>
      </c>
      <c r="AV28" s="155" t="str">
        <f t="shared" si="21"/>
        <v/>
      </c>
    </row>
    <row r="29" spans="1:48" ht="201.5" x14ac:dyDescent="0.35">
      <c r="A29" s="150">
        <v>5885380</v>
      </c>
      <c r="B29" s="150" t="s">
        <v>600</v>
      </c>
      <c r="C29" s="150" t="s">
        <v>601</v>
      </c>
      <c r="D29" s="150">
        <v>1977</v>
      </c>
      <c r="E29" s="150" t="s">
        <v>590</v>
      </c>
      <c r="F29" s="148" t="s">
        <v>866</v>
      </c>
      <c r="G29" s="150"/>
      <c r="H29" s="237" t="s">
        <v>611</v>
      </c>
      <c r="I29" s="150" t="s">
        <v>50</v>
      </c>
      <c r="J29" s="150" t="s">
        <v>572</v>
      </c>
      <c r="K29" s="150" t="s">
        <v>241</v>
      </c>
      <c r="L29" s="234">
        <v>28031</v>
      </c>
      <c r="M29" s="150">
        <f>420-25</f>
        <v>395</v>
      </c>
      <c r="N29" s="150">
        <v>1</v>
      </c>
      <c r="O29" s="150" t="s">
        <v>592</v>
      </c>
      <c r="P29" s="150" t="s">
        <v>592</v>
      </c>
      <c r="Q29" s="150" t="s">
        <v>592</v>
      </c>
      <c r="R29" s="150" t="s">
        <v>592</v>
      </c>
      <c r="S29" s="150" t="s">
        <v>592</v>
      </c>
      <c r="T29" s="150">
        <f>0.4*296.61/24.45</f>
        <v>4.8525153374233136</v>
      </c>
      <c r="U29" s="150" t="str">
        <f t="shared" si="13"/>
        <v/>
      </c>
      <c r="V29" s="155" t="str">
        <f t="shared" si="0"/>
        <v/>
      </c>
      <c r="W29" s="155" t="str">
        <f t="shared" si="14"/>
        <v/>
      </c>
      <c r="X29" s="155" t="str">
        <f t="shared" si="15"/>
        <v/>
      </c>
      <c r="Y29" s="155" t="str">
        <f t="shared" si="16"/>
        <v/>
      </c>
      <c r="Z29" s="155" t="str">
        <f t="shared" si="17"/>
        <v/>
      </c>
      <c r="AA29" s="155" t="str">
        <f t="shared" si="18"/>
        <v/>
      </c>
      <c r="AB29" s="155" t="str">
        <f t="shared" si="19"/>
        <v/>
      </c>
      <c r="AC29" s="232"/>
      <c r="AD29" s="233"/>
      <c r="AE29" s="150" t="s">
        <v>868</v>
      </c>
      <c r="AF29" s="222"/>
      <c r="AG29" s="148" t="s">
        <v>877</v>
      </c>
      <c r="AH29" s="155"/>
      <c r="AI29" s="150" t="str">
        <f t="shared" si="1"/>
        <v/>
      </c>
      <c r="AJ29" s="150" t="str">
        <f t="shared" si="20"/>
        <v/>
      </c>
      <c r="AK29" s="155" t="str">
        <f t="shared" si="2"/>
        <v/>
      </c>
      <c r="AL29" s="155" t="str">
        <f t="shared" si="3"/>
        <v/>
      </c>
      <c r="AM29" s="155" t="str">
        <f t="shared" si="4"/>
        <v/>
      </c>
      <c r="AN29" s="155" t="str">
        <f t="shared" si="5"/>
        <v/>
      </c>
      <c r="AO29" s="155" t="str">
        <f t="shared" si="6"/>
        <v/>
      </c>
      <c r="AP29" s="155" t="str">
        <f t="shared" si="7"/>
        <v/>
      </c>
      <c r="AQ29" s="155" t="str">
        <f t="shared" si="8"/>
        <v/>
      </c>
      <c r="AR29" s="155" t="str">
        <f t="shared" si="9"/>
        <v/>
      </c>
      <c r="AS29" s="155" t="str">
        <f t="shared" si="10"/>
        <v/>
      </c>
      <c r="AT29" s="155" t="str">
        <f t="shared" si="11"/>
        <v/>
      </c>
      <c r="AU29" s="155" t="str">
        <f t="shared" si="12"/>
        <v/>
      </c>
      <c r="AV29" s="155" t="str">
        <f t="shared" si="21"/>
        <v/>
      </c>
    </row>
    <row r="30" spans="1:48" ht="201.5" x14ac:dyDescent="0.35">
      <c r="A30" s="150">
        <v>5885380</v>
      </c>
      <c r="B30" s="150" t="s">
        <v>600</v>
      </c>
      <c r="C30" s="150" t="s">
        <v>601</v>
      </c>
      <c r="D30" s="150">
        <v>1977</v>
      </c>
      <c r="E30" s="150" t="s">
        <v>590</v>
      </c>
      <c r="F30" s="148" t="s">
        <v>866</v>
      </c>
      <c r="G30" s="150"/>
      <c r="H30" s="237" t="s">
        <v>613</v>
      </c>
      <c r="I30" s="150" t="s">
        <v>614</v>
      </c>
      <c r="J30" s="150" t="s">
        <v>572</v>
      </c>
      <c r="K30" s="150" t="s">
        <v>241</v>
      </c>
      <c r="L30" s="234">
        <v>28031</v>
      </c>
      <c r="M30" s="150">
        <f>420-25</f>
        <v>395</v>
      </c>
      <c r="N30" s="150">
        <v>1</v>
      </c>
      <c r="O30" s="150" t="s">
        <v>592</v>
      </c>
      <c r="P30" s="150" t="s">
        <v>592</v>
      </c>
      <c r="Q30" s="150" t="s">
        <v>592</v>
      </c>
      <c r="R30" s="150" t="s">
        <v>592</v>
      </c>
      <c r="S30" s="150" t="s">
        <v>592</v>
      </c>
      <c r="T30" s="150">
        <f>0.44*296.61/24.45</f>
        <v>5.3377668711656439</v>
      </c>
      <c r="U30" s="150" t="str">
        <f t="shared" si="13"/>
        <v/>
      </c>
      <c r="V30" s="155" t="str">
        <f t="shared" si="0"/>
        <v/>
      </c>
      <c r="W30" s="155" t="str">
        <f t="shared" si="14"/>
        <v/>
      </c>
      <c r="X30" s="155" t="str">
        <f t="shared" si="15"/>
        <v/>
      </c>
      <c r="Y30" s="155" t="str">
        <f t="shared" si="16"/>
        <v/>
      </c>
      <c r="Z30" s="155" t="str">
        <f t="shared" si="17"/>
        <v/>
      </c>
      <c r="AA30" s="155" t="str">
        <f t="shared" si="18"/>
        <v/>
      </c>
      <c r="AB30" s="155" t="str">
        <f t="shared" si="19"/>
        <v/>
      </c>
      <c r="AC30" s="232"/>
      <c r="AD30" s="233"/>
      <c r="AE30" s="150" t="s">
        <v>868</v>
      </c>
      <c r="AF30" s="222"/>
      <c r="AG30" s="148" t="s">
        <v>877</v>
      </c>
      <c r="AH30" s="155"/>
      <c r="AI30" s="150" t="str">
        <f t="shared" si="1"/>
        <v/>
      </c>
      <c r="AJ30" s="150" t="str">
        <f t="shared" si="20"/>
        <v/>
      </c>
      <c r="AK30" s="155" t="str">
        <f t="shared" si="2"/>
        <v/>
      </c>
      <c r="AL30" s="155" t="str">
        <f t="shared" si="3"/>
        <v/>
      </c>
      <c r="AM30" s="155" t="str">
        <f t="shared" si="4"/>
        <v/>
      </c>
      <c r="AN30" s="155" t="str">
        <f t="shared" si="5"/>
        <v/>
      </c>
      <c r="AO30" s="155" t="str">
        <f t="shared" si="6"/>
        <v/>
      </c>
      <c r="AP30" s="155" t="str">
        <f t="shared" si="7"/>
        <v/>
      </c>
      <c r="AQ30" s="155" t="str">
        <f t="shared" si="8"/>
        <v/>
      </c>
      <c r="AR30" s="155" t="str">
        <f t="shared" si="9"/>
        <v/>
      </c>
      <c r="AS30" s="155" t="str">
        <f t="shared" si="10"/>
        <v/>
      </c>
      <c r="AT30" s="155" t="str">
        <f t="shared" si="11"/>
        <v/>
      </c>
      <c r="AU30" s="155" t="str">
        <f t="shared" si="12"/>
        <v/>
      </c>
      <c r="AV30" s="155" t="str">
        <f t="shared" si="21"/>
        <v/>
      </c>
    </row>
    <row r="31" spans="1:48" ht="201.5" x14ac:dyDescent="0.35">
      <c r="A31" s="150">
        <v>5885380</v>
      </c>
      <c r="B31" s="150" t="s">
        <v>600</v>
      </c>
      <c r="C31" s="150" t="s">
        <v>601</v>
      </c>
      <c r="D31" s="150">
        <v>1977</v>
      </c>
      <c r="E31" s="150" t="s">
        <v>590</v>
      </c>
      <c r="F31" s="148" t="s">
        <v>866</v>
      </c>
      <c r="G31" s="150"/>
      <c r="H31" s="237" t="s">
        <v>611</v>
      </c>
      <c r="I31" s="150" t="s">
        <v>50</v>
      </c>
      <c r="J31" s="150" t="s">
        <v>572</v>
      </c>
      <c r="K31" s="150" t="s">
        <v>241</v>
      </c>
      <c r="L31" s="234">
        <v>28032</v>
      </c>
      <c r="M31" s="150">
        <f>420-15</f>
        <v>405</v>
      </c>
      <c r="N31" s="150">
        <v>1</v>
      </c>
      <c r="O31" s="150" t="s">
        <v>592</v>
      </c>
      <c r="P31" s="150" t="s">
        <v>592</v>
      </c>
      <c r="Q31" s="150" t="s">
        <v>592</v>
      </c>
      <c r="R31" s="150" t="s">
        <v>592</v>
      </c>
      <c r="S31" s="150" t="s">
        <v>592</v>
      </c>
      <c r="T31" s="150">
        <f>0.28*296.61/24.45</f>
        <v>3.3967607361963195</v>
      </c>
      <c r="U31" s="150" t="str">
        <f t="shared" si="13"/>
        <v/>
      </c>
      <c r="V31" s="155" t="str">
        <f t="shared" si="0"/>
        <v/>
      </c>
      <c r="W31" s="155" t="str">
        <f t="shared" si="14"/>
        <v/>
      </c>
      <c r="X31" s="155" t="str">
        <f t="shared" si="15"/>
        <v/>
      </c>
      <c r="Y31" s="155" t="str">
        <f t="shared" si="16"/>
        <v/>
      </c>
      <c r="Z31" s="155" t="str">
        <f t="shared" si="17"/>
        <v/>
      </c>
      <c r="AA31" s="155" t="str">
        <f t="shared" si="18"/>
        <v/>
      </c>
      <c r="AB31" s="155" t="str">
        <f t="shared" si="19"/>
        <v/>
      </c>
      <c r="AC31" s="232"/>
      <c r="AD31" s="233"/>
      <c r="AE31" s="150" t="s">
        <v>868</v>
      </c>
      <c r="AF31" s="222"/>
      <c r="AG31" s="148" t="s">
        <v>877</v>
      </c>
      <c r="AH31" s="155"/>
      <c r="AI31" s="150" t="str">
        <f t="shared" si="1"/>
        <v/>
      </c>
      <c r="AJ31" s="150" t="str">
        <f t="shared" si="20"/>
        <v/>
      </c>
      <c r="AK31" s="155" t="str">
        <f t="shared" si="2"/>
        <v/>
      </c>
      <c r="AL31" s="155" t="str">
        <f t="shared" si="3"/>
        <v/>
      </c>
      <c r="AM31" s="155" t="str">
        <f t="shared" si="4"/>
        <v/>
      </c>
      <c r="AN31" s="155" t="str">
        <f t="shared" si="5"/>
        <v/>
      </c>
      <c r="AO31" s="155" t="str">
        <f t="shared" si="6"/>
        <v/>
      </c>
      <c r="AP31" s="155" t="str">
        <f t="shared" si="7"/>
        <v/>
      </c>
      <c r="AQ31" s="155" t="str">
        <f t="shared" si="8"/>
        <v/>
      </c>
      <c r="AR31" s="155" t="str">
        <f t="shared" si="9"/>
        <v/>
      </c>
      <c r="AS31" s="155" t="str">
        <f t="shared" si="10"/>
        <v/>
      </c>
      <c r="AT31" s="155" t="str">
        <f t="shared" si="11"/>
        <v/>
      </c>
      <c r="AU31" s="155" t="str">
        <f t="shared" si="12"/>
        <v/>
      </c>
      <c r="AV31" s="155" t="str">
        <f t="shared" si="21"/>
        <v/>
      </c>
    </row>
    <row r="32" spans="1:48" ht="201.5" x14ac:dyDescent="0.35">
      <c r="A32" s="150">
        <v>5885380</v>
      </c>
      <c r="B32" s="150" t="s">
        <v>600</v>
      </c>
      <c r="C32" s="150" t="s">
        <v>601</v>
      </c>
      <c r="D32" s="150">
        <v>1977</v>
      </c>
      <c r="E32" s="150" t="s">
        <v>590</v>
      </c>
      <c r="F32" s="148" t="s">
        <v>866</v>
      </c>
      <c r="G32" s="150"/>
      <c r="H32" s="237" t="s">
        <v>613</v>
      </c>
      <c r="I32" s="150" t="s">
        <v>614</v>
      </c>
      <c r="J32" s="150" t="s">
        <v>572</v>
      </c>
      <c r="K32" s="150" t="s">
        <v>241</v>
      </c>
      <c r="L32" s="234">
        <v>28032</v>
      </c>
      <c r="M32" s="150">
        <f>420-15</f>
        <v>405</v>
      </c>
      <c r="N32" s="150">
        <v>1</v>
      </c>
      <c r="O32" s="150" t="s">
        <v>592</v>
      </c>
      <c r="P32" s="150" t="s">
        <v>592</v>
      </c>
      <c r="Q32" s="150" t="s">
        <v>592</v>
      </c>
      <c r="R32" s="150" t="s">
        <v>592</v>
      </c>
      <c r="S32" s="150" t="s">
        <v>592</v>
      </c>
      <c r="T32" s="150">
        <f>0.56*296.61/24.45</f>
        <v>6.7935214723926389</v>
      </c>
      <c r="U32" s="150" t="str">
        <f t="shared" si="13"/>
        <v/>
      </c>
      <c r="V32" s="155" t="str">
        <f t="shared" si="0"/>
        <v/>
      </c>
      <c r="W32" s="155" t="str">
        <f t="shared" si="14"/>
        <v/>
      </c>
      <c r="X32" s="155" t="str">
        <f t="shared" si="15"/>
        <v/>
      </c>
      <c r="Y32" s="155" t="str">
        <f t="shared" si="16"/>
        <v/>
      </c>
      <c r="Z32" s="155" t="str">
        <f t="shared" si="17"/>
        <v/>
      </c>
      <c r="AA32" s="155" t="str">
        <f t="shared" si="18"/>
        <v/>
      </c>
      <c r="AB32" s="155" t="str">
        <f t="shared" si="19"/>
        <v/>
      </c>
      <c r="AC32" s="232"/>
      <c r="AD32" s="233"/>
      <c r="AE32" s="150" t="s">
        <v>868</v>
      </c>
      <c r="AF32" s="222"/>
      <c r="AG32" s="148" t="s">
        <v>877</v>
      </c>
      <c r="AH32" s="155"/>
      <c r="AI32" s="150" t="str">
        <f t="shared" si="1"/>
        <v/>
      </c>
      <c r="AJ32" s="150" t="str">
        <f t="shared" si="20"/>
        <v/>
      </c>
      <c r="AK32" s="155" t="str">
        <f t="shared" si="2"/>
        <v/>
      </c>
      <c r="AL32" s="155" t="str">
        <f t="shared" si="3"/>
        <v/>
      </c>
      <c r="AM32" s="155" t="str">
        <f t="shared" si="4"/>
        <v/>
      </c>
      <c r="AN32" s="155" t="str">
        <f t="shared" si="5"/>
        <v/>
      </c>
      <c r="AO32" s="155" t="str">
        <f t="shared" si="6"/>
        <v/>
      </c>
      <c r="AP32" s="155" t="str">
        <f t="shared" si="7"/>
        <v/>
      </c>
      <c r="AQ32" s="155" t="str">
        <f t="shared" si="8"/>
        <v/>
      </c>
      <c r="AR32" s="155" t="str">
        <f t="shared" si="9"/>
        <v/>
      </c>
      <c r="AS32" s="155" t="str">
        <f t="shared" si="10"/>
        <v/>
      </c>
      <c r="AT32" s="155" t="str">
        <f t="shared" si="11"/>
        <v/>
      </c>
      <c r="AU32" s="155" t="str">
        <f t="shared" si="12"/>
        <v/>
      </c>
      <c r="AV32" s="155" t="str">
        <f t="shared" si="21"/>
        <v/>
      </c>
    </row>
    <row r="33" spans="1:48" ht="201.5" x14ac:dyDescent="0.35">
      <c r="A33" s="150">
        <v>5885380</v>
      </c>
      <c r="B33" s="150" t="s">
        <v>600</v>
      </c>
      <c r="C33" s="150" t="s">
        <v>601</v>
      </c>
      <c r="D33" s="150">
        <v>1977</v>
      </c>
      <c r="E33" s="150" t="s">
        <v>590</v>
      </c>
      <c r="F33" s="148" t="s">
        <v>866</v>
      </c>
      <c r="G33" s="150"/>
      <c r="H33" s="237" t="s">
        <v>615</v>
      </c>
      <c r="I33" s="150" t="s">
        <v>614</v>
      </c>
      <c r="J33" s="150" t="s">
        <v>572</v>
      </c>
      <c r="K33" s="150" t="s">
        <v>241</v>
      </c>
      <c r="L33" s="150" t="s">
        <v>144</v>
      </c>
      <c r="M33" s="235">
        <f>AVERAGE(M28:M32)</f>
        <v>536</v>
      </c>
      <c r="N33" s="150">
        <v>6</v>
      </c>
      <c r="O33" s="150">
        <f>0.28*296.61/24.45</f>
        <v>3.3967607361963195</v>
      </c>
      <c r="P33" s="150">
        <f>2.2*296.61/24.45</f>
        <v>26.688834355828224</v>
      </c>
      <c r="Q33" s="150">
        <f>0.68*296.61/24.45</f>
        <v>8.2492760736196331</v>
      </c>
      <c r="R33" s="150">
        <v>5.0951411042944788</v>
      </c>
      <c r="S33" s="236" t="s">
        <v>592</v>
      </c>
      <c r="T33" s="150"/>
      <c r="U33" s="150" t="str">
        <f t="shared" si="13"/>
        <v/>
      </c>
      <c r="V33" s="155" t="str">
        <f t="shared" si="0"/>
        <v/>
      </c>
      <c r="W33" s="155" t="str">
        <f t="shared" si="14"/>
        <v/>
      </c>
      <c r="X33" s="155" t="str">
        <f t="shared" si="15"/>
        <v/>
      </c>
      <c r="Y33" s="155" t="str">
        <f t="shared" si="16"/>
        <v/>
      </c>
      <c r="Z33" s="155" t="str">
        <f t="shared" si="17"/>
        <v/>
      </c>
      <c r="AA33" s="155" t="str">
        <f t="shared" si="18"/>
        <v/>
      </c>
      <c r="AB33" s="155" t="str">
        <f t="shared" si="19"/>
        <v/>
      </c>
      <c r="AC33" s="232"/>
      <c r="AD33" s="233"/>
      <c r="AE33" s="150" t="s">
        <v>868</v>
      </c>
      <c r="AF33" s="222"/>
      <c r="AG33" s="148" t="s">
        <v>878</v>
      </c>
      <c r="AH33" s="155"/>
      <c r="AI33" s="150" t="str">
        <f t="shared" si="1"/>
        <v/>
      </c>
      <c r="AJ33" s="150" t="str">
        <f t="shared" si="20"/>
        <v/>
      </c>
      <c r="AK33" s="155" t="str">
        <f t="shared" si="2"/>
        <v/>
      </c>
      <c r="AL33" s="155" t="str">
        <f t="shared" si="3"/>
        <v/>
      </c>
      <c r="AM33" s="155" t="str">
        <f t="shared" si="4"/>
        <v/>
      </c>
      <c r="AN33" s="155" t="str">
        <f t="shared" si="5"/>
        <v/>
      </c>
      <c r="AO33" s="155" t="str">
        <f t="shared" si="6"/>
        <v/>
      </c>
      <c r="AP33" s="155" t="str">
        <f t="shared" si="7"/>
        <v/>
      </c>
      <c r="AQ33" s="155" t="str">
        <f t="shared" si="8"/>
        <v/>
      </c>
      <c r="AR33" s="155" t="str">
        <f t="shared" si="9"/>
        <v/>
      </c>
      <c r="AS33" s="155" t="str">
        <f t="shared" si="10"/>
        <v/>
      </c>
      <c r="AT33" s="155" t="str">
        <f t="shared" si="11"/>
        <v/>
      </c>
      <c r="AU33" s="155" t="str">
        <f t="shared" si="12"/>
        <v/>
      </c>
      <c r="AV33" s="155" t="str">
        <f t="shared" si="21"/>
        <v/>
      </c>
    </row>
    <row r="34" spans="1:48" ht="80.5" x14ac:dyDescent="0.35">
      <c r="A34" s="150">
        <v>5884316</v>
      </c>
      <c r="B34" s="150" t="s">
        <v>600</v>
      </c>
      <c r="C34" s="150" t="s">
        <v>616</v>
      </c>
      <c r="D34" s="150">
        <v>1998</v>
      </c>
      <c r="E34" s="150" t="s">
        <v>590</v>
      </c>
      <c r="F34" s="148" t="s">
        <v>869</v>
      </c>
      <c r="G34" s="149" t="s">
        <v>592</v>
      </c>
      <c r="H34" s="237" t="s">
        <v>617</v>
      </c>
      <c r="I34" s="149" t="s">
        <v>50</v>
      </c>
      <c r="J34" s="149" t="s">
        <v>572</v>
      </c>
      <c r="K34" s="149" t="s">
        <v>239</v>
      </c>
      <c r="L34" s="150" t="s">
        <v>614</v>
      </c>
      <c r="M34" s="150" t="s">
        <v>614</v>
      </c>
      <c r="N34" s="150" t="s">
        <v>614</v>
      </c>
      <c r="O34" s="149" t="s">
        <v>592</v>
      </c>
      <c r="P34" s="236" t="s">
        <v>592</v>
      </c>
      <c r="Q34" s="150">
        <f>0.3977*296.61/24.45</f>
        <v>4.8246133742331292</v>
      </c>
      <c r="R34" s="149" t="s">
        <v>592</v>
      </c>
      <c r="S34" s="236" t="s">
        <v>592</v>
      </c>
      <c r="T34" s="150"/>
      <c r="U34" s="150" t="str">
        <f t="shared" si="13"/>
        <v/>
      </c>
      <c r="V34" s="155" t="str">
        <f t="shared" si="0"/>
        <v/>
      </c>
      <c r="W34" s="155" t="str">
        <f t="shared" si="14"/>
        <v/>
      </c>
      <c r="X34" s="155" t="str">
        <f t="shared" si="15"/>
        <v/>
      </c>
      <c r="Y34" s="155" t="str">
        <f t="shared" si="16"/>
        <v/>
      </c>
      <c r="Z34" s="155" t="str">
        <f t="shared" si="17"/>
        <v/>
      </c>
      <c r="AA34" s="155" t="str">
        <f t="shared" si="18"/>
        <v/>
      </c>
      <c r="AB34" s="155" t="str">
        <f t="shared" si="19"/>
        <v/>
      </c>
      <c r="AC34" s="232"/>
      <c r="AD34" s="233"/>
      <c r="AE34" s="150" t="s">
        <v>870</v>
      </c>
      <c r="AF34" s="222"/>
      <c r="AG34" s="148" t="s">
        <v>879</v>
      </c>
      <c r="AH34" s="155"/>
      <c r="AI34" s="150" t="str">
        <f t="shared" si="1"/>
        <v/>
      </c>
      <c r="AJ34" s="150" t="str">
        <f t="shared" si="20"/>
        <v/>
      </c>
      <c r="AK34" s="155" t="str">
        <f t="shared" si="2"/>
        <v/>
      </c>
      <c r="AL34" s="155" t="str">
        <f t="shared" si="3"/>
        <v/>
      </c>
      <c r="AM34" s="155" t="str">
        <f t="shared" si="4"/>
        <v/>
      </c>
      <c r="AN34" s="155" t="str">
        <f t="shared" si="5"/>
        <v/>
      </c>
      <c r="AO34" s="155" t="str">
        <f t="shared" si="6"/>
        <v/>
      </c>
      <c r="AP34" s="155" t="str">
        <f t="shared" si="7"/>
        <v/>
      </c>
      <c r="AQ34" s="155" t="str">
        <f t="shared" si="8"/>
        <v/>
      </c>
      <c r="AR34" s="155" t="str">
        <f t="shared" si="9"/>
        <v/>
      </c>
      <c r="AS34" s="155" t="str">
        <f t="shared" si="10"/>
        <v/>
      </c>
      <c r="AT34" s="155" t="str">
        <f t="shared" si="11"/>
        <v/>
      </c>
      <c r="AU34" s="155" t="str">
        <f t="shared" si="12"/>
        <v/>
      </c>
      <c r="AV34" s="155" t="str">
        <f t="shared" si="21"/>
        <v/>
      </c>
    </row>
    <row r="35" spans="1:48" ht="80.5" x14ac:dyDescent="0.35">
      <c r="A35" s="150">
        <v>5884316</v>
      </c>
      <c r="B35" s="150" t="s">
        <v>600</v>
      </c>
      <c r="C35" s="150" t="s">
        <v>616</v>
      </c>
      <c r="D35" s="150">
        <v>1998</v>
      </c>
      <c r="E35" s="150" t="s">
        <v>590</v>
      </c>
      <c r="F35" s="148" t="s">
        <v>871</v>
      </c>
      <c r="G35" s="149" t="s">
        <v>592</v>
      </c>
      <c r="H35" s="237" t="s">
        <v>618</v>
      </c>
      <c r="I35" s="149" t="s">
        <v>63</v>
      </c>
      <c r="J35" s="149" t="s">
        <v>572</v>
      </c>
      <c r="K35" s="149" t="s">
        <v>239</v>
      </c>
      <c r="L35" s="150" t="s">
        <v>614</v>
      </c>
      <c r="M35" s="150" t="s">
        <v>614</v>
      </c>
      <c r="N35" s="150" t="s">
        <v>614</v>
      </c>
      <c r="O35" s="149" t="s">
        <v>592</v>
      </c>
      <c r="P35" s="236" t="s">
        <v>592</v>
      </c>
      <c r="Q35" s="150">
        <f>0.0375*296.61/24.45</f>
        <v>0.45492331288343563</v>
      </c>
      <c r="R35" s="149" t="s">
        <v>592</v>
      </c>
      <c r="S35" s="236" t="s">
        <v>592</v>
      </c>
      <c r="T35" s="150"/>
      <c r="U35" s="150" t="str">
        <f t="shared" si="13"/>
        <v/>
      </c>
      <c r="V35" s="155" t="str">
        <f t="shared" ref="V35:V36" si="23">IFERROR(IF(AND($I35="ONU", $J35="TWA", $K35="PBZ",$T35&lt;&gt;"", $AF35&lt;&gt;"ND"), $T35*($M35/480), IF(AND($I35="ONU", $J35="TWA", $K35="PBZ",$T35&lt;&gt;"", $AF35="ND"),$AH35/2,"")),"")</f>
        <v/>
      </c>
      <c r="W35" s="155" t="str">
        <f t="shared" si="14"/>
        <v/>
      </c>
      <c r="X35" s="155" t="str">
        <f t="shared" si="15"/>
        <v/>
      </c>
      <c r="Y35" s="155" t="str">
        <f t="shared" si="16"/>
        <v/>
      </c>
      <c r="Z35" s="155" t="str">
        <f t="shared" si="17"/>
        <v/>
      </c>
      <c r="AA35" s="155" t="str">
        <f t="shared" si="18"/>
        <v/>
      </c>
      <c r="AB35" s="155" t="str">
        <f t="shared" si="19"/>
        <v/>
      </c>
      <c r="AC35" s="232"/>
      <c r="AD35" s="233"/>
      <c r="AE35" s="150" t="s">
        <v>870</v>
      </c>
      <c r="AF35" s="222"/>
      <c r="AG35" s="148" t="s">
        <v>879</v>
      </c>
      <c r="AH35" s="155"/>
      <c r="AI35" s="150" t="str">
        <f t="shared" si="1"/>
        <v/>
      </c>
      <c r="AJ35" s="150" t="str">
        <f t="shared" si="20"/>
        <v/>
      </c>
      <c r="AK35" s="155" t="str">
        <f t="shared" si="2"/>
        <v/>
      </c>
      <c r="AL35" s="155" t="str">
        <f t="shared" si="3"/>
        <v/>
      </c>
      <c r="AM35" s="155" t="str">
        <f t="shared" si="4"/>
        <v/>
      </c>
      <c r="AN35" s="155" t="str">
        <f t="shared" si="5"/>
        <v/>
      </c>
      <c r="AO35" s="155" t="str">
        <f t="shared" si="6"/>
        <v/>
      </c>
      <c r="AP35" s="155" t="str">
        <f t="shared" si="7"/>
        <v/>
      </c>
      <c r="AQ35" s="155" t="str">
        <f t="shared" si="8"/>
        <v/>
      </c>
      <c r="AR35" s="155" t="str">
        <f t="shared" si="9"/>
        <v/>
      </c>
      <c r="AS35" s="155" t="str">
        <f t="shared" si="10"/>
        <v/>
      </c>
      <c r="AT35" s="155" t="str">
        <f t="shared" si="11"/>
        <v/>
      </c>
      <c r="AU35" s="155" t="str">
        <f t="shared" si="12"/>
        <v/>
      </c>
      <c r="AV35" s="155" t="str">
        <f t="shared" si="21"/>
        <v/>
      </c>
    </row>
    <row r="36" spans="1:48" ht="201.5" x14ac:dyDescent="0.35">
      <c r="A36" s="150">
        <v>5884316</v>
      </c>
      <c r="B36" s="150" t="s">
        <v>600</v>
      </c>
      <c r="C36" s="150" t="s">
        <v>616</v>
      </c>
      <c r="D36" s="150">
        <v>1998</v>
      </c>
      <c r="E36" s="150" t="s">
        <v>590</v>
      </c>
      <c r="F36" s="148" t="s">
        <v>872</v>
      </c>
      <c r="G36" s="149" t="s">
        <v>592</v>
      </c>
      <c r="H36" s="237" t="s">
        <v>619</v>
      </c>
      <c r="I36" s="149" t="s">
        <v>50</v>
      </c>
      <c r="J36" s="149" t="s">
        <v>572</v>
      </c>
      <c r="K36" s="149" t="s">
        <v>239</v>
      </c>
      <c r="L36" s="150" t="s">
        <v>614</v>
      </c>
      <c r="M36" s="150" t="s">
        <v>614</v>
      </c>
      <c r="N36" s="150" t="s">
        <v>614</v>
      </c>
      <c r="O36" s="149" t="s">
        <v>592</v>
      </c>
      <c r="P36" s="236" t="s">
        <v>592</v>
      </c>
      <c r="Q36" s="150">
        <f>0.0504*296.61/24.45</f>
        <v>0.61141693251533746</v>
      </c>
      <c r="R36" s="149" t="s">
        <v>592</v>
      </c>
      <c r="S36" s="236" t="s">
        <v>592</v>
      </c>
      <c r="T36" s="150"/>
      <c r="U36" s="150" t="str">
        <f t="shared" si="13"/>
        <v/>
      </c>
      <c r="V36" s="155" t="str">
        <f t="shared" si="23"/>
        <v/>
      </c>
      <c r="W36" s="155" t="str">
        <f t="shared" si="14"/>
        <v/>
      </c>
      <c r="X36" s="155" t="str">
        <f t="shared" si="15"/>
        <v/>
      </c>
      <c r="Y36" s="155" t="str">
        <f t="shared" si="16"/>
        <v/>
      </c>
      <c r="Z36" s="155" t="str">
        <f t="shared" si="17"/>
        <v/>
      </c>
      <c r="AA36" s="155" t="str">
        <f t="shared" si="18"/>
        <v/>
      </c>
      <c r="AB36" s="155" t="str">
        <f t="shared" si="19"/>
        <v/>
      </c>
      <c r="AC36" s="232"/>
      <c r="AD36" s="233"/>
      <c r="AE36" s="150" t="s">
        <v>870</v>
      </c>
      <c r="AF36" s="222"/>
      <c r="AG36" s="148" t="s">
        <v>879</v>
      </c>
      <c r="AH36" s="155"/>
      <c r="AI36" s="150" t="str">
        <f t="shared" si="1"/>
        <v/>
      </c>
      <c r="AJ36" s="150" t="str">
        <f t="shared" si="20"/>
        <v/>
      </c>
      <c r="AK36" s="155" t="str">
        <f t="shared" si="2"/>
        <v/>
      </c>
      <c r="AL36" s="155" t="str">
        <f t="shared" si="3"/>
        <v/>
      </c>
      <c r="AM36" s="155" t="str">
        <f t="shared" si="4"/>
        <v/>
      </c>
      <c r="AN36" s="155" t="str">
        <f t="shared" si="5"/>
        <v/>
      </c>
      <c r="AO36" s="155" t="str">
        <f t="shared" si="6"/>
        <v/>
      </c>
      <c r="AP36" s="155" t="str">
        <f t="shared" si="7"/>
        <v/>
      </c>
      <c r="AQ36" s="155" t="str">
        <f t="shared" si="8"/>
        <v/>
      </c>
      <c r="AR36" s="155" t="str">
        <f t="shared" si="9"/>
        <v/>
      </c>
      <c r="AS36" s="155" t="str">
        <f t="shared" si="10"/>
        <v/>
      </c>
      <c r="AT36" s="155" t="str">
        <f t="shared" si="11"/>
        <v/>
      </c>
      <c r="AU36" s="155" t="str">
        <f t="shared" si="12"/>
        <v/>
      </c>
      <c r="AV36" s="155" t="str">
        <f t="shared" si="21"/>
        <v/>
      </c>
    </row>
  </sheetData>
  <sheetProtection sheet="1" objects="1" scenarios="1" formatCells="0" formatColumns="0" formatRows="0"/>
  <autoFilter ref="A2:AV36" xr:uid="{96B36C14-32B4-4179-8955-34B39681F5CA}"/>
  <mergeCells count="8">
    <mergeCell ref="A1:N1"/>
    <mergeCell ref="AH1:AV1"/>
    <mergeCell ref="O1:T1"/>
    <mergeCell ref="U1:V1"/>
    <mergeCell ref="AA1:AB1"/>
    <mergeCell ref="AC1:AG1"/>
    <mergeCell ref="W1:X1"/>
    <mergeCell ref="Y1:Z1"/>
  </mergeCells>
  <phoneticPr fontId="48" type="noConversion"/>
  <hyperlinks>
    <hyperlink ref="A1:B1" location="'Exposure Summary'!A1" display="Exposure Summary" xr:uid="{5E16C539-66D1-4B2D-A82A-BEA8ECAE170C}"/>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92A8-F288-4684-B742-A99AE6A4BCEA}">
  <sheetPr>
    <tabColor rgb="FF00B050"/>
  </sheetPr>
  <dimension ref="A1:AG13"/>
  <sheetViews>
    <sheetView zoomScale="80" zoomScaleNormal="80" workbookViewId="0">
      <selection activeCell="C17" sqref="C17"/>
    </sheetView>
  </sheetViews>
  <sheetFormatPr defaultColWidth="9.453125" defaultRowHeight="15.5" x14ac:dyDescent="0.35"/>
  <cols>
    <col min="1" max="1" width="44.54296875" style="205" bestFit="1" customWidth="1"/>
    <col min="2" max="2" width="18.453125" style="207" bestFit="1" customWidth="1"/>
    <col min="3" max="3" width="18.36328125" style="207" customWidth="1"/>
    <col min="4" max="4" width="14.90625" style="207" customWidth="1"/>
    <col min="5" max="5" width="20.90625" style="207" customWidth="1"/>
    <col min="6" max="6" width="40.81640625" style="206" customWidth="1"/>
    <col min="7" max="16" width="8.90625" style="14" customWidth="1"/>
    <col min="17" max="24" width="8.90625" style="207" customWidth="1"/>
    <col min="25" max="29" width="9.453125" style="207"/>
    <col min="30" max="30" width="9.453125" style="205"/>
    <col min="31" max="31" width="9.453125" style="208"/>
    <col min="32" max="33" width="9.453125" style="209"/>
    <col min="34" max="16384" width="9.453125" style="136"/>
  </cols>
  <sheetData>
    <row r="1" spans="1:33" ht="16" thickBot="1" x14ac:dyDescent="0.4">
      <c r="A1" s="140" t="s">
        <v>620</v>
      </c>
      <c r="B1" s="140" t="s">
        <v>151</v>
      </c>
      <c r="C1" s="140" t="s">
        <v>129</v>
      </c>
      <c r="D1" s="140" t="s">
        <v>128</v>
      </c>
      <c r="E1" s="140" t="s">
        <v>153</v>
      </c>
      <c r="F1" s="279" t="s">
        <v>622</v>
      </c>
    </row>
    <row r="2" spans="1:33" ht="16" thickTop="1" x14ac:dyDescent="0.35">
      <c r="A2" s="280" t="s">
        <v>887</v>
      </c>
      <c r="B2" s="142" t="s">
        <v>623</v>
      </c>
      <c r="C2" s="456">
        <v>8</v>
      </c>
      <c r="D2" s="456"/>
      <c r="E2" s="281" t="s">
        <v>624</v>
      </c>
      <c r="F2" s="282" t="s">
        <v>896</v>
      </c>
    </row>
    <row r="3" spans="1:33" ht="46.5" x14ac:dyDescent="0.35">
      <c r="A3" s="283" t="s">
        <v>888</v>
      </c>
      <c r="B3" s="149" t="s">
        <v>912</v>
      </c>
      <c r="C3" s="457">
        <v>1</v>
      </c>
      <c r="D3" s="457"/>
      <c r="E3" s="284" t="s">
        <v>625</v>
      </c>
      <c r="F3" s="285" t="s">
        <v>895</v>
      </c>
    </row>
    <row r="4" spans="1:33" ht="46.5" x14ac:dyDescent="0.35">
      <c r="A4" s="283" t="s">
        <v>889</v>
      </c>
      <c r="B4" s="149" t="s">
        <v>913</v>
      </c>
      <c r="C4" s="457">
        <v>2</v>
      </c>
      <c r="D4" s="457"/>
      <c r="E4" s="284" t="s">
        <v>625</v>
      </c>
      <c r="F4" s="285" t="s">
        <v>894</v>
      </c>
    </row>
    <row r="5" spans="1:33" ht="77.5" x14ac:dyDescent="0.35">
      <c r="A5" s="283" t="s">
        <v>890</v>
      </c>
      <c r="B5" s="149" t="s">
        <v>914</v>
      </c>
      <c r="C5" s="457">
        <v>250</v>
      </c>
      <c r="D5" s="457"/>
      <c r="E5" s="284" t="s">
        <v>625</v>
      </c>
      <c r="F5" s="285" t="s">
        <v>897</v>
      </c>
    </row>
    <row r="6" spans="1:33" ht="139.5" x14ac:dyDescent="0.35">
      <c r="A6" s="148" t="s">
        <v>891</v>
      </c>
      <c r="B6" s="149" t="s">
        <v>915</v>
      </c>
      <c r="C6" s="149">
        <v>4.3900000000000002E-2</v>
      </c>
      <c r="D6" s="149">
        <v>0.25</v>
      </c>
      <c r="E6" s="284" t="s">
        <v>626</v>
      </c>
      <c r="F6" s="285" t="s">
        <v>627</v>
      </c>
    </row>
    <row r="7" spans="1:33" ht="108.5" x14ac:dyDescent="0.35">
      <c r="A7" s="148" t="s">
        <v>628</v>
      </c>
      <c r="B7" s="149" t="s">
        <v>916</v>
      </c>
      <c r="C7" s="149">
        <f>IF((F_D4_prod_CT_spray/0.25)&lt;1,(F_D4_prod_CT_spray/0.25),1)</f>
        <v>0.17560000000000001</v>
      </c>
      <c r="D7" s="152">
        <f>IF((F_D4_prod_HE_spray/0.5)&lt;1,(F_D4_prod_HE_spray/0.5),1)</f>
        <v>0.5</v>
      </c>
      <c r="E7" s="284" t="s">
        <v>626</v>
      </c>
      <c r="F7" s="285" t="s">
        <v>629</v>
      </c>
    </row>
    <row r="8" spans="1:33" ht="46.5" x14ac:dyDescent="0.35">
      <c r="A8" s="283" t="s">
        <v>892</v>
      </c>
      <c r="B8" s="149" t="s">
        <v>917</v>
      </c>
      <c r="C8" s="152">
        <v>3.375</v>
      </c>
      <c r="D8" s="152">
        <v>22.102499999999949</v>
      </c>
      <c r="E8" s="284" t="s">
        <v>918</v>
      </c>
      <c r="F8" s="285" t="s">
        <v>630</v>
      </c>
    </row>
    <row r="9" spans="1:33" s="138" customFormat="1" x14ac:dyDescent="0.35">
      <c r="A9" s="379"/>
      <c r="B9" s="379"/>
      <c r="C9" s="379"/>
      <c r="D9" s="379"/>
      <c r="E9" s="379"/>
      <c r="F9" s="379"/>
      <c r="G9" s="375"/>
      <c r="H9" s="375"/>
      <c r="I9" s="375"/>
      <c r="J9" s="375"/>
      <c r="K9" s="375"/>
      <c r="L9" s="375"/>
      <c r="M9" s="375"/>
      <c r="N9" s="375"/>
      <c r="O9" s="375"/>
      <c r="P9" s="375"/>
      <c r="Q9" s="376"/>
      <c r="R9" s="376"/>
      <c r="S9" s="376"/>
      <c r="T9" s="376"/>
      <c r="U9" s="376"/>
      <c r="V9" s="376"/>
      <c r="W9" s="376"/>
      <c r="X9" s="376"/>
      <c r="Y9" s="376"/>
      <c r="Z9" s="376"/>
      <c r="AA9" s="376"/>
      <c r="AB9" s="376"/>
      <c r="AC9" s="376"/>
      <c r="AD9" s="377"/>
      <c r="AE9" s="377"/>
      <c r="AF9" s="378"/>
      <c r="AG9" s="378"/>
    </row>
    <row r="10" spans="1:33" s="138" customFormat="1" x14ac:dyDescent="0.35">
      <c r="A10" s="380"/>
      <c r="B10" s="380"/>
      <c r="C10" s="380"/>
      <c r="D10" s="380"/>
      <c r="E10" s="380"/>
      <c r="F10" s="380"/>
      <c r="G10" s="375"/>
      <c r="H10" s="375"/>
      <c r="I10" s="375"/>
      <c r="J10" s="375"/>
      <c r="K10" s="375"/>
      <c r="L10" s="375"/>
      <c r="M10" s="375"/>
      <c r="N10" s="375"/>
      <c r="O10" s="375"/>
      <c r="P10" s="375"/>
      <c r="Q10" s="376"/>
      <c r="R10" s="376"/>
      <c r="S10" s="376"/>
      <c r="T10" s="376"/>
      <c r="U10" s="376"/>
      <c r="V10" s="376"/>
      <c r="W10" s="376"/>
      <c r="X10" s="376"/>
      <c r="Y10" s="376"/>
      <c r="Z10" s="376"/>
      <c r="AA10" s="376"/>
      <c r="AB10" s="376"/>
      <c r="AC10" s="376"/>
      <c r="AD10" s="377"/>
      <c r="AE10" s="377"/>
      <c r="AF10" s="378"/>
      <c r="AG10" s="378"/>
    </row>
    <row r="11" spans="1:33" x14ac:dyDescent="0.35">
      <c r="A11" s="403" t="s">
        <v>150</v>
      </c>
      <c r="B11" s="416" t="s">
        <v>151</v>
      </c>
      <c r="C11" s="403" t="s">
        <v>631</v>
      </c>
      <c r="D11" s="455" t="s">
        <v>632</v>
      </c>
      <c r="E11" s="455"/>
      <c r="F11" s="455"/>
      <c r="X11" s="205"/>
      <c r="Y11" s="208"/>
      <c r="Z11" s="209"/>
      <c r="AA11" s="209"/>
      <c r="AB11" s="136"/>
      <c r="AC11" s="136"/>
      <c r="AD11" s="136"/>
      <c r="AE11" s="136"/>
      <c r="AF11" s="136"/>
      <c r="AG11" s="136"/>
    </row>
    <row r="12" spans="1:33" ht="30.5" thickBot="1" x14ac:dyDescent="0.4">
      <c r="A12" s="453"/>
      <c r="B12" s="454"/>
      <c r="C12" s="453"/>
      <c r="D12" s="286" t="s">
        <v>129</v>
      </c>
      <c r="E12" s="286" t="s">
        <v>621</v>
      </c>
      <c r="F12" s="287" t="s">
        <v>153</v>
      </c>
      <c r="X12" s="205"/>
      <c r="Y12" s="208"/>
      <c r="Z12" s="209"/>
      <c r="AA12" s="209"/>
      <c r="AB12" s="136"/>
      <c r="AC12" s="136"/>
      <c r="AD12" s="136"/>
      <c r="AE12" s="136"/>
      <c r="AF12" s="136"/>
      <c r="AG12" s="136"/>
    </row>
    <row r="13" spans="1:33" s="135" customFormat="1" ht="19" thickTop="1" x14ac:dyDescent="0.35">
      <c r="A13" s="288" t="s">
        <v>893</v>
      </c>
      <c r="B13" s="289" t="s">
        <v>919</v>
      </c>
      <c r="C13" s="142" t="s">
        <v>920</v>
      </c>
      <c r="D13" s="297">
        <f>C_mist_CT*F_D4_CT_Mist</f>
        <v>0.59265000000000001</v>
      </c>
      <c r="E13" s="297">
        <f>C_mist_HE*F_D4_HE_Mist</f>
        <v>11.051249999999975</v>
      </c>
      <c r="F13" s="290" t="s">
        <v>918</v>
      </c>
      <c r="G13" s="81"/>
      <c r="H13" s="81"/>
      <c r="I13" s="81"/>
      <c r="J13" s="81"/>
      <c r="K13" s="81"/>
      <c r="L13" s="81"/>
      <c r="M13" s="81"/>
      <c r="N13" s="81"/>
      <c r="O13" s="81"/>
      <c r="P13" s="81"/>
      <c r="Q13" s="207"/>
      <c r="R13" s="207"/>
      <c r="S13" s="207"/>
      <c r="T13" s="207"/>
      <c r="U13" s="207"/>
      <c r="V13" s="207"/>
      <c r="W13" s="207"/>
      <c r="X13" s="205"/>
      <c r="Y13" s="208"/>
      <c r="Z13" s="209"/>
      <c r="AA13" s="209"/>
    </row>
  </sheetData>
  <sheetProtection sheet="1" objects="1" scenarios="1" formatCells="0" formatColumns="0" formatRows="0"/>
  <mergeCells count="8">
    <mergeCell ref="A11:A12"/>
    <mergeCell ref="B11:B12"/>
    <mergeCell ref="C11:C12"/>
    <mergeCell ref="D11:F11"/>
    <mergeCell ref="C2:D2"/>
    <mergeCell ref="C3:D3"/>
    <mergeCell ref="C4:D4"/>
    <mergeCell ref="C5:D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D983-EC7C-408B-981B-45346EE881DE}">
  <sheetPr>
    <tabColor rgb="FF00B050"/>
  </sheetPr>
  <dimension ref="A1:AG33"/>
  <sheetViews>
    <sheetView zoomScale="80" zoomScaleNormal="80" workbookViewId="0">
      <selection activeCell="I8" sqref="I8"/>
    </sheetView>
  </sheetViews>
  <sheetFormatPr defaultColWidth="9.453125" defaultRowHeight="15.5" x14ac:dyDescent="0.35"/>
  <cols>
    <col min="1" max="1" width="20.1796875" style="205" customWidth="1"/>
    <col min="2" max="2" width="23.90625" style="207" bestFit="1" customWidth="1"/>
    <col min="3" max="3" width="20.453125" style="207" bestFit="1" customWidth="1"/>
    <col min="4" max="4" width="21" style="207" bestFit="1" customWidth="1"/>
    <col min="5" max="5" width="21.08984375" style="207" bestFit="1" customWidth="1"/>
    <col min="6" max="6" width="23.54296875" style="206" bestFit="1" customWidth="1"/>
    <col min="7" max="7" width="24" style="205" bestFit="1" customWidth="1"/>
    <col min="8" max="10" width="9.453125" style="206"/>
    <col min="11" max="29" width="9.453125" style="207"/>
    <col min="30" max="30" width="9.453125" style="205"/>
    <col min="31" max="31" width="9.453125" style="208"/>
    <col min="32" max="33" width="9.453125" style="209"/>
    <col min="34" max="16384" width="9.453125" style="136"/>
  </cols>
  <sheetData>
    <row r="1" spans="1:33" ht="17.399999999999999" customHeight="1" x14ac:dyDescent="0.35">
      <c r="A1" s="427" t="s">
        <v>633</v>
      </c>
      <c r="B1" s="427"/>
      <c r="C1" s="427"/>
      <c r="D1" s="427"/>
      <c r="E1" s="427"/>
      <c r="F1" s="427"/>
      <c r="G1" s="427"/>
    </row>
    <row r="2" spans="1:33" ht="15.65" customHeight="1" x14ac:dyDescent="0.35">
      <c r="A2" s="428"/>
      <c r="B2" s="428"/>
      <c r="C2" s="428"/>
      <c r="D2" s="428"/>
      <c r="E2" s="428"/>
      <c r="F2" s="428"/>
      <c r="G2" s="428"/>
    </row>
    <row r="3" spans="1:33" ht="17" x14ac:dyDescent="0.35">
      <c r="A3" s="465" t="s">
        <v>900</v>
      </c>
      <c r="B3" s="458" t="s">
        <v>898</v>
      </c>
      <c r="C3" s="458"/>
      <c r="D3" s="458"/>
      <c r="E3" s="458"/>
      <c r="F3" s="458"/>
      <c r="G3" s="458"/>
    </row>
    <row r="4" spans="1:33" s="189" customFormat="1" ht="42.5" thickBot="1" x14ac:dyDescent="0.4">
      <c r="A4" s="466"/>
      <c r="B4" s="112" t="s">
        <v>634</v>
      </c>
      <c r="C4" s="112" t="s">
        <v>132</v>
      </c>
      <c r="D4" s="112" t="s">
        <v>635</v>
      </c>
      <c r="E4" s="112" t="s">
        <v>636</v>
      </c>
      <c r="F4" s="112" t="s">
        <v>637</v>
      </c>
      <c r="G4" s="112" t="s">
        <v>638</v>
      </c>
      <c r="H4" s="223"/>
      <c r="I4" s="223"/>
      <c r="J4" s="223"/>
      <c r="K4" s="207"/>
      <c r="L4" s="207"/>
      <c r="M4" s="207"/>
      <c r="N4" s="207"/>
      <c r="O4" s="207"/>
      <c r="P4" s="207"/>
      <c r="Q4" s="207"/>
      <c r="R4" s="207"/>
      <c r="S4" s="207"/>
      <c r="T4" s="207"/>
      <c r="U4" s="207"/>
      <c r="V4" s="207"/>
      <c r="W4" s="207"/>
      <c r="X4" s="207"/>
      <c r="Y4" s="207"/>
      <c r="Z4" s="207"/>
      <c r="AA4" s="207"/>
      <c r="AB4" s="207"/>
      <c r="AC4" s="207"/>
      <c r="AD4" s="207"/>
      <c r="AE4" s="257"/>
      <c r="AF4" s="207"/>
      <c r="AG4" s="207"/>
    </row>
    <row r="5" spans="1:33" ht="16" thickTop="1" x14ac:dyDescent="0.35">
      <c r="A5" s="263" t="s">
        <v>639</v>
      </c>
      <c r="B5" s="264">
        <v>3.0333333333333332</v>
      </c>
      <c r="C5" s="264">
        <v>1.6097750423205626</v>
      </c>
      <c r="D5" s="264">
        <v>1.0950850628031039</v>
      </c>
      <c r="E5" s="264">
        <v>0.80306237938894276</v>
      </c>
      <c r="F5" s="265">
        <v>0.36709227982604625</v>
      </c>
      <c r="G5" s="265">
        <v>0.15903670864148747</v>
      </c>
    </row>
    <row r="6" spans="1:33" ht="29.15" customHeight="1" x14ac:dyDescent="0.35">
      <c r="A6" s="258" t="s">
        <v>640</v>
      </c>
      <c r="B6" s="260">
        <v>3.0333333333333332</v>
      </c>
      <c r="C6" s="260">
        <v>0.20663038870244099</v>
      </c>
      <c r="D6" s="260">
        <v>0.14056489027376939</v>
      </c>
      <c r="E6" s="260">
        <v>0.10308091953409754</v>
      </c>
      <c r="F6" s="259">
        <v>6.3325148928931319E-2</v>
      </c>
      <c r="G6" s="259">
        <v>2.4979697134225945E-2</v>
      </c>
    </row>
    <row r="7" spans="1:33" ht="29.15" customHeight="1" x14ac:dyDescent="0.35">
      <c r="A7" s="258" t="s">
        <v>641</v>
      </c>
      <c r="B7" s="260">
        <v>3.0333333333333332</v>
      </c>
      <c r="C7" s="260">
        <v>0.10015876013115808</v>
      </c>
      <c r="D7" s="260">
        <v>6.8135210973576929E-2</v>
      </c>
      <c r="E7" s="260">
        <v>4.9965821380623082E-2</v>
      </c>
      <c r="F7" s="259">
        <v>2.9774848371547074E-2</v>
      </c>
      <c r="G7" s="259">
        <v>1.1686717820167664E-2</v>
      </c>
    </row>
    <row r="8" spans="1:33" ht="29.15" customHeight="1" x14ac:dyDescent="0.35">
      <c r="A8" s="258" t="s">
        <v>642</v>
      </c>
      <c r="B8" s="260">
        <v>1.3928374420845548</v>
      </c>
      <c r="C8" s="260">
        <v>1.3507539152448964E-2</v>
      </c>
      <c r="D8" s="260">
        <v>9.1888021445231047E-3</v>
      </c>
      <c r="E8" s="260">
        <v>6.7384549059836107E-3</v>
      </c>
      <c r="F8" s="259">
        <v>3.7908006845365464E-3</v>
      </c>
      <c r="G8" s="259">
        <v>1.4189507919316314E-3</v>
      </c>
    </row>
    <row r="9" spans="1:33" ht="29.15" customHeight="1" x14ac:dyDescent="0.35">
      <c r="A9" s="258" t="s">
        <v>643</v>
      </c>
      <c r="B9" s="260">
        <v>1.1833333333333333</v>
      </c>
      <c r="C9" s="260">
        <v>1.3061538489029852E-3</v>
      </c>
      <c r="D9" s="260">
        <v>8.8854003326733696E-4</v>
      </c>
      <c r="E9" s="260">
        <v>6.5159602439604709E-4</v>
      </c>
      <c r="F9" s="259">
        <v>3.4657829053150689E-4</v>
      </c>
      <c r="G9" s="259">
        <v>1.2358414655357899E-4</v>
      </c>
    </row>
    <row r="10" spans="1:33" x14ac:dyDescent="0.35">
      <c r="A10" s="258" t="s">
        <v>644</v>
      </c>
      <c r="B10" s="260">
        <v>8.3333333333333329E-2</v>
      </c>
      <c r="C10" s="260">
        <v>5.6290637770211549E-6</v>
      </c>
      <c r="D10" s="260">
        <v>3.8292950864089493E-6</v>
      </c>
      <c r="E10" s="260">
        <v>2.8081497300332291E-6</v>
      </c>
      <c r="F10" s="259">
        <v>9.7383871854268887E-7</v>
      </c>
      <c r="G10" s="259">
        <v>3.5536139060009964E-7</v>
      </c>
    </row>
    <row r="11" spans="1:33" x14ac:dyDescent="0.35">
      <c r="A11" s="258" t="s">
        <v>575</v>
      </c>
      <c r="B11" s="260">
        <v>1.599258448910263</v>
      </c>
      <c r="C11" s="260">
        <v>2.7839142088621774E-2</v>
      </c>
      <c r="D11" s="260">
        <v>1.8938191897021377E-2</v>
      </c>
      <c r="E11" s="260">
        <v>1.388800739114894E-2</v>
      </c>
      <c r="F11" s="259">
        <v>8.1387315512539572E-3</v>
      </c>
      <c r="G11" s="259">
        <v>3.1407268044266992E-3</v>
      </c>
    </row>
    <row r="12" spans="1:33" x14ac:dyDescent="0.35">
      <c r="A12" s="256"/>
      <c r="B12" s="261"/>
      <c r="C12" s="261"/>
      <c r="D12" s="261"/>
      <c r="E12" s="262"/>
      <c r="F12" s="100"/>
      <c r="G12" s="100"/>
    </row>
    <row r="13" spans="1:33" ht="16" thickBot="1" x14ac:dyDescent="0.4">
      <c r="A13" s="350"/>
      <c r="B13" s="459" t="s">
        <v>901</v>
      </c>
      <c r="C13" s="460"/>
      <c r="D13" s="460"/>
      <c r="E13" s="461"/>
      <c r="F13" s="100"/>
      <c r="G13" s="100"/>
    </row>
    <row r="14" spans="1:33" ht="54.65" customHeight="1" thickTop="1" x14ac:dyDescent="0.35">
      <c r="A14" s="349" t="s">
        <v>646</v>
      </c>
      <c r="B14" s="111" t="s">
        <v>647</v>
      </c>
      <c r="C14" s="111" t="s">
        <v>648</v>
      </c>
      <c r="D14" s="111" t="s">
        <v>649</v>
      </c>
      <c r="E14" s="111" t="s">
        <v>650</v>
      </c>
      <c r="F14" s="100"/>
      <c r="G14" s="100"/>
    </row>
    <row r="15" spans="1:33" ht="29.15" customHeight="1" x14ac:dyDescent="0.35">
      <c r="A15" s="348" t="s">
        <v>651</v>
      </c>
      <c r="B15" s="103" t="s">
        <v>321</v>
      </c>
      <c r="C15" s="103" t="s">
        <v>321</v>
      </c>
      <c r="D15" s="103" t="s">
        <v>321</v>
      </c>
      <c r="E15" s="103" t="s">
        <v>321</v>
      </c>
      <c r="F15" s="100"/>
      <c r="G15" s="100"/>
    </row>
    <row r="16" spans="1:33" x14ac:dyDescent="0.35">
      <c r="A16" s="256"/>
      <c r="B16" s="261"/>
      <c r="C16" s="261"/>
      <c r="D16" s="261"/>
      <c r="E16" s="262"/>
      <c r="F16" s="100"/>
      <c r="G16" s="100"/>
    </row>
    <row r="17" spans="1:7" x14ac:dyDescent="0.35">
      <c r="A17" s="266" t="s">
        <v>900</v>
      </c>
      <c r="B17" s="462" t="s">
        <v>899</v>
      </c>
      <c r="C17" s="463"/>
      <c r="D17" s="463"/>
      <c r="E17" s="464"/>
      <c r="F17" s="100"/>
      <c r="G17" s="100"/>
    </row>
    <row r="18" spans="1:7" x14ac:dyDescent="0.35">
      <c r="A18" s="268" t="s">
        <v>639</v>
      </c>
      <c r="B18" s="260">
        <v>0.14976701891139196</v>
      </c>
      <c r="C18" s="260">
        <v>7.4098691999105739</v>
      </c>
      <c r="D18" s="260">
        <v>12.699885469371816</v>
      </c>
      <c r="E18" s="260">
        <v>0.4136381783957927</v>
      </c>
      <c r="F18" s="100"/>
      <c r="G18" s="100"/>
    </row>
    <row r="19" spans="1:7" x14ac:dyDescent="0.35">
      <c r="A19" s="268" t="s">
        <v>640</v>
      </c>
      <c r="B19" s="260">
        <v>1.8808808724033624E-2</v>
      </c>
      <c r="C19" s="260">
        <v>1.2211581751938183</v>
      </c>
      <c r="D19" s="260">
        <v>1.591576839078398</v>
      </c>
      <c r="E19" s="260">
        <v>5.2443036648571001E-2</v>
      </c>
      <c r="F19" s="100"/>
      <c r="G19" s="100"/>
    </row>
    <row r="20" spans="1:7" x14ac:dyDescent="0.35">
      <c r="A20" s="268" t="s">
        <v>641</v>
      </c>
      <c r="B20" s="260">
        <v>9.1527596253510261E-3</v>
      </c>
      <c r="C20" s="260">
        <v>0.5664243220092422</v>
      </c>
      <c r="D20" s="260">
        <v>0.76768314605101629</v>
      </c>
      <c r="E20" s="260">
        <v>2.5666358191020731E-2</v>
      </c>
      <c r="F20" s="100"/>
      <c r="G20" s="100"/>
    </row>
    <row r="21" spans="1:7" x14ac:dyDescent="0.35">
      <c r="A21" s="268" t="s">
        <v>642</v>
      </c>
      <c r="B21" s="260">
        <v>1.2385980516920816E-3</v>
      </c>
      <c r="C21" s="260">
        <v>7.3680090233146908E-2</v>
      </c>
      <c r="D21" s="260">
        <v>0.10318581473021107</v>
      </c>
      <c r="E21" s="260">
        <v>3.572396201432087E-3</v>
      </c>
      <c r="F21" s="100"/>
      <c r="G21" s="100"/>
    </row>
    <row r="22" spans="1:7" x14ac:dyDescent="0.35">
      <c r="A22" s="268" t="s">
        <v>643</v>
      </c>
      <c r="B22" s="260">
        <v>1.1426895635009174E-4</v>
      </c>
      <c r="C22" s="260">
        <v>6.6399521210548417E-3</v>
      </c>
      <c r="D22" s="260">
        <v>9.5691443658894541E-3</v>
      </c>
      <c r="E22" s="260">
        <v>3.9695914470316851E-4</v>
      </c>
      <c r="F22" s="100"/>
      <c r="G22" s="100"/>
    </row>
    <row r="23" spans="1:7" x14ac:dyDescent="0.35">
      <c r="A23" s="268" t="s">
        <v>644</v>
      </c>
      <c r="B23" s="260">
        <v>0</v>
      </c>
      <c r="C23" s="260">
        <v>0</v>
      </c>
      <c r="D23" s="260">
        <v>0</v>
      </c>
      <c r="E23" s="260">
        <v>4.0309652479920384E-5</v>
      </c>
      <c r="F23" s="100"/>
      <c r="G23" s="100"/>
    </row>
    <row r="24" spans="1:7" x14ac:dyDescent="0.35">
      <c r="A24" s="268" t="s">
        <v>575</v>
      </c>
      <c r="B24" s="260">
        <v>2.540033575197353E-3</v>
      </c>
      <c r="C24" s="260">
        <v>0.15662120027575219</v>
      </c>
      <c r="D24" s="260">
        <v>0.21325205970200267</v>
      </c>
      <c r="E24" s="260">
        <v>7.21191746643345E-3</v>
      </c>
      <c r="F24" s="100"/>
      <c r="G24" s="100"/>
    </row>
    <row r="25" spans="1:7" x14ac:dyDescent="0.35">
      <c r="A25" s="256"/>
      <c r="B25" s="261"/>
      <c r="C25" s="261"/>
      <c r="D25" s="261"/>
      <c r="E25" s="262"/>
      <c r="F25" s="100"/>
      <c r="G25" s="100"/>
    </row>
    <row r="26" spans="1:7" x14ac:dyDescent="0.35">
      <c r="A26" s="266" t="s">
        <v>900</v>
      </c>
      <c r="B26" s="462" t="s">
        <v>652</v>
      </c>
      <c r="C26" s="463"/>
      <c r="D26" s="463"/>
      <c r="E26" s="464"/>
      <c r="F26" s="100"/>
      <c r="G26" s="100"/>
    </row>
    <row r="27" spans="1:7" x14ac:dyDescent="0.35">
      <c r="A27" s="268" t="s">
        <v>639</v>
      </c>
      <c r="B27" s="260">
        <v>1.2345516376330983E-2</v>
      </c>
      <c r="C27" s="260">
        <v>0.61080645270831568</v>
      </c>
      <c r="D27" s="260">
        <v>1.0468703001454465</v>
      </c>
      <c r="E27" s="260">
        <v>3.4096805440737434E-2</v>
      </c>
      <c r="F27" s="100"/>
      <c r="G27" s="100"/>
    </row>
    <row r="28" spans="1:7" x14ac:dyDescent="0.35">
      <c r="A28" s="268" t="s">
        <v>640</v>
      </c>
      <c r="B28" s="260">
        <v>1.550437858813331E-3</v>
      </c>
      <c r="C28" s="260">
        <v>0.10066187041397409</v>
      </c>
      <c r="D28" s="260">
        <v>0.13119602749558959</v>
      </c>
      <c r="E28" s="260">
        <v>4.3229568998265763E-3</v>
      </c>
      <c r="F28" s="100"/>
      <c r="G28" s="100"/>
    </row>
    <row r="29" spans="1:7" x14ac:dyDescent="0.35">
      <c r="A29" s="268" t="s">
        <v>641</v>
      </c>
      <c r="B29" s="260">
        <v>7.5447548241742545E-4</v>
      </c>
      <c r="C29" s="260">
        <v>4.669119272150625E-2</v>
      </c>
      <c r="D29" s="260">
        <v>6.3281254579910809E-2</v>
      </c>
      <c r="E29" s="260">
        <v>2.1157157808922721E-3</v>
      </c>
      <c r="F29" s="100"/>
      <c r="G29" s="100"/>
    </row>
    <row r="30" spans="1:7" x14ac:dyDescent="0.35">
      <c r="A30" s="268" t="s">
        <v>642</v>
      </c>
      <c r="B30" s="260">
        <v>1.0209946516931794E-4</v>
      </c>
      <c r="C30" s="260">
        <v>6.0735585657949558E-3</v>
      </c>
      <c r="D30" s="260">
        <v>8.505758976951756E-3</v>
      </c>
      <c r="E30" s="260">
        <v>2.9447789058027215E-4</v>
      </c>
      <c r="F30" s="100"/>
      <c r="G30" s="100"/>
    </row>
    <row r="31" spans="1:7" x14ac:dyDescent="0.35">
      <c r="A31" s="268" t="s">
        <v>643</v>
      </c>
      <c r="B31" s="260">
        <v>9.4193586957949588E-6</v>
      </c>
      <c r="C31" s="260">
        <v>5.4734105175075301E-4</v>
      </c>
      <c r="D31" s="260">
        <v>7.8879869102861373E-4</v>
      </c>
      <c r="E31" s="260">
        <v>3.2721928080619226E-5</v>
      </c>
      <c r="F31" s="100"/>
      <c r="G31" s="100"/>
    </row>
    <row r="32" spans="1:7" x14ac:dyDescent="0.35">
      <c r="A32" s="268" t="s">
        <v>644</v>
      </c>
      <c r="B32" s="260">
        <v>0</v>
      </c>
      <c r="C32" s="260">
        <v>0</v>
      </c>
      <c r="D32" s="260">
        <v>0</v>
      </c>
      <c r="E32" s="260">
        <v>3.3227841378714585E-6</v>
      </c>
      <c r="F32" s="100"/>
      <c r="G32" s="100"/>
    </row>
    <row r="33" spans="1:7" x14ac:dyDescent="0.35">
      <c r="A33" s="268" t="s">
        <v>575</v>
      </c>
      <c r="B33" s="260">
        <v>2.0937871586788979E-4</v>
      </c>
      <c r="C33" s="260">
        <v>1.2910516660739977E-2</v>
      </c>
      <c r="D33" s="260">
        <v>1.7578681971996683E-2</v>
      </c>
      <c r="E33" s="260">
        <v>5.9448899920533935E-4</v>
      </c>
      <c r="F33" s="100"/>
      <c r="G33" s="100"/>
    </row>
  </sheetData>
  <sheetProtection sheet="1" objects="1" scenarios="1" formatCells="0" formatColumns="0" formatRows="0"/>
  <mergeCells count="6">
    <mergeCell ref="B3:G3"/>
    <mergeCell ref="B13:E13"/>
    <mergeCell ref="B17:E17"/>
    <mergeCell ref="B26:E26"/>
    <mergeCell ref="A1:G2"/>
    <mergeCell ref="A3:A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7DDB-A5C2-4661-AFC0-F1A15564867D}">
  <sheetPr>
    <tabColor rgb="FF00B050"/>
  </sheetPr>
  <dimension ref="A1:J12"/>
  <sheetViews>
    <sheetView zoomScale="80" zoomScaleNormal="80" workbookViewId="0">
      <selection activeCell="A18" sqref="A18"/>
    </sheetView>
  </sheetViews>
  <sheetFormatPr defaultColWidth="8.90625" defaultRowHeight="14" x14ac:dyDescent="0.3"/>
  <cols>
    <col min="1" max="1" width="14" style="100" customWidth="1"/>
    <col min="2" max="2" width="14.36328125" style="100" customWidth="1"/>
    <col min="3" max="3" width="13.90625" style="100" customWidth="1"/>
    <col min="4" max="5" width="15.54296875" style="100" customWidth="1"/>
    <col min="6" max="6" width="16.81640625" style="100" customWidth="1"/>
    <col min="7" max="7" width="17.36328125" style="100" customWidth="1"/>
    <col min="8" max="8" width="16.08984375" style="100" customWidth="1"/>
    <col min="9" max="9" width="16.54296875" style="100" customWidth="1"/>
    <col min="10" max="16384" width="8.90625" style="100"/>
  </cols>
  <sheetData>
    <row r="1" spans="1:10" ht="14.4" customHeight="1" x14ac:dyDescent="0.3">
      <c r="A1" s="467" t="s">
        <v>653</v>
      </c>
      <c r="B1" s="467"/>
      <c r="C1" s="467"/>
      <c r="D1" s="467"/>
      <c r="E1" s="467"/>
      <c r="F1" s="467"/>
      <c r="G1" s="467"/>
      <c r="H1" s="467"/>
      <c r="I1" s="468"/>
      <c r="J1" s="291"/>
    </row>
    <row r="2" spans="1:10" ht="17.399999999999999" customHeight="1" x14ac:dyDescent="0.3">
      <c r="A2" s="469"/>
      <c r="B2" s="469"/>
      <c r="C2" s="469"/>
      <c r="D2" s="469"/>
      <c r="E2" s="469"/>
      <c r="F2" s="469"/>
      <c r="G2" s="469"/>
      <c r="H2" s="469"/>
      <c r="I2" s="470"/>
    </row>
    <row r="3" spans="1:10" x14ac:dyDescent="0.3">
      <c r="A3" s="473" t="s">
        <v>654</v>
      </c>
      <c r="B3" s="471" t="s">
        <v>668</v>
      </c>
      <c r="C3" s="471"/>
      <c r="D3" s="472" t="s">
        <v>762</v>
      </c>
      <c r="E3" s="472"/>
      <c r="F3" s="472" t="s">
        <v>674</v>
      </c>
      <c r="G3" s="472"/>
      <c r="H3" s="472" t="s">
        <v>675</v>
      </c>
      <c r="I3" s="472"/>
    </row>
    <row r="4" spans="1:10" ht="54" customHeight="1" x14ac:dyDescent="0.3">
      <c r="A4" s="474"/>
      <c r="B4" s="110" t="s">
        <v>902</v>
      </c>
      <c r="C4" s="110" t="s">
        <v>910</v>
      </c>
      <c r="D4" s="129" t="s">
        <v>904</v>
      </c>
      <c r="E4" s="129" t="s">
        <v>911</v>
      </c>
      <c r="F4" s="129" t="s">
        <v>906</v>
      </c>
      <c r="G4" s="129" t="s">
        <v>907</v>
      </c>
      <c r="H4" s="129" t="s">
        <v>908</v>
      </c>
      <c r="I4" s="129" t="s">
        <v>909</v>
      </c>
    </row>
    <row r="5" spans="1:10" ht="28.5" thickBot="1" x14ac:dyDescent="0.35">
      <c r="A5" s="475"/>
      <c r="B5" s="269" t="s">
        <v>655</v>
      </c>
      <c r="C5" s="269" t="s">
        <v>656</v>
      </c>
      <c r="D5" s="242" t="s">
        <v>657</v>
      </c>
      <c r="E5" s="242" t="s">
        <v>658</v>
      </c>
      <c r="F5" s="242" t="s">
        <v>659</v>
      </c>
      <c r="G5" s="242" t="s">
        <v>660</v>
      </c>
      <c r="H5" s="242" t="s">
        <v>661</v>
      </c>
      <c r="I5" s="242" t="s">
        <v>662</v>
      </c>
    </row>
    <row r="6" spans="1:10" ht="14.5" thickTop="1" x14ac:dyDescent="0.3">
      <c r="A6" s="276" t="s">
        <v>639</v>
      </c>
      <c r="B6" s="270">
        <v>4.4284115045995858</v>
      </c>
      <c r="C6" s="271">
        <v>4.3366803195372201</v>
      </c>
      <c r="D6" s="270">
        <v>3.0125248330609424</v>
      </c>
      <c r="E6" s="271">
        <v>2.9501226663518505</v>
      </c>
      <c r="F6" s="270">
        <v>2.0633731733294134</v>
      </c>
      <c r="G6" s="272">
        <v>2.0206319632546927</v>
      </c>
      <c r="H6" s="270">
        <v>0.73563947400793728</v>
      </c>
      <c r="I6" s="270">
        <v>0.72040126033711793</v>
      </c>
    </row>
    <row r="7" spans="1:10" x14ac:dyDescent="0.3">
      <c r="A7" s="268" t="s">
        <v>640</v>
      </c>
      <c r="B7" s="278">
        <v>1.1256525732749618</v>
      </c>
      <c r="C7" s="278">
        <v>0.96812948797331011</v>
      </c>
      <c r="D7" s="278">
        <v>0.76575004984691286</v>
      </c>
      <c r="E7" s="278">
        <v>0.65859148841721782</v>
      </c>
      <c r="F7" s="278">
        <v>0.52448633551158408</v>
      </c>
      <c r="G7" s="278">
        <v>0.45109006055973827</v>
      </c>
      <c r="H7" s="278">
        <v>0.2141729804744596</v>
      </c>
      <c r="I7" s="278">
        <v>0.1819903538651664</v>
      </c>
    </row>
    <row r="8" spans="1:10" x14ac:dyDescent="0.3">
      <c r="A8" s="268" t="s">
        <v>641</v>
      </c>
      <c r="B8" s="278">
        <v>0.68294766396224182</v>
      </c>
      <c r="C8" s="278">
        <v>0.51594417782925783</v>
      </c>
      <c r="D8" s="278">
        <v>0.46459024759336182</v>
      </c>
      <c r="E8" s="278">
        <v>0.35098243389745432</v>
      </c>
      <c r="F8" s="278">
        <v>0.31821249835161775</v>
      </c>
      <c r="G8" s="278">
        <v>0.24039892732702348</v>
      </c>
      <c r="H8" s="278">
        <v>0.1278004966012653</v>
      </c>
      <c r="I8" s="278">
        <v>9.4840678228770139E-2</v>
      </c>
    </row>
    <row r="9" spans="1:10" x14ac:dyDescent="0.3">
      <c r="A9" s="268" t="s">
        <v>642</v>
      </c>
      <c r="B9" s="278">
        <v>0.10246470704074689</v>
      </c>
      <c r="C9" s="278">
        <v>5.8067003829073122E-2</v>
      </c>
      <c r="D9" s="278">
        <v>6.9703882340644147E-2</v>
      </c>
      <c r="E9" s="278">
        <v>3.9501363149029335E-2</v>
      </c>
      <c r="F9" s="278">
        <v>4.7742385164824763E-2</v>
      </c>
      <c r="G9" s="278">
        <v>2.7055728184266672E-2</v>
      </c>
      <c r="H9" s="278">
        <v>1.8132356412541791E-2</v>
      </c>
      <c r="I9" s="278">
        <v>1.0115118905840005E-2</v>
      </c>
    </row>
    <row r="10" spans="1:10" x14ac:dyDescent="0.3">
      <c r="A10" s="268" t="s">
        <v>643</v>
      </c>
      <c r="B10" s="278">
        <v>1.57717004350546E-2</v>
      </c>
      <c r="C10" s="278">
        <v>6.1083264282221234E-3</v>
      </c>
      <c r="D10" s="278">
        <v>1.0729047915003129E-2</v>
      </c>
      <c r="E10" s="278">
        <v>4.1553241008313764E-3</v>
      </c>
      <c r="F10" s="278">
        <v>7.3486629554815972E-3</v>
      </c>
      <c r="G10" s="278">
        <v>2.8461123978297097E-3</v>
      </c>
      <c r="H10" s="278">
        <v>2.5508064457683273E-3</v>
      </c>
      <c r="I10" s="278">
        <v>1.0037186460688219E-3</v>
      </c>
    </row>
    <row r="11" spans="1:10" x14ac:dyDescent="0.3">
      <c r="A11" s="268" t="s">
        <v>644</v>
      </c>
      <c r="B11" s="278">
        <v>1.2586482980637657E-3</v>
      </c>
      <c r="C11" s="278">
        <v>2.726870145515193E-4</v>
      </c>
      <c r="D11" s="278">
        <v>8.562233320161672E-4</v>
      </c>
      <c r="E11" s="278">
        <v>1.8550137044321042E-4</v>
      </c>
      <c r="F11" s="278">
        <v>5.8645433699737481E-4</v>
      </c>
      <c r="G11" s="278">
        <v>1.2705573318028108E-4</v>
      </c>
      <c r="H11" s="278">
        <v>1.7167262400132901E-4</v>
      </c>
      <c r="I11" s="278">
        <v>3.1245663579416686E-5</v>
      </c>
    </row>
    <row r="12" spans="1:10" x14ac:dyDescent="0.3">
      <c r="A12" s="277" t="s">
        <v>575</v>
      </c>
      <c r="B12" s="273">
        <v>0.21289152097657921</v>
      </c>
      <c r="C12" s="274">
        <v>0.13537490002573094</v>
      </c>
      <c r="D12" s="273">
        <v>0.14482416392964573</v>
      </c>
      <c r="E12" s="274">
        <v>9.2091768724987033E-2</v>
      </c>
      <c r="F12" s="273">
        <v>9.9194632828523102E-2</v>
      </c>
      <c r="G12" s="275">
        <v>6.3076553921224257E-2</v>
      </c>
      <c r="H12" s="273">
        <v>3.8344252569866406E-2</v>
      </c>
      <c r="I12" s="273">
        <v>2.4384992284765233E-2</v>
      </c>
    </row>
  </sheetData>
  <sheetProtection sheet="1" objects="1" scenarios="1" formatCells="0" formatColumns="0" formatRows="0"/>
  <mergeCells count="6">
    <mergeCell ref="A1:I2"/>
    <mergeCell ref="B3:C3"/>
    <mergeCell ref="D3:E3"/>
    <mergeCell ref="F3:G3"/>
    <mergeCell ref="H3:I3"/>
    <mergeCell ref="A3:A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55246-1519-4BE9-9266-0D3139752E86}">
  <sheetPr>
    <tabColor rgb="FF00B050"/>
  </sheetPr>
  <dimension ref="A1:K12"/>
  <sheetViews>
    <sheetView zoomScale="80" zoomScaleNormal="80" workbookViewId="0">
      <selection activeCell="D16" sqref="D16"/>
    </sheetView>
  </sheetViews>
  <sheetFormatPr defaultColWidth="8.90625" defaultRowHeight="14" x14ac:dyDescent="0.3"/>
  <cols>
    <col min="1" max="1" width="15.54296875" style="100" customWidth="1"/>
    <col min="2" max="2" width="14.54296875" style="100" customWidth="1"/>
    <col min="3" max="3" width="14.6328125" style="100" customWidth="1"/>
    <col min="4" max="11" width="15.54296875" style="100" customWidth="1"/>
    <col min="12" max="16384" width="8.90625" style="100"/>
  </cols>
  <sheetData>
    <row r="1" spans="1:11" ht="18" customHeight="1" x14ac:dyDescent="0.3">
      <c r="A1" s="467" t="s">
        <v>653</v>
      </c>
      <c r="B1" s="467"/>
      <c r="C1" s="467"/>
      <c r="D1" s="467"/>
      <c r="E1" s="467"/>
      <c r="F1" s="467"/>
      <c r="G1" s="467"/>
      <c r="H1" s="467"/>
      <c r="I1" s="467"/>
      <c r="J1" s="467"/>
      <c r="K1" s="468"/>
    </row>
    <row r="2" spans="1:11" ht="13.75" customHeight="1" x14ac:dyDescent="0.3">
      <c r="A2" s="469"/>
      <c r="B2" s="469"/>
      <c r="C2" s="469"/>
      <c r="D2" s="469"/>
      <c r="E2" s="469"/>
      <c r="F2" s="469"/>
      <c r="G2" s="469"/>
      <c r="H2" s="469"/>
      <c r="I2" s="469"/>
      <c r="J2" s="469"/>
      <c r="K2" s="470"/>
    </row>
    <row r="3" spans="1:11" x14ac:dyDescent="0.3">
      <c r="A3" s="473" t="s">
        <v>654</v>
      </c>
      <c r="B3" s="471" t="s">
        <v>668</v>
      </c>
      <c r="C3" s="471"/>
      <c r="D3" s="472" t="s">
        <v>762</v>
      </c>
      <c r="E3" s="472"/>
      <c r="F3" s="472" t="s">
        <v>674</v>
      </c>
      <c r="G3" s="472"/>
      <c r="H3" s="472" t="s">
        <v>675</v>
      </c>
      <c r="I3" s="472"/>
      <c r="J3" s="476" t="s">
        <v>663</v>
      </c>
      <c r="K3" s="477"/>
    </row>
    <row r="4" spans="1:11" ht="56" x14ac:dyDescent="0.3">
      <c r="A4" s="474"/>
      <c r="B4" s="110" t="s">
        <v>902</v>
      </c>
      <c r="C4" s="110" t="s">
        <v>903</v>
      </c>
      <c r="D4" s="129" t="s">
        <v>904</v>
      </c>
      <c r="E4" s="129" t="s">
        <v>905</v>
      </c>
      <c r="F4" s="129" t="s">
        <v>906</v>
      </c>
      <c r="G4" s="129" t="s">
        <v>907</v>
      </c>
      <c r="H4" s="129" t="s">
        <v>908</v>
      </c>
      <c r="I4" s="129" t="s">
        <v>909</v>
      </c>
      <c r="J4" s="110" t="s">
        <v>902</v>
      </c>
      <c r="K4" s="110" t="s">
        <v>903</v>
      </c>
    </row>
    <row r="5" spans="1:11" ht="28.5" thickBot="1" x14ac:dyDescent="0.35">
      <c r="A5" s="475"/>
      <c r="B5" s="269" t="s">
        <v>655</v>
      </c>
      <c r="C5" s="269" t="s">
        <v>656</v>
      </c>
      <c r="D5" s="242" t="s">
        <v>657</v>
      </c>
      <c r="E5" s="242" t="s">
        <v>658</v>
      </c>
      <c r="F5" s="242" t="s">
        <v>659</v>
      </c>
      <c r="G5" s="242" t="s">
        <v>660</v>
      </c>
      <c r="H5" s="242" t="s">
        <v>661</v>
      </c>
      <c r="I5" s="242" t="s">
        <v>662</v>
      </c>
      <c r="J5" s="269" t="s">
        <v>655</v>
      </c>
      <c r="K5" s="269" t="s">
        <v>656</v>
      </c>
    </row>
    <row r="6" spans="1:11" ht="14.5" thickTop="1" x14ac:dyDescent="0.3">
      <c r="A6" s="276" t="s">
        <v>639</v>
      </c>
      <c r="B6" s="292">
        <v>5.1353957144436711E-2</v>
      </c>
      <c r="C6" s="292">
        <v>8.3672455650805489E-3</v>
      </c>
      <c r="D6" s="292">
        <v>3.4934664724106605E-2</v>
      </c>
      <c r="E6" s="292">
        <v>5.6920037857690802E-3</v>
      </c>
      <c r="F6" s="292">
        <v>2.3927852550757949E-2</v>
      </c>
      <c r="G6" s="292">
        <v>3.8986327299788213E-3</v>
      </c>
      <c r="H6" s="292">
        <v>1.0327906016620101E-2</v>
      </c>
      <c r="I6" s="292">
        <v>1.6462558880777751E-3</v>
      </c>
      <c r="J6" s="292">
        <v>0.13694388036393121</v>
      </c>
      <c r="K6" s="293">
        <v>2.7479020580059618E-2</v>
      </c>
    </row>
    <row r="7" spans="1:11" x14ac:dyDescent="0.3">
      <c r="A7" s="268" t="s">
        <v>640</v>
      </c>
      <c r="B7" s="298">
        <v>1.3472106076682241E-2</v>
      </c>
      <c r="C7" s="298">
        <v>8.612756037985861E-4</v>
      </c>
      <c r="D7" s="298">
        <v>9.1646980113484645E-3</v>
      </c>
      <c r="E7" s="298">
        <v>5.8590177129155525E-4</v>
      </c>
      <c r="F7" s="298">
        <v>6.2771904187318237E-3</v>
      </c>
      <c r="G7" s="298">
        <v>4.0130258307640766E-4</v>
      </c>
      <c r="H7" s="298">
        <v>2.5619240949759326E-3</v>
      </c>
      <c r="I7" s="298">
        <v>1.610492021740814E-4</v>
      </c>
      <c r="J7" s="298">
        <v>3.9131338642294608E-2</v>
      </c>
      <c r="K7" s="298">
        <v>2.5381382593797799E-3</v>
      </c>
    </row>
    <row r="8" spans="1:11" x14ac:dyDescent="0.3">
      <c r="A8" s="268" t="s">
        <v>641</v>
      </c>
      <c r="B8" s="298">
        <v>8.3017276296338365E-3</v>
      </c>
      <c r="C8" s="298">
        <v>3.4747430153173357E-4</v>
      </c>
      <c r="D8" s="298">
        <v>5.647433761655672E-3</v>
      </c>
      <c r="E8" s="298">
        <v>2.363770758719276E-4</v>
      </c>
      <c r="F8" s="298">
        <v>3.8681053162025144E-3</v>
      </c>
      <c r="G8" s="298">
        <v>1.6190210676159428E-4</v>
      </c>
      <c r="H8" s="298">
        <v>1.550658362666641E-3</v>
      </c>
      <c r="I8" s="298">
        <v>6.303577465317709E-5</v>
      </c>
      <c r="J8" s="298">
        <v>2.4443954109770245E-2</v>
      </c>
      <c r="K8" s="298">
        <v>1.0333380450433176E-3</v>
      </c>
    </row>
    <row r="9" spans="1:11" x14ac:dyDescent="0.3">
      <c r="A9" s="268" t="s">
        <v>642</v>
      </c>
      <c r="B9" s="298">
        <v>2.4099925565607676E-3</v>
      </c>
      <c r="C9" s="298">
        <v>4.4226513501030806E-5</v>
      </c>
      <c r="D9" s="298">
        <v>1.6394507187488215E-3</v>
      </c>
      <c r="E9" s="298">
        <v>3.0086063606143406E-5</v>
      </c>
      <c r="F9" s="298">
        <v>1.1229114511978231E-3</v>
      </c>
      <c r="G9" s="298">
        <v>2.0606892880920146E-5</v>
      </c>
      <c r="H9" s="298">
        <v>4.2196238492177036E-4</v>
      </c>
      <c r="I9" s="298">
        <v>7.7501012050139402E-6</v>
      </c>
      <c r="J9" s="298">
        <v>7.4191498548303141E-3</v>
      </c>
      <c r="K9" s="298">
        <v>1.3551871775568976E-4</v>
      </c>
    </row>
    <row r="10" spans="1:11" x14ac:dyDescent="0.3">
      <c r="A10" s="268" t="s">
        <v>643</v>
      </c>
      <c r="B10" s="298">
        <v>6.5649088734097709E-4</v>
      </c>
      <c r="C10" s="298">
        <v>8.9241883689313231E-6</v>
      </c>
      <c r="D10" s="298">
        <v>4.4659244036801164E-4</v>
      </c>
      <c r="E10" s="298">
        <v>6.0708764414498797E-6</v>
      </c>
      <c r="F10" s="298">
        <v>3.0588523312877506E-4</v>
      </c>
      <c r="G10" s="298">
        <v>4.1581345489382732E-6</v>
      </c>
      <c r="H10" s="298">
        <v>1.0533067975824032E-4</v>
      </c>
      <c r="I10" s="298">
        <v>1.4614590448425515E-6</v>
      </c>
      <c r="J10" s="298">
        <v>2.1667388707675202E-3</v>
      </c>
      <c r="K10" s="298">
        <v>2.9051752951942559E-5</v>
      </c>
    </row>
    <row r="11" spans="1:11" x14ac:dyDescent="0.3">
      <c r="A11" s="268" t="s">
        <v>644</v>
      </c>
      <c r="B11" s="298">
        <v>7.7085108435545616E-5</v>
      </c>
      <c r="C11" s="298">
        <v>1.1826675867464548E-6</v>
      </c>
      <c r="D11" s="298">
        <v>5.2438849275881373E-5</v>
      </c>
      <c r="E11" s="298">
        <v>8.0453577329690807E-7</v>
      </c>
      <c r="F11" s="298">
        <v>3.5917020051973545E-5</v>
      </c>
      <c r="G11" s="298">
        <v>5.5105189951843023E-7</v>
      </c>
      <c r="H11" s="298">
        <v>9.707892424885054E-6</v>
      </c>
      <c r="I11" s="298">
        <v>1.2951924525823787E-7</v>
      </c>
      <c r="J11" s="298">
        <v>3.7994313195417685E-4</v>
      </c>
      <c r="K11" s="298">
        <v>7.2496371257186091E-6</v>
      </c>
    </row>
    <row r="12" spans="1:11" x14ac:dyDescent="0.3">
      <c r="A12" s="277" t="s">
        <v>575</v>
      </c>
      <c r="B12" s="294">
        <v>3.1776472871142322E-3</v>
      </c>
      <c r="C12" s="294">
        <v>9.8214651001423428E-5</v>
      </c>
      <c r="D12" s="294">
        <v>2.1616648211661444E-3</v>
      </c>
      <c r="E12" s="294">
        <v>6.6812687756070366E-5</v>
      </c>
      <c r="F12" s="294">
        <v>1.4805923432644578E-3</v>
      </c>
      <c r="G12" s="294">
        <v>4.5762114901417509E-5</v>
      </c>
      <c r="H12" s="294">
        <v>5.7204742307883944E-4</v>
      </c>
      <c r="I12" s="294">
        <v>1.7700838296190961E-5</v>
      </c>
      <c r="J12" s="294">
        <v>9.5997041623756586E-3</v>
      </c>
      <c r="K12" s="295">
        <v>2.945896270257783E-4</v>
      </c>
    </row>
  </sheetData>
  <sheetProtection sheet="1" objects="1" scenarios="1" formatCells="0" formatColumns="0" formatRows="0"/>
  <mergeCells count="7">
    <mergeCell ref="A1:K2"/>
    <mergeCell ref="A3:A5"/>
    <mergeCell ref="B3:C3"/>
    <mergeCell ref="D3:E3"/>
    <mergeCell ref="F3:G3"/>
    <mergeCell ref="H3:I3"/>
    <mergeCell ref="J3:K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752C0-E24A-46A1-9FB3-06FA4EB8E3EE}">
  <sheetPr>
    <tabColor rgb="FF00B050"/>
  </sheetPr>
  <dimension ref="A1:AG11"/>
  <sheetViews>
    <sheetView zoomScale="80" zoomScaleNormal="80" workbookViewId="0">
      <selection activeCell="B14" sqref="B14"/>
    </sheetView>
  </sheetViews>
  <sheetFormatPr defaultColWidth="9.453125" defaultRowHeight="15.5" x14ac:dyDescent="0.35"/>
  <cols>
    <col min="1" max="1" width="40" style="205" customWidth="1"/>
    <col min="2" max="2" width="16.90625" style="205" customWidth="1"/>
    <col min="3" max="4" width="22.453125" style="207" customWidth="1"/>
    <col min="5" max="5" width="20.90625" style="205" customWidth="1"/>
    <col min="6" max="6" width="32" style="206" customWidth="1"/>
    <col min="7" max="7" width="15.54296875" style="205" customWidth="1"/>
    <col min="8" max="10" width="9.453125" style="206"/>
    <col min="11" max="29" width="9.453125" style="207"/>
    <col min="30" max="31" width="9.453125" style="205"/>
    <col min="32" max="33" width="9.453125" style="209"/>
    <col min="34" max="16384" width="9.453125" style="136"/>
  </cols>
  <sheetData>
    <row r="1" spans="1:33" x14ac:dyDescent="0.35">
      <c r="A1" s="110" t="s">
        <v>620</v>
      </c>
      <c r="B1" s="110" t="s">
        <v>151</v>
      </c>
      <c r="C1" s="110" t="s">
        <v>129</v>
      </c>
      <c r="D1" s="110" t="s">
        <v>128</v>
      </c>
      <c r="E1" s="110" t="s">
        <v>153</v>
      </c>
      <c r="F1" s="478" t="s">
        <v>622</v>
      </c>
      <c r="G1" s="478"/>
    </row>
    <row r="2" spans="1:33" ht="57.65" customHeight="1" x14ac:dyDescent="0.35">
      <c r="A2" s="296" t="s">
        <v>887</v>
      </c>
      <c r="B2" s="103" t="s">
        <v>623</v>
      </c>
      <c r="C2" s="483">
        <v>8</v>
      </c>
      <c r="D2" s="484"/>
      <c r="E2" s="245" t="s">
        <v>624</v>
      </c>
      <c r="F2" s="485" t="s">
        <v>922</v>
      </c>
      <c r="G2" s="485"/>
    </row>
    <row r="3" spans="1:33" ht="96.65" customHeight="1" x14ac:dyDescent="0.35">
      <c r="A3" s="296" t="s">
        <v>924</v>
      </c>
      <c r="B3" s="103" t="s">
        <v>664</v>
      </c>
      <c r="C3" s="149">
        <v>235</v>
      </c>
      <c r="D3" s="149">
        <v>250</v>
      </c>
      <c r="E3" s="245" t="s">
        <v>625</v>
      </c>
      <c r="F3" s="485" t="s">
        <v>923</v>
      </c>
      <c r="G3" s="485"/>
    </row>
    <row r="4" spans="1:33" ht="70.25" customHeight="1" x14ac:dyDescent="0.35">
      <c r="A4" s="107" t="s">
        <v>925</v>
      </c>
      <c r="B4" s="103" t="s">
        <v>929</v>
      </c>
      <c r="C4" s="152">
        <v>0.116708333333333</v>
      </c>
      <c r="D4" s="149">
        <v>0.55000000000000004</v>
      </c>
      <c r="E4" s="245" t="s">
        <v>626</v>
      </c>
      <c r="F4" s="485" t="s">
        <v>665</v>
      </c>
      <c r="G4" s="485"/>
    </row>
    <row r="5" spans="1:33" ht="59.4" customHeight="1" x14ac:dyDescent="0.35">
      <c r="A5" s="107" t="s">
        <v>926</v>
      </c>
      <c r="B5" s="103" t="s">
        <v>930</v>
      </c>
      <c r="C5" s="149">
        <v>0.89</v>
      </c>
      <c r="D5" s="152">
        <v>3.5</v>
      </c>
      <c r="E5" s="245" t="s">
        <v>885</v>
      </c>
      <c r="F5" s="485" t="s">
        <v>666</v>
      </c>
      <c r="G5" s="485"/>
    </row>
    <row r="6" spans="1:33" ht="42" x14ac:dyDescent="0.35">
      <c r="A6" s="107" t="s">
        <v>927</v>
      </c>
      <c r="B6" s="103" t="s">
        <v>931</v>
      </c>
      <c r="C6" s="152">
        <f>C5*5/8</f>
        <v>0.55625000000000002</v>
      </c>
      <c r="D6" s="152">
        <f>D5*5/8</f>
        <v>2.1875</v>
      </c>
      <c r="E6" s="245" t="s">
        <v>885</v>
      </c>
      <c r="F6" s="485" t="s">
        <v>921</v>
      </c>
      <c r="G6" s="485"/>
    </row>
    <row r="7" spans="1:33" x14ac:dyDescent="0.35">
      <c r="A7" s="344"/>
      <c r="B7" s="345"/>
      <c r="C7" s="374"/>
      <c r="D7" s="374"/>
      <c r="E7" s="346"/>
      <c r="F7" s="347"/>
      <c r="G7" s="347"/>
      <c r="K7" s="267"/>
      <c r="L7" s="267"/>
      <c r="M7" s="267"/>
      <c r="N7" s="267"/>
      <c r="O7" s="267"/>
      <c r="P7" s="267"/>
      <c r="Q7" s="267"/>
      <c r="R7" s="267"/>
      <c r="S7" s="267"/>
      <c r="T7" s="267"/>
      <c r="U7" s="267"/>
      <c r="V7" s="267"/>
      <c r="W7" s="267"/>
      <c r="X7" s="267"/>
      <c r="Y7" s="267"/>
      <c r="Z7" s="267"/>
      <c r="AA7" s="267"/>
      <c r="AB7" s="267"/>
      <c r="AC7" s="267"/>
    </row>
    <row r="9" spans="1:33" s="135" customFormat="1" x14ac:dyDescent="0.35">
      <c r="A9" s="479" t="s">
        <v>150</v>
      </c>
      <c r="B9" s="481" t="s">
        <v>151</v>
      </c>
      <c r="C9" s="479" t="s">
        <v>631</v>
      </c>
      <c r="D9" s="479" t="s">
        <v>667</v>
      </c>
      <c r="E9" s="479"/>
      <c r="F9" s="479"/>
      <c r="G9" s="205"/>
      <c r="H9" s="206"/>
      <c r="I9" s="206"/>
      <c r="J9" s="206"/>
      <c r="K9" s="207"/>
      <c r="L9" s="207"/>
      <c r="M9" s="207"/>
      <c r="N9" s="207"/>
      <c r="O9" s="207"/>
      <c r="P9" s="207"/>
      <c r="Q9" s="207"/>
      <c r="R9" s="207"/>
      <c r="S9" s="207"/>
      <c r="T9" s="207"/>
      <c r="U9" s="207"/>
      <c r="V9" s="207"/>
      <c r="W9" s="207"/>
      <c r="X9" s="207"/>
      <c r="Y9" s="207"/>
      <c r="Z9" s="207"/>
      <c r="AA9" s="207"/>
      <c r="AB9" s="207"/>
      <c r="AC9" s="207"/>
      <c r="AD9" s="205"/>
      <c r="AE9" s="205"/>
      <c r="AF9" s="209"/>
      <c r="AG9" s="209"/>
    </row>
    <row r="10" spans="1:33" s="135" customFormat="1" ht="16" thickBot="1" x14ac:dyDescent="0.4">
      <c r="A10" s="480"/>
      <c r="B10" s="482"/>
      <c r="C10" s="480"/>
      <c r="D10" s="253" t="s">
        <v>129</v>
      </c>
      <c r="E10" s="253" t="s">
        <v>621</v>
      </c>
      <c r="F10" s="254" t="s">
        <v>153</v>
      </c>
      <c r="G10" s="205"/>
      <c r="H10" s="206"/>
      <c r="I10" s="206"/>
      <c r="J10" s="206"/>
      <c r="K10" s="207"/>
      <c r="L10" s="207"/>
      <c r="M10" s="207"/>
      <c r="N10" s="207"/>
      <c r="O10" s="207"/>
      <c r="P10" s="207"/>
      <c r="Q10" s="207"/>
      <c r="R10" s="207"/>
      <c r="S10" s="207"/>
      <c r="T10" s="207"/>
      <c r="U10" s="207"/>
      <c r="V10" s="207"/>
      <c r="W10" s="207"/>
      <c r="X10" s="207"/>
      <c r="Y10" s="207"/>
      <c r="Z10" s="207"/>
      <c r="AA10" s="207"/>
      <c r="AB10" s="207"/>
      <c r="AC10" s="207"/>
      <c r="AD10" s="205"/>
      <c r="AE10" s="205"/>
      <c r="AF10" s="209"/>
      <c r="AG10" s="209"/>
    </row>
    <row r="11" spans="1:33" ht="31.5" thickTop="1" x14ac:dyDescent="0.35">
      <c r="A11" s="250" t="s">
        <v>668</v>
      </c>
      <c r="B11" s="251" t="s">
        <v>886</v>
      </c>
      <c r="C11" s="111" t="s">
        <v>928</v>
      </c>
      <c r="D11" s="252">
        <f>C6*C4*C2/8</f>
        <v>6.4919010416666478E-2</v>
      </c>
      <c r="E11" s="252">
        <f>D6*D4*C2/8</f>
        <v>1.203125</v>
      </c>
      <c r="F11" s="255" t="s">
        <v>885</v>
      </c>
    </row>
  </sheetData>
  <sheetProtection sheet="1" objects="1" scenarios="1" formatCells="0" formatColumns="0" formatRows="0"/>
  <mergeCells count="11">
    <mergeCell ref="F1:G1"/>
    <mergeCell ref="A9:A10"/>
    <mergeCell ref="B9:B10"/>
    <mergeCell ref="C9:C10"/>
    <mergeCell ref="D9:F9"/>
    <mergeCell ref="C2:D2"/>
    <mergeCell ref="F6:G6"/>
    <mergeCell ref="F5:G5"/>
    <mergeCell ref="F4:G4"/>
    <mergeCell ref="F3:G3"/>
    <mergeCell ref="F2:G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2BA5-9F53-4D33-BE59-6E9C596832E2}">
  <sheetPr>
    <tabColor rgb="FF00B050"/>
  </sheetPr>
  <dimension ref="A1:AG19"/>
  <sheetViews>
    <sheetView zoomScale="80" zoomScaleNormal="80" workbookViewId="0">
      <selection activeCell="F5" sqref="F5:G5"/>
    </sheetView>
  </sheetViews>
  <sheetFormatPr defaultColWidth="9.453125" defaultRowHeight="14" x14ac:dyDescent="0.3"/>
  <cols>
    <col min="1" max="1" width="45.54296875" style="128" customWidth="1"/>
    <col min="2" max="2" width="18.36328125" style="128" customWidth="1"/>
    <col min="3" max="3" width="19.453125" style="128" customWidth="1"/>
    <col min="4" max="4" width="16.90625" style="128" customWidth="1"/>
    <col min="5" max="5" width="20.90625" style="128" customWidth="1"/>
    <col min="6" max="6" width="30.54296875" style="303" customWidth="1"/>
    <col min="7" max="7" width="16.453125" style="128" customWidth="1"/>
    <col min="8" max="8" width="58.36328125" style="303" customWidth="1"/>
    <col min="9" max="9" width="16.54296875" style="303" bestFit="1" customWidth="1"/>
    <col min="10" max="10" width="15.54296875" style="303" customWidth="1"/>
    <col min="11" max="29" width="9.453125" style="131"/>
    <col min="30" max="31" width="9.453125" style="128"/>
    <col min="32" max="33" width="9.453125" style="132"/>
    <col min="34" max="16384" width="9.453125" style="100"/>
  </cols>
  <sheetData>
    <row r="1" spans="1:33" s="109" customFormat="1" ht="14.5" thickBot="1" x14ac:dyDescent="0.4">
      <c r="A1" s="112" t="s">
        <v>620</v>
      </c>
      <c r="B1" s="112" t="s">
        <v>151</v>
      </c>
      <c r="C1" s="112" t="s">
        <v>129</v>
      </c>
      <c r="D1" s="112" t="s">
        <v>128</v>
      </c>
      <c r="E1" s="112" t="s">
        <v>153</v>
      </c>
      <c r="F1" s="486" t="s">
        <v>622</v>
      </c>
      <c r="G1" s="487"/>
      <c r="H1" s="302"/>
      <c r="I1" s="302"/>
      <c r="J1" s="302"/>
      <c r="K1" s="131"/>
      <c r="L1" s="131"/>
      <c r="M1" s="131"/>
      <c r="N1" s="131"/>
      <c r="O1" s="131"/>
      <c r="P1" s="131"/>
      <c r="Q1" s="131"/>
      <c r="R1" s="131"/>
      <c r="S1" s="131"/>
      <c r="T1" s="131"/>
      <c r="U1" s="131"/>
      <c r="V1" s="131"/>
      <c r="W1" s="131"/>
      <c r="X1" s="131"/>
      <c r="Y1" s="131"/>
      <c r="Z1" s="131"/>
      <c r="AA1" s="131"/>
      <c r="AB1" s="131"/>
      <c r="AC1" s="131"/>
      <c r="AD1" s="131"/>
      <c r="AE1" s="131"/>
      <c r="AF1" s="131"/>
      <c r="AG1" s="131"/>
    </row>
    <row r="2" spans="1:33" ht="163.25" customHeight="1" thickTop="1" x14ac:dyDescent="0.3">
      <c r="A2" s="247" t="s">
        <v>887</v>
      </c>
      <c r="B2" s="111" t="s">
        <v>623</v>
      </c>
      <c r="C2" s="495">
        <v>4</v>
      </c>
      <c r="D2" s="496"/>
      <c r="E2" s="244" t="s">
        <v>624</v>
      </c>
      <c r="F2" s="498" t="s">
        <v>950</v>
      </c>
      <c r="G2" s="499"/>
    </row>
    <row r="3" spans="1:33" ht="33.65" customHeight="1" x14ac:dyDescent="0.3">
      <c r="A3" s="248" t="s">
        <v>948</v>
      </c>
      <c r="B3" s="103" t="s">
        <v>664</v>
      </c>
      <c r="C3" s="245">
        <v>250</v>
      </c>
      <c r="D3" s="245">
        <v>250</v>
      </c>
      <c r="E3" s="245" t="s">
        <v>625</v>
      </c>
      <c r="F3" s="485" t="s">
        <v>952</v>
      </c>
      <c r="G3" s="485"/>
    </row>
    <row r="4" spans="1:33" ht="88.25" customHeight="1" x14ac:dyDescent="0.3">
      <c r="A4" s="107" t="s">
        <v>949</v>
      </c>
      <c r="B4" s="103" t="s">
        <v>929</v>
      </c>
      <c r="C4" s="104">
        <v>0.03</v>
      </c>
      <c r="D4" s="301">
        <v>0.05</v>
      </c>
      <c r="E4" s="245" t="s">
        <v>626</v>
      </c>
      <c r="F4" s="485" t="s">
        <v>669</v>
      </c>
      <c r="G4" s="485"/>
    </row>
    <row r="5" spans="1:33" ht="56.4" customHeight="1" x14ac:dyDescent="0.3">
      <c r="A5" s="107" t="s">
        <v>951</v>
      </c>
      <c r="B5" s="103" t="s">
        <v>947</v>
      </c>
      <c r="C5" s="301">
        <v>0.36</v>
      </c>
      <c r="D5" s="301">
        <v>3.4</v>
      </c>
      <c r="E5" s="245" t="s">
        <v>885</v>
      </c>
      <c r="F5" s="497" t="s">
        <v>973</v>
      </c>
      <c r="G5" s="497"/>
    </row>
    <row r="6" spans="1:33" x14ac:dyDescent="0.3">
      <c r="A6" s="100"/>
      <c r="B6" s="106"/>
      <c r="C6" s="106"/>
      <c r="D6" s="100"/>
      <c r="E6" s="100"/>
      <c r="F6" s="100"/>
    </row>
    <row r="7" spans="1:33" x14ac:dyDescent="0.3">
      <c r="A7" s="100"/>
      <c r="B7" s="106"/>
      <c r="C7" s="106"/>
      <c r="D7" s="100"/>
      <c r="E7" s="100"/>
      <c r="F7" s="100"/>
    </row>
    <row r="8" spans="1:33" ht="15.75" customHeight="1" x14ac:dyDescent="0.3">
      <c r="A8" s="478" t="s">
        <v>670</v>
      </c>
      <c r="B8" s="478"/>
      <c r="C8" s="478"/>
      <c r="D8" s="478"/>
      <c r="E8" s="100"/>
      <c r="F8" s="490" t="s">
        <v>150</v>
      </c>
      <c r="G8" s="488" t="s">
        <v>151</v>
      </c>
      <c r="H8" s="490" t="s">
        <v>631</v>
      </c>
      <c r="I8" s="492" t="s">
        <v>671</v>
      </c>
      <c r="J8" s="493"/>
      <c r="K8" s="494"/>
    </row>
    <row r="9" spans="1:33" ht="14.5" thickBot="1" x14ac:dyDescent="0.35">
      <c r="A9" s="117" t="s">
        <v>150</v>
      </c>
      <c r="B9" s="117" t="s">
        <v>151</v>
      </c>
      <c r="C9" s="117" t="s">
        <v>152</v>
      </c>
      <c r="D9" s="117" t="s">
        <v>153</v>
      </c>
      <c r="E9" s="100"/>
      <c r="F9" s="491"/>
      <c r="G9" s="489"/>
      <c r="H9" s="491"/>
      <c r="I9" s="269" t="s">
        <v>129</v>
      </c>
      <c r="J9" s="269" t="s">
        <v>621</v>
      </c>
      <c r="K9" s="300" t="s">
        <v>153</v>
      </c>
    </row>
    <row r="10" spans="1:33" s="102" customFormat="1" ht="17.5" thickTop="1" x14ac:dyDescent="0.35">
      <c r="A10" s="247" t="s">
        <v>953</v>
      </c>
      <c r="B10" s="306" t="s">
        <v>932</v>
      </c>
      <c r="C10" s="306">
        <v>8</v>
      </c>
      <c r="D10" s="306" t="s">
        <v>154</v>
      </c>
      <c r="F10" s="250" t="s">
        <v>966</v>
      </c>
      <c r="G10" s="251" t="s">
        <v>886</v>
      </c>
      <c r="H10" s="111" t="s">
        <v>967</v>
      </c>
      <c r="I10" s="252">
        <v>5.3999999999999994E-3</v>
      </c>
      <c r="J10" s="252">
        <v>8.5000000000000006E-2</v>
      </c>
      <c r="K10" s="255" t="s">
        <v>885</v>
      </c>
      <c r="L10" s="131"/>
      <c r="M10" s="131"/>
      <c r="N10" s="131"/>
      <c r="O10" s="131"/>
      <c r="P10" s="131"/>
      <c r="Q10" s="131"/>
      <c r="R10" s="131"/>
      <c r="S10" s="131"/>
      <c r="T10" s="131"/>
      <c r="U10" s="131"/>
      <c r="V10" s="131"/>
      <c r="W10" s="131"/>
      <c r="X10" s="131"/>
      <c r="Y10" s="131"/>
      <c r="Z10" s="131"/>
      <c r="AA10" s="131"/>
      <c r="AB10" s="131"/>
      <c r="AC10" s="131"/>
      <c r="AD10" s="128"/>
      <c r="AE10" s="128"/>
      <c r="AF10" s="132"/>
      <c r="AG10" s="132"/>
    </row>
    <row r="11" spans="1:33" s="102" customFormat="1" ht="17" x14ac:dyDescent="0.35">
      <c r="A11" s="296" t="s">
        <v>790</v>
      </c>
      <c r="B11" s="307" t="s">
        <v>933</v>
      </c>
      <c r="C11" s="307">
        <v>24</v>
      </c>
      <c r="D11" s="307" t="s">
        <v>154</v>
      </c>
      <c r="F11" s="249" t="s">
        <v>962</v>
      </c>
      <c r="G11" s="246" t="s">
        <v>934</v>
      </c>
      <c r="H11" s="246" t="s">
        <v>968</v>
      </c>
      <c r="I11" s="243">
        <v>3.6734693877551014E-3</v>
      </c>
      <c r="J11" s="243">
        <v>5.7823129251700682E-2</v>
      </c>
      <c r="K11" s="299" t="s">
        <v>885</v>
      </c>
      <c r="L11" s="131"/>
      <c r="M11" s="131"/>
      <c r="N11" s="131"/>
      <c r="O11" s="131"/>
      <c r="P11" s="131"/>
      <c r="Q11" s="131"/>
      <c r="R11" s="131"/>
      <c r="S11" s="131"/>
      <c r="T11" s="131"/>
      <c r="U11" s="131"/>
      <c r="V11" s="131"/>
      <c r="W11" s="131"/>
      <c r="X11" s="131"/>
      <c r="Y11" s="131"/>
      <c r="Z11" s="131"/>
      <c r="AA11" s="131"/>
      <c r="AB11" s="131"/>
      <c r="AC11" s="131"/>
      <c r="AD11" s="128"/>
      <c r="AE11" s="128"/>
      <c r="AF11" s="132"/>
      <c r="AG11" s="132"/>
    </row>
    <row r="12" spans="1:33" s="102" customFormat="1" ht="17" x14ac:dyDescent="0.35">
      <c r="A12" s="296" t="s">
        <v>954</v>
      </c>
      <c r="B12" s="307" t="s">
        <v>935</v>
      </c>
      <c r="C12" s="307">
        <f>24*30</f>
        <v>720</v>
      </c>
      <c r="D12" s="307" t="s">
        <v>158</v>
      </c>
      <c r="F12" s="249" t="s">
        <v>963</v>
      </c>
      <c r="G12" s="246" t="s">
        <v>936</v>
      </c>
      <c r="H12" s="246" t="s">
        <v>971</v>
      </c>
      <c r="I12" s="243">
        <v>2.6938775510204076E-3</v>
      </c>
      <c r="J12" s="243">
        <v>4.240362811791383E-2</v>
      </c>
      <c r="K12" s="299" t="s">
        <v>885</v>
      </c>
      <c r="L12" s="131"/>
      <c r="M12" s="131"/>
      <c r="N12" s="131"/>
      <c r="O12" s="131"/>
      <c r="P12" s="131"/>
      <c r="Q12" s="131"/>
      <c r="R12" s="131"/>
      <c r="S12" s="131"/>
      <c r="T12" s="131"/>
      <c r="U12" s="131"/>
      <c r="V12" s="131"/>
      <c r="W12" s="131"/>
      <c r="X12" s="131"/>
      <c r="Y12" s="131"/>
      <c r="Z12" s="131"/>
      <c r="AA12" s="131"/>
      <c r="AB12" s="131"/>
      <c r="AC12" s="131"/>
      <c r="AD12" s="128"/>
      <c r="AE12" s="128"/>
      <c r="AF12" s="132"/>
      <c r="AG12" s="132"/>
    </row>
    <row r="13" spans="1:33" s="102" customFormat="1" ht="17" x14ac:dyDescent="0.35">
      <c r="A13" s="296" t="s">
        <v>958</v>
      </c>
      <c r="B13" s="307" t="s">
        <v>937</v>
      </c>
      <c r="C13" s="307">
        <v>40</v>
      </c>
      <c r="D13" s="307" t="s">
        <v>156</v>
      </c>
      <c r="F13" s="249" t="s">
        <v>965</v>
      </c>
      <c r="G13" s="246" t="s">
        <v>938</v>
      </c>
      <c r="H13" s="246" t="s">
        <v>970</v>
      </c>
      <c r="I13" s="243">
        <v>2.5160749231199326E-3</v>
      </c>
      <c r="J13" s="243">
        <v>3.960488304911005E-2</v>
      </c>
      <c r="K13" s="299" t="s">
        <v>885</v>
      </c>
      <c r="L13" s="131"/>
      <c r="M13" s="131"/>
      <c r="N13" s="131"/>
      <c r="O13" s="131"/>
      <c r="P13" s="131"/>
      <c r="Q13" s="131"/>
      <c r="R13" s="131"/>
      <c r="S13" s="131"/>
      <c r="T13" s="131"/>
      <c r="U13" s="131"/>
      <c r="V13" s="131"/>
      <c r="W13" s="131"/>
      <c r="X13" s="131"/>
      <c r="Y13" s="131"/>
      <c r="Z13" s="131"/>
      <c r="AA13" s="131"/>
      <c r="AB13" s="131"/>
      <c r="AC13" s="131"/>
      <c r="AD13" s="128"/>
      <c r="AE13" s="128"/>
      <c r="AF13" s="132"/>
      <c r="AG13" s="132"/>
    </row>
    <row r="14" spans="1:33" s="102" customFormat="1" ht="17" x14ac:dyDescent="0.35">
      <c r="A14" s="296" t="s">
        <v>959</v>
      </c>
      <c r="B14" s="307" t="s">
        <v>939</v>
      </c>
      <c r="C14" s="307">
        <v>31</v>
      </c>
      <c r="D14" s="307" t="s">
        <v>156</v>
      </c>
      <c r="F14" s="249" t="s">
        <v>964</v>
      </c>
      <c r="G14" s="246" t="s">
        <v>940</v>
      </c>
      <c r="H14" s="246" t="s">
        <v>969</v>
      </c>
      <c r="I14" s="243">
        <v>9.9997849508612693E-4</v>
      </c>
      <c r="J14" s="243">
        <v>2.031019643544105E-2</v>
      </c>
      <c r="K14" s="299" t="s">
        <v>885</v>
      </c>
      <c r="L14" s="131"/>
      <c r="M14" s="131"/>
      <c r="N14" s="131"/>
      <c r="O14" s="131"/>
      <c r="P14" s="131"/>
      <c r="Q14" s="131"/>
      <c r="R14" s="131"/>
      <c r="S14" s="131"/>
      <c r="T14" s="131"/>
      <c r="U14" s="131"/>
      <c r="V14" s="131"/>
      <c r="W14" s="131"/>
      <c r="X14" s="131"/>
      <c r="Y14" s="131"/>
      <c r="Z14" s="131"/>
      <c r="AA14" s="131"/>
      <c r="AB14" s="131"/>
      <c r="AC14" s="131"/>
      <c r="AD14" s="128"/>
      <c r="AE14" s="128"/>
      <c r="AF14" s="132"/>
      <c r="AG14" s="132"/>
    </row>
    <row r="15" spans="1:33" ht="17" x14ac:dyDescent="0.45">
      <c r="A15" s="241" t="s">
        <v>960</v>
      </c>
      <c r="B15" s="304" t="s">
        <v>941</v>
      </c>
      <c r="C15" s="305">
        <v>350400</v>
      </c>
      <c r="D15" s="304" t="s">
        <v>158</v>
      </c>
      <c r="E15" s="100"/>
      <c r="F15" s="100"/>
    </row>
    <row r="16" spans="1:33" ht="17" x14ac:dyDescent="0.45">
      <c r="A16" s="241" t="s">
        <v>961</v>
      </c>
      <c r="B16" s="304" t="s">
        <v>942</v>
      </c>
      <c r="C16" s="305">
        <v>271560</v>
      </c>
      <c r="D16" s="304" t="s">
        <v>158</v>
      </c>
      <c r="E16" s="100"/>
      <c r="F16" s="100"/>
    </row>
    <row r="17" spans="1:6" ht="17" x14ac:dyDescent="0.45">
      <c r="A17" s="241" t="s">
        <v>955</v>
      </c>
      <c r="B17" s="304" t="s">
        <v>943</v>
      </c>
      <c r="C17" s="305">
        <v>683280</v>
      </c>
      <c r="D17" s="304" t="s">
        <v>158</v>
      </c>
      <c r="E17" s="100"/>
      <c r="F17" s="100"/>
    </row>
    <row r="18" spans="1:6" ht="17.5" x14ac:dyDescent="0.45">
      <c r="A18" s="241" t="s">
        <v>957</v>
      </c>
      <c r="B18" s="304" t="s">
        <v>944</v>
      </c>
      <c r="C18" s="304">
        <v>1.25</v>
      </c>
      <c r="D18" s="304" t="s">
        <v>945</v>
      </c>
      <c r="E18" s="100"/>
      <c r="F18" s="100"/>
    </row>
    <row r="19" spans="1:6" ht="17.5" x14ac:dyDescent="0.45">
      <c r="A19" s="241" t="s">
        <v>956</v>
      </c>
      <c r="B19" s="304" t="s">
        <v>946</v>
      </c>
      <c r="C19" s="304">
        <v>0.61250000000000004</v>
      </c>
      <c r="D19" s="304" t="s">
        <v>945</v>
      </c>
      <c r="E19" s="100"/>
      <c r="F19" s="100"/>
    </row>
  </sheetData>
  <sheetProtection sheet="1" objects="1" scenarios="1" formatCells="0" formatColumns="0" formatRows="0"/>
  <mergeCells count="11">
    <mergeCell ref="F1:G1"/>
    <mergeCell ref="G8:G9"/>
    <mergeCell ref="H8:H9"/>
    <mergeCell ref="I8:K8"/>
    <mergeCell ref="C2:D2"/>
    <mergeCell ref="A8:D8"/>
    <mergeCell ref="F8:F9"/>
    <mergeCell ref="F5:G5"/>
    <mergeCell ref="F4:G4"/>
    <mergeCell ref="F2:G2"/>
    <mergeCell ref="F3:G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7146-7B2A-43BD-BB25-1A292CA5EE29}">
  <sheetPr>
    <tabColor rgb="FF00B050"/>
  </sheetPr>
  <dimension ref="A1:AG11"/>
  <sheetViews>
    <sheetView zoomScale="80" zoomScaleNormal="80" workbookViewId="0">
      <selection activeCell="G11" sqref="G11"/>
    </sheetView>
  </sheetViews>
  <sheetFormatPr defaultColWidth="9.453125" defaultRowHeight="15.5" x14ac:dyDescent="0.35"/>
  <cols>
    <col min="1" max="1" width="40" style="205" customWidth="1"/>
    <col min="2" max="2" width="16.90625" style="205" customWidth="1"/>
    <col min="3" max="3" width="21.81640625" style="205" customWidth="1"/>
    <col min="4" max="4" width="18.08984375" style="205" customWidth="1"/>
    <col min="5" max="5" width="20.90625" style="205" customWidth="1"/>
    <col min="6" max="6" width="19.81640625" style="206" customWidth="1"/>
    <col min="7" max="7" width="21.1796875" style="205" customWidth="1"/>
    <col min="8" max="10" width="9.453125" style="206"/>
    <col min="11" max="29" width="9.453125" style="207"/>
    <col min="30" max="30" width="9.453125" style="205"/>
    <col min="31" max="31" width="9.453125" style="208"/>
    <col min="32" max="33" width="9.453125" style="209"/>
    <col min="34" max="16384" width="9.453125" style="136"/>
  </cols>
  <sheetData>
    <row r="1" spans="1:33" s="189" customFormat="1" ht="16" thickBot="1" x14ac:dyDescent="0.4">
      <c r="A1" s="112" t="s">
        <v>620</v>
      </c>
      <c r="B1" s="112" t="s">
        <v>151</v>
      </c>
      <c r="C1" s="112" t="s">
        <v>129</v>
      </c>
      <c r="D1" s="112" t="s">
        <v>621</v>
      </c>
      <c r="E1" s="112" t="s">
        <v>153</v>
      </c>
      <c r="F1" s="500" t="s">
        <v>622</v>
      </c>
      <c r="G1" s="500"/>
      <c r="H1" s="223"/>
      <c r="I1" s="223"/>
      <c r="J1" s="223"/>
      <c r="K1" s="207"/>
      <c r="L1" s="207"/>
      <c r="M1" s="207"/>
      <c r="N1" s="207"/>
      <c r="O1" s="207"/>
      <c r="P1" s="207"/>
      <c r="Q1" s="207"/>
      <c r="R1" s="207"/>
      <c r="S1" s="207"/>
      <c r="T1" s="207"/>
      <c r="U1" s="207"/>
      <c r="V1" s="207"/>
      <c r="W1" s="207"/>
      <c r="X1" s="207"/>
      <c r="Y1" s="207"/>
      <c r="Z1" s="207"/>
      <c r="AA1" s="207"/>
      <c r="AB1" s="207"/>
      <c r="AC1" s="207"/>
      <c r="AD1" s="207"/>
      <c r="AE1" s="257"/>
      <c r="AF1" s="207"/>
      <c r="AG1" s="207"/>
    </row>
    <row r="2" spans="1:33" ht="71.400000000000006" customHeight="1" thickTop="1" x14ac:dyDescent="0.35">
      <c r="A2" s="247" t="s">
        <v>887</v>
      </c>
      <c r="B2" s="111" t="s">
        <v>623</v>
      </c>
      <c r="C2" s="501">
        <v>8</v>
      </c>
      <c r="D2" s="501"/>
      <c r="E2" s="244" t="s">
        <v>624</v>
      </c>
      <c r="F2" s="502" t="s">
        <v>972</v>
      </c>
      <c r="G2" s="502"/>
    </row>
    <row r="3" spans="1:33" ht="74.400000000000006" customHeight="1" x14ac:dyDescent="0.35">
      <c r="A3" s="248" t="s">
        <v>975</v>
      </c>
      <c r="B3" s="103" t="s">
        <v>664</v>
      </c>
      <c r="C3" s="103">
        <v>218</v>
      </c>
      <c r="D3" s="103">
        <v>250</v>
      </c>
      <c r="E3" s="245" t="s">
        <v>625</v>
      </c>
      <c r="F3" s="485" t="s">
        <v>676</v>
      </c>
      <c r="G3" s="485"/>
    </row>
    <row r="4" spans="1:33" ht="70.75" customHeight="1" x14ac:dyDescent="0.35">
      <c r="A4" s="107" t="s">
        <v>976</v>
      </c>
      <c r="B4" s="103" t="s">
        <v>929</v>
      </c>
      <c r="C4" s="308">
        <v>5.2750000000000002E-3</v>
      </c>
      <c r="D4" s="301">
        <v>0.01</v>
      </c>
      <c r="E4" s="245" t="s">
        <v>626</v>
      </c>
      <c r="F4" s="485" t="s">
        <v>677</v>
      </c>
      <c r="G4" s="485"/>
    </row>
    <row r="5" spans="1:33" ht="72" customHeight="1" x14ac:dyDescent="0.35">
      <c r="A5" s="107" t="s">
        <v>977</v>
      </c>
      <c r="B5" s="103" t="s">
        <v>947</v>
      </c>
      <c r="C5" s="301">
        <v>0.36</v>
      </c>
      <c r="D5" s="301">
        <v>3.4</v>
      </c>
      <c r="E5" s="245" t="s">
        <v>885</v>
      </c>
      <c r="F5" s="485" t="s">
        <v>973</v>
      </c>
      <c r="G5" s="485"/>
    </row>
    <row r="6" spans="1:33" ht="36.65" customHeight="1" x14ac:dyDescent="0.35">
      <c r="A6" s="107" t="s">
        <v>978</v>
      </c>
      <c r="B6" s="103" t="s">
        <v>931</v>
      </c>
      <c r="C6" s="103">
        <f>C5/2</f>
        <v>0.18</v>
      </c>
      <c r="D6" s="103">
        <f>D5/2</f>
        <v>1.7</v>
      </c>
      <c r="E6" s="245" t="s">
        <v>885</v>
      </c>
      <c r="F6" s="485" t="s">
        <v>974</v>
      </c>
      <c r="G6" s="485"/>
    </row>
    <row r="7" spans="1:33" x14ac:dyDescent="0.35">
      <c r="A7" s="344"/>
      <c r="B7" s="345"/>
      <c r="C7" s="345"/>
      <c r="D7" s="345"/>
      <c r="E7" s="346"/>
      <c r="F7" s="347"/>
      <c r="G7" s="347"/>
    </row>
    <row r="9" spans="1:33" x14ac:dyDescent="0.35">
      <c r="A9" s="479" t="s">
        <v>150</v>
      </c>
      <c r="B9" s="481" t="s">
        <v>151</v>
      </c>
      <c r="C9" s="479" t="s">
        <v>631</v>
      </c>
      <c r="D9" s="479" t="s">
        <v>671</v>
      </c>
      <c r="E9" s="479"/>
      <c r="F9" s="479"/>
    </row>
    <row r="10" spans="1:33" ht="16" thickBot="1" x14ac:dyDescent="0.4">
      <c r="A10" s="480"/>
      <c r="B10" s="482"/>
      <c r="C10" s="480"/>
      <c r="D10" s="253" t="s">
        <v>129</v>
      </c>
      <c r="E10" s="253" t="s">
        <v>621</v>
      </c>
      <c r="F10" s="254" t="s">
        <v>153</v>
      </c>
    </row>
    <row r="11" spans="1:33" s="135" customFormat="1" ht="31.5" thickTop="1" x14ac:dyDescent="0.35">
      <c r="A11" s="250" t="s">
        <v>672</v>
      </c>
      <c r="B11" s="251" t="s">
        <v>886</v>
      </c>
      <c r="C11" s="111" t="s">
        <v>928</v>
      </c>
      <c r="D11" s="252">
        <f>(C6*C4*C2)/8</f>
        <v>9.4950000000000004E-4</v>
      </c>
      <c r="E11" s="252">
        <f>(D6*D4*C2)/8</f>
        <v>1.7000000000000001E-2</v>
      </c>
      <c r="F11" s="255" t="s">
        <v>885</v>
      </c>
      <c r="G11" s="205"/>
      <c r="H11" s="206"/>
      <c r="I11" s="206"/>
      <c r="J11" s="206"/>
      <c r="K11" s="207"/>
      <c r="L11" s="207"/>
      <c r="M11" s="207"/>
      <c r="N11" s="207"/>
      <c r="O11" s="207"/>
      <c r="P11" s="207"/>
      <c r="Q11" s="207"/>
      <c r="R11" s="207"/>
      <c r="S11" s="207"/>
      <c r="T11" s="207"/>
      <c r="U11" s="207"/>
      <c r="V11" s="207"/>
      <c r="W11" s="207"/>
      <c r="X11" s="207"/>
      <c r="Y11" s="207"/>
      <c r="Z11" s="207"/>
      <c r="AA11" s="207"/>
      <c r="AB11" s="207"/>
      <c r="AC11" s="207"/>
      <c r="AD11" s="205"/>
      <c r="AE11" s="208"/>
      <c r="AF11" s="209"/>
      <c r="AG11" s="209"/>
    </row>
  </sheetData>
  <sheetProtection sheet="1" objects="1" scenarios="1" formatCells="0" formatColumns="0" formatRows="0"/>
  <mergeCells count="11">
    <mergeCell ref="F1:G1"/>
    <mergeCell ref="C2:D2"/>
    <mergeCell ref="A9:A10"/>
    <mergeCell ref="B9:B10"/>
    <mergeCell ref="C9:C10"/>
    <mergeCell ref="D9:F9"/>
    <mergeCell ref="F6:G6"/>
    <mergeCell ref="F5:G5"/>
    <mergeCell ref="F4:G4"/>
    <mergeCell ref="F3:G3"/>
    <mergeCell ref="F2:G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7DF5-5B6C-44D5-AABA-C9D32209276F}">
  <sheetPr>
    <tabColor rgb="FF00B050"/>
  </sheetPr>
  <dimension ref="A1:BF170"/>
  <sheetViews>
    <sheetView zoomScale="80" zoomScaleNormal="80" workbookViewId="0">
      <selection activeCell="E15" sqref="E15"/>
    </sheetView>
  </sheetViews>
  <sheetFormatPr defaultColWidth="9.453125" defaultRowHeight="15.5" x14ac:dyDescent="0.35"/>
  <cols>
    <col min="1" max="1" width="22.81640625" style="205" customWidth="1"/>
    <col min="2" max="2" width="17.81640625" style="205" customWidth="1"/>
    <col min="3" max="3" width="26.453125" style="205" customWidth="1"/>
    <col min="4" max="4" width="19.54296875" style="205" customWidth="1"/>
    <col min="5" max="5" width="28.90625" style="205" customWidth="1"/>
    <col min="6" max="6" width="23.54296875" style="206" customWidth="1"/>
    <col min="7" max="7" width="22.453125" style="205" customWidth="1"/>
    <col min="8" max="8" width="43.54296875" style="206" customWidth="1"/>
    <col min="9" max="10" width="12.54296875" style="206" customWidth="1"/>
    <col min="11" max="12" width="12.54296875" style="207" customWidth="1"/>
    <col min="13" max="13" width="11" style="207" customWidth="1"/>
    <col min="14" max="14" width="8.453125" style="207" customWidth="1"/>
    <col min="15" max="15" width="7.453125" style="207" customWidth="1"/>
    <col min="16" max="17" width="10.54296875" style="207" customWidth="1"/>
    <col min="18" max="19" width="9.54296875" style="207" customWidth="1"/>
    <col min="20" max="23" width="17.54296875" style="207" customWidth="1"/>
    <col min="24" max="24" width="16.453125" style="207" customWidth="1"/>
    <col min="25" max="25" width="18.453125" style="207" customWidth="1"/>
    <col min="26" max="26" width="16.453125" style="207" customWidth="1"/>
    <col min="27" max="29" width="18.453125" style="207" customWidth="1"/>
    <col min="30" max="31" width="15.453125" style="205" customWidth="1"/>
    <col min="32" max="33" width="32.453125" style="209" customWidth="1"/>
    <col min="34" max="54" width="15.54296875" style="136" customWidth="1"/>
    <col min="55" max="56" width="9.453125" style="136"/>
    <col min="57" max="57" width="18.453125" style="136" customWidth="1"/>
    <col min="58" max="58" width="14.453125" style="136" bestFit="1" customWidth="1"/>
    <col min="59" max="16384" width="9.453125" style="136"/>
  </cols>
  <sheetData>
    <row r="1" spans="1:58" x14ac:dyDescent="0.35">
      <c r="A1" s="427" t="s">
        <v>633</v>
      </c>
      <c r="B1" s="427"/>
      <c r="C1" s="427"/>
      <c r="D1" s="427"/>
      <c r="E1" s="427"/>
      <c r="F1" s="427"/>
      <c r="G1" s="427"/>
    </row>
    <row r="2" spans="1:58" x14ac:dyDescent="0.35">
      <c r="A2" s="428"/>
      <c r="B2" s="428"/>
      <c r="C2" s="428"/>
      <c r="D2" s="428"/>
      <c r="E2" s="428"/>
      <c r="F2" s="428"/>
      <c r="G2" s="428"/>
      <c r="K2" s="205"/>
      <c r="L2" s="205"/>
      <c r="M2" s="205"/>
      <c r="N2" s="503"/>
      <c r="O2" s="503"/>
      <c r="P2" s="503"/>
      <c r="Q2" s="503"/>
      <c r="R2" s="503"/>
      <c r="S2" s="503"/>
      <c r="T2" s="503"/>
      <c r="U2" s="503"/>
      <c r="V2" s="503"/>
      <c r="W2" s="503"/>
      <c r="X2" s="503"/>
      <c r="Y2" s="503"/>
      <c r="Z2" s="503"/>
      <c r="AA2" s="503"/>
      <c r="AB2" s="503"/>
      <c r="AC2" s="503"/>
      <c r="AD2" s="503"/>
      <c r="AE2" s="503"/>
      <c r="AF2" s="503"/>
      <c r="AH2" s="209"/>
      <c r="AI2" s="209"/>
      <c r="AJ2" s="209"/>
      <c r="AK2" s="209"/>
      <c r="AL2" s="209"/>
      <c r="AM2" s="209"/>
      <c r="AN2" s="209"/>
      <c r="AO2" s="209"/>
      <c r="AP2" s="209"/>
      <c r="AQ2" s="209"/>
      <c r="AR2" s="209"/>
      <c r="AS2" s="209"/>
      <c r="AT2" s="209"/>
      <c r="AU2" s="209"/>
      <c r="AV2" s="209"/>
      <c r="AW2" s="209"/>
      <c r="AX2" s="209"/>
      <c r="AY2" s="209"/>
      <c r="AZ2" s="209"/>
      <c r="BA2" s="209"/>
      <c r="BB2" s="209"/>
    </row>
    <row r="3" spans="1:58" ht="19.25" customHeight="1" x14ac:dyDescent="0.35">
      <c r="A3" s="509" t="s">
        <v>981</v>
      </c>
      <c r="B3" s="511" t="s">
        <v>979</v>
      </c>
      <c r="C3" s="512"/>
      <c r="D3" s="512"/>
      <c r="E3" s="512"/>
      <c r="F3" s="512"/>
      <c r="G3" s="513"/>
      <c r="H3" s="310"/>
      <c r="I3" s="310"/>
      <c r="J3" s="310"/>
      <c r="K3" s="309"/>
      <c r="L3" s="309"/>
      <c r="M3" s="309"/>
      <c r="N3" s="311"/>
      <c r="O3" s="311"/>
      <c r="P3" s="311"/>
      <c r="Q3" s="311"/>
      <c r="R3" s="311"/>
      <c r="S3" s="311"/>
      <c r="T3" s="311"/>
      <c r="U3" s="311"/>
      <c r="V3" s="311"/>
      <c r="W3" s="311"/>
      <c r="X3" s="311"/>
      <c r="Y3" s="311"/>
      <c r="Z3" s="309"/>
      <c r="AA3" s="309"/>
      <c r="AB3" s="309"/>
      <c r="AC3" s="309"/>
      <c r="AD3" s="309"/>
      <c r="AE3" s="309"/>
      <c r="AF3" s="312"/>
      <c r="AG3" s="312"/>
      <c r="AH3" s="312"/>
      <c r="AI3" s="312"/>
      <c r="AJ3" s="312"/>
      <c r="AK3" s="312"/>
      <c r="AL3" s="312"/>
      <c r="AM3" s="312"/>
      <c r="AN3" s="312"/>
      <c r="AO3" s="312"/>
      <c r="AP3" s="312"/>
      <c r="AQ3" s="312"/>
      <c r="AR3" s="312"/>
      <c r="AS3" s="312"/>
      <c r="AT3" s="209"/>
      <c r="AU3" s="209"/>
      <c r="AV3" s="209"/>
      <c r="AW3" s="209"/>
      <c r="AX3" s="209"/>
      <c r="AY3" s="209"/>
      <c r="AZ3" s="209"/>
      <c r="BA3" s="209"/>
      <c r="BB3" s="209"/>
    </row>
    <row r="4" spans="1:58" ht="42.5" thickBot="1" x14ac:dyDescent="0.4">
      <c r="A4" s="510"/>
      <c r="B4" s="339" t="s">
        <v>634</v>
      </c>
      <c r="C4" s="339" t="s">
        <v>137</v>
      </c>
      <c r="D4" s="339" t="s">
        <v>635</v>
      </c>
      <c r="E4" s="339" t="s">
        <v>636</v>
      </c>
      <c r="F4" s="339" t="s">
        <v>637</v>
      </c>
      <c r="G4" s="339" t="s">
        <v>638</v>
      </c>
      <c r="H4" s="100"/>
      <c r="I4" s="100"/>
      <c r="J4" s="100"/>
      <c r="K4" s="133"/>
      <c r="L4" s="100"/>
      <c r="M4" s="100"/>
      <c r="N4" s="100"/>
      <c r="O4" s="100"/>
      <c r="P4" s="100"/>
      <c r="Q4" s="313"/>
      <c r="R4" s="314"/>
      <c r="S4" s="100"/>
      <c r="T4" s="315"/>
      <c r="U4" s="315"/>
      <c r="V4" s="315"/>
      <c r="W4" s="315"/>
      <c r="X4" s="315"/>
      <c r="Y4" s="315"/>
      <c r="Z4" s="315"/>
      <c r="AA4" s="315"/>
      <c r="AB4" s="128"/>
      <c r="AC4" s="128"/>
      <c r="AD4" s="133"/>
      <c r="AE4" s="133"/>
      <c r="AF4" s="315"/>
      <c r="AG4" s="315"/>
      <c r="AH4" s="315"/>
      <c r="AI4" s="315"/>
      <c r="AJ4" s="315"/>
      <c r="AK4" s="315"/>
      <c r="AL4" s="315"/>
      <c r="AM4" s="315"/>
      <c r="AN4" s="315"/>
      <c r="AO4" s="315"/>
      <c r="AP4" s="315"/>
      <c r="AQ4" s="315"/>
      <c r="AR4" s="315"/>
      <c r="AS4" s="315"/>
      <c r="AT4" s="315"/>
      <c r="AU4" s="315"/>
      <c r="AW4" s="224"/>
    </row>
    <row r="5" spans="1:58" ht="16" thickTop="1" x14ac:dyDescent="0.35">
      <c r="A5" s="336" t="s">
        <v>639</v>
      </c>
      <c r="B5" s="338">
        <v>12</v>
      </c>
      <c r="C5" s="264">
        <v>0.16928524943600612</v>
      </c>
      <c r="D5" s="264">
        <v>0.17274005044490423</v>
      </c>
      <c r="E5" s="264">
        <v>0.12667603699292976</v>
      </c>
      <c r="F5" s="264">
        <v>0.11121619686178766</v>
      </c>
      <c r="G5" s="264">
        <v>5.0564952033832732E-2</v>
      </c>
      <c r="H5" s="100"/>
      <c r="I5" s="100"/>
      <c r="J5" s="100"/>
      <c r="K5" s="133"/>
      <c r="L5" s="100"/>
      <c r="M5" s="100"/>
      <c r="N5" s="100"/>
      <c r="O5" s="100"/>
      <c r="P5" s="100"/>
      <c r="Q5" s="100"/>
      <c r="R5" s="118"/>
      <c r="S5" s="100"/>
      <c r="T5" s="315"/>
      <c r="U5" s="315"/>
      <c r="V5" s="315"/>
      <c r="W5" s="315"/>
      <c r="X5" s="315"/>
      <c r="Y5" s="315"/>
      <c r="Z5" s="315"/>
      <c r="AA5" s="315"/>
      <c r="AB5" s="128"/>
      <c r="AC5" s="128"/>
      <c r="AD5" s="133"/>
      <c r="AE5" s="133"/>
      <c r="AF5" s="315"/>
      <c r="AG5" s="315"/>
      <c r="AH5" s="315"/>
      <c r="AI5" s="315"/>
      <c r="AJ5" s="315"/>
      <c r="AK5" s="315"/>
      <c r="AL5" s="315"/>
      <c r="AM5" s="315"/>
      <c r="AN5" s="315"/>
      <c r="AO5" s="315"/>
      <c r="AP5" s="315"/>
      <c r="AQ5" s="315"/>
      <c r="AR5" s="315"/>
      <c r="AS5" s="315"/>
      <c r="AT5" s="315"/>
      <c r="AU5" s="315"/>
      <c r="BE5" s="203"/>
    </row>
    <row r="6" spans="1:58" x14ac:dyDescent="0.35">
      <c r="A6" s="336" t="s">
        <v>640</v>
      </c>
      <c r="B6" s="323">
        <v>12</v>
      </c>
      <c r="C6" s="260">
        <v>2.9295215346614337E-2</v>
      </c>
      <c r="D6" s="260">
        <v>2.9893076884300346E-2</v>
      </c>
      <c r="E6" s="260">
        <v>2.1921589715153587E-2</v>
      </c>
      <c r="F6" s="260">
        <v>1.7424139081329105E-2</v>
      </c>
      <c r="G6" s="260">
        <v>7.0375538741201983E-3</v>
      </c>
      <c r="H6" s="100"/>
      <c r="I6" s="100"/>
      <c r="J6" s="100"/>
      <c r="K6" s="133"/>
      <c r="L6" s="100"/>
      <c r="M6" s="100"/>
      <c r="N6" s="100"/>
      <c r="O6" s="100"/>
      <c r="P6" s="100"/>
      <c r="Q6" s="100"/>
      <c r="R6" s="118"/>
      <c r="S6" s="100"/>
      <c r="T6" s="315"/>
      <c r="U6" s="315"/>
      <c r="V6" s="315"/>
      <c r="W6" s="315"/>
      <c r="X6" s="315"/>
      <c r="Y6" s="315"/>
      <c r="Z6" s="315"/>
      <c r="AA6" s="315"/>
      <c r="AB6" s="128"/>
      <c r="AC6" s="128"/>
      <c r="AD6" s="133"/>
      <c r="AE6" s="133"/>
      <c r="AF6" s="315"/>
      <c r="AG6" s="315"/>
      <c r="AH6" s="315"/>
      <c r="AI6" s="315"/>
      <c r="AJ6" s="315"/>
      <c r="AK6" s="315"/>
      <c r="AL6" s="315"/>
      <c r="AM6" s="315"/>
      <c r="AN6" s="315"/>
      <c r="AO6" s="315"/>
      <c r="AP6" s="315"/>
      <c r="AQ6" s="315"/>
      <c r="AR6" s="315"/>
      <c r="AS6" s="315"/>
      <c r="AT6" s="315"/>
      <c r="AU6" s="315"/>
      <c r="AX6" s="316"/>
      <c r="AY6" s="316"/>
      <c r="AZ6" s="316"/>
      <c r="BA6" s="316"/>
      <c r="BB6" s="316"/>
      <c r="BC6" s="316"/>
      <c r="BD6" s="316"/>
    </row>
    <row r="7" spans="1:58" x14ac:dyDescent="0.35">
      <c r="A7" s="336" t="s">
        <v>641</v>
      </c>
      <c r="B7" s="323">
        <v>12</v>
      </c>
      <c r="C7" s="260">
        <v>1.6205271962147428E-2</v>
      </c>
      <c r="D7" s="260">
        <v>1.6535991798109623E-2</v>
      </c>
      <c r="E7" s="260">
        <v>1.2126393985280389E-2</v>
      </c>
      <c r="F7" s="260">
        <v>9.5104425013040079E-3</v>
      </c>
      <c r="G7" s="260">
        <v>3.7731614488469094E-3</v>
      </c>
      <c r="H7" s="100"/>
      <c r="I7" s="100"/>
      <c r="J7" s="100"/>
      <c r="K7" s="133"/>
      <c r="L7" s="100"/>
      <c r="M7" s="100"/>
      <c r="N7" s="100"/>
      <c r="O7" s="100"/>
      <c r="P7" s="100"/>
      <c r="Q7" s="100"/>
      <c r="R7" s="118"/>
      <c r="S7" s="100"/>
      <c r="T7" s="315"/>
      <c r="U7" s="315"/>
      <c r="V7" s="315"/>
      <c r="W7" s="315"/>
      <c r="X7" s="315"/>
      <c r="Y7" s="315"/>
      <c r="Z7" s="315"/>
      <c r="AA7" s="315"/>
      <c r="AB7" s="128"/>
      <c r="AC7" s="128"/>
      <c r="AD7" s="133"/>
      <c r="AE7" s="133"/>
      <c r="AF7" s="315"/>
      <c r="AG7" s="315"/>
      <c r="AH7" s="315"/>
      <c r="AI7" s="315"/>
      <c r="AJ7" s="315"/>
      <c r="AK7" s="315"/>
      <c r="AL7" s="315"/>
      <c r="AM7" s="315"/>
      <c r="AN7" s="315"/>
      <c r="AO7" s="315"/>
      <c r="AP7" s="315"/>
      <c r="AQ7" s="315"/>
      <c r="AR7" s="315"/>
      <c r="AS7" s="315"/>
      <c r="AT7" s="315"/>
      <c r="AU7" s="315"/>
      <c r="AX7" s="204"/>
      <c r="AY7" s="204"/>
      <c r="AZ7" s="204"/>
      <c r="BA7" s="204"/>
      <c r="BB7" s="204"/>
      <c r="BC7" s="204"/>
      <c r="BD7" s="204"/>
    </row>
    <row r="8" spans="1:58" x14ac:dyDescent="0.35">
      <c r="A8" s="336" t="s">
        <v>642</v>
      </c>
      <c r="B8" s="323">
        <v>12</v>
      </c>
      <c r="C8" s="260">
        <v>4.4022655845120306E-3</v>
      </c>
      <c r="D8" s="260">
        <v>4.4921077392979904E-3</v>
      </c>
      <c r="E8" s="260">
        <v>3.2941086865275705E-3</v>
      </c>
      <c r="F8" s="260">
        <v>2.4014468814277531E-3</v>
      </c>
      <c r="G8" s="260">
        <v>9.0357979582870714E-4</v>
      </c>
      <c r="H8" s="100"/>
      <c r="I8" s="100"/>
      <c r="J8" s="100"/>
      <c r="K8" s="133"/>
      <c r="L8" s="100"/>
      <c r="M8" s="100"/>
      <c r="N8" s="100"/>
      <c r="O8" s="100"/>
      <c r="P8" s="100"/>
      <c r="Q8" s="100"/>
      <c r="R8" s="118"/>
      <c r="S8" s="100"/>
      <c r="T8" s="315"/>
      <c r="U8" s="315"/>
      <c r="V8" s="315"/>
      <c r="W8" s="315"/>
      <c r="X8" s="315"/>
      <c r="Y8" s="315"/>
      <c r="Z8" s="315"/>
      <c r="AA8" s="315"/>
      <c r="AB8" s="128"/>
      <c r="AC8" s="128"/>
      <c r="AD8" s="133"/>
      <c r="AE8" s="133"/>
      <c r="AF8" s="315"/>
      <c r="AG8" s="315"/>
      <c r="AH8" s="315"/>
      <c r="AI8" s="315"/>
      <c r="AJ8" s="315"/>
      <c r="AK8" s="315"/>
      <c r="AL8" s="315"/>
      <c r="AM8" s="315"/>
      <c r="AN8" s="315"/>
      <c r="AO8" s="315"/>
      <c r="AP8" s="315"/>
      <c r="AQ8" s="315"/>
      <c r="AR8" s="315"/>
      <c r="AS8" s="315"/>
      <c r="AT8" s="315"/>
      <c r="AU8" s="315"/>
    </row>
    <row r="9" spans="1:58" x14ac:dyDescent="0.35">
      <c r="A9" s="336" t="s">
        <v>643</v>
      </c>
      <c r="B9" s="323">
        <v>12</v>
      </c>
      <c r="C9" s="260">
        <v>1.4801047835196325E-3</v>
      </c>
      <c r="D9" s="260">
        <v>1.5103110035914618E-3</v>
      </c>
      <c r="E9" s="260">
        <v>1.1075614026337388E-3</v>
      </c>
      <c r="F9" s="260">
        <v>6.3736519063067681E-4</v>
      </c>
      <c r="G9" s="260">
        <v>2.1883138829641635E-4</v>
      </c>
      <c r="H9" s="100"/>
      <c r="I9" s="100"/>
      <c r="J9" s="100"/>
      <c r="K9" s="133"/>
      <c r="L9" s="100"/>
      <c r="M9" s="100"/>
      <c r="N9" s="100"/>
      <c r="O9" s="100"/>
      <c r="P9" s="100"/>
      <c r="Q9" s="100"/>
      <c r="R9" s="118"/>
      <c r="S9" s="100"/>
      <c r="T9" s="315"/>
      <c r="U9" s="315"/>
      <c r="V9" s="315"/>
      <c r="W9" s="315"/>
      <c r="X9" s="315"/>
      <c r="Y9" s="315"/>
      <c r="Z9" s="315"/>
      <c r="AA9" s="315"/>
      <c r="AB9" s="128"/>
      <c r="AC9" s="128"/>
      <c r="AD9" s="133"/>
      <c r="AE9" s="133"/>
      <c r="AF9" s="315"/>
      <c r="AG9" s="315"/>
      <c r="AH9" s="315"/>
      <c r="AI9" s="315"/>
      <c r="AJ9" s="315"/>
      <c r="AK9" s="315"/>
      <c r="AL9" s="315"/>
      <c r="AM9" s="315"/>
      <c r="AN9" s="315"/>
      <c r="AO9" s="315"/>
      <c r="AP9" s="315"/>
      <c r="AQ9" s="315"/>
      <c r="AR9" s="315"/>
      <c r="AS9" s="315"/>
      <c r="AT9" s="315"/>
      <c r="AU9" s="315"/>
    </row>
    <row r="10" spans="1:58" x14ac:dyDescent="0.35">
      <c r="A10" s="336" t="s">
        <v>644</v>
      </c>
      <c r="B10" s="323">
        <v>12</v>
      </c>
      <c r="C10" s="260">
        <v>4.1835532221730425E-4</v>
      </c>
      <c r="D10" s="260">
        <v>4.2689318593602468E-4</v>
      </c>
      <c r="E10" s="260">
        <v>3.1305500301975146E-4</v>
      </c>
      <c r="F10" s="260">
        <v>6.3566782464689851E-5</v>
      </c>
      <c r="G10" s="260">
        <v>1.9320624432994784E-5</v>
      </c>
      <c r="H10" s="100"/>
      <c r="I10" s="128"/>
      <c r="J10" s="100"/>
      <c r="K10" s="133"/>
      <c r="L10" s="133"/>
      <c r="M10" s="100"/>
      <c r="N10" s="131"/>
      <c r="O10" s="131"/>
      <c r="P10" s="131"/>
      <c r="Q10" s="131"/>
      <c r="R10" s="131"/>
      <c r="S10" s="100"/>
      <c r="T10" s="315"/>
      <c r="U10" s="315"/>
      <c r="V10" s="315"/>
      <c r="W10" s="315"/>
      <c r="X10" s="315"/>
      <c r="Y10" s="315"/>
      <c r="Z10" s="315"/>
      <c r="AA10" s="315"/>
      <c r="AB10" s="317"/>
      <c r="AC10" s="318"/>
      <c r="AD10" s="132"/>
      <c r="AE10" s="132"/>
      <c r="AF10" s="315"/>
      <c r="AG10" s="100"/>
      <c r="AH10" s="315"/>
      <c r="AI10" s="315"/>
      <c r="AJ10" s="315"/>
      <c r="AK10" s="315"/>
      <c r="AL10" s="315"/>
      <c r="AM10" s="315"/>
      <c r="AN10" s="315"/>
      <c r="AO10" s="315"/>
      <c r="AP10" s="315"/>
      <c r="AQ10" s="315"/>
      <c r="AR10" s="315"/>
      <c r="AS10" s="315"/>
      <c r="AT10" s="315"/>
      <c r="AU10" s="315"/>
      <c r="AV10" s="100"/>
      <c r="AW10" s="100"/>
      <c r="AX10" s="100"/>
      <c r="AY10" s="100"/>
      <c r="AZ10" s="100"/>
      <c r="BA10" s="100"/>
      <c r="BB10" s="100"/>
      <c r="BC10" s="100"/>
      <c r="BD10" s="100"/>
      <c r="BE10" s="100"/>
      <c r="BF10" s="100"/>
    </row>
    <row r="11" spans="1:58" x14ac:dyDescent="0.35">
      <c r="A11" s="336" t="s">
        <v>575</v>
      </c>
      <c r="B11" s="323">
        <v>12</v>
      </c>
      <c r="C11" s="260">
        <v>6.0875848229851124E-3</v>
      </c>
      <c r="D11" s="260">
        <v>6.2118212479441229E-3</v>
      </c>
      <c r="E11" s="260">
        <v>4.5553166182247615E-3</v>
      </c>
      <c r="F11" s="260">
        <v>3.4177219582450361E-3</v>
      </c>
      <c r="G11" s="260">
        <v>1.3213684668704382E-3</v>
      </c>
      <c r="H11" s="100"/>
      <c r="I11" s="128"/>
      <c r="J11" s="100"/>
      <c r="K11" s="133"/>
      <c r="L11" s="133"/>
      <c r="M11" s="133"/>
      <c r="N11" s="131"/>
      <c r="O11" s="131"/>
      <c r="P11" s="131"/>
      <c r="Q11" s="131"/>
      <c r="R11" s="131"/>
      <c r="S11" s="100"/>
      <c r="T11" s="315"/>
      <c r="U11" s="315"/>
      <c r="V11" s="315"/>
      <c r="W11" s="315"/>
      <c r="X11" s="315"/>
      <c r="Y11" s="315"/>
      <c r="Z11" s="315"/>
      <c r="AA11" s="315"/>
      <c r="AB11" s="317"/>
      <c r="AC11" s="318"/>
      <c r="AD11" s="132"/>
      <c r="AE11" s="132"/>
      <c r="AF11" s="315"/>
      <c r="AG11" s="100"/>
      <c r="AH11" s="315"/>
      <c r="AI11" s="315"/>
      <c r="AJ11" s="315"/>
      <c r="AK11" s="315"/>
      <c r="AL11" s="315"/>
      <c r="AM11" s="315"/>
      <c r="AN11" s="315"/>
      <c r="AO11" s="315"/>
      <c r="AP11" s="315"/>
      <c r="AQ11" s="315"/>
      <c r="AR11" s="315"/>
      <c r="AS11" s="315"/>
      <c r="AT11" s="315"/>
      <c r="AU11" s="315"/>
      <c r="AV11" s="100"/>
      <c r="AW11" s="100"/>
      <c r="AX11" s="100"/>
      <c r="AY11" s="100"/>
      <c r="AZ11" s="100"/>
      <c r="BA11" s="100"/>
      <c r="BB11" s="100"/>
      <c r="BC11" s="100"/>
      <c r="BD11" s="100"/>
      <c r="BE11" s="100"/>
      <c r="BF11" s="100"/>
    </row>
    <row r="12" spans="1:58" x14ac:dyDescent="0.35">
      <c r="A12" s="330" t="s">
        <v>678</v>
      </c>
      <c r="B12" s="330" t="s">
        <v>678</v>
      </c>
      <c r="C12" s="330" t="s">
        <v>678</v>
      </c>
      <c r="D12" s="330" t="s">
        <v>678</v>
      </c>
      <c r="E12" s="123"/>
      <c r="F12" s="123"/>
      <c r="G12" s="123"/>
      <c r="H12" s="100"/>
      <c r="I12" s="128"/>
      <c r="J12" s="128"/>
      <c r="K12" s="100"/>
      <c r="L12" s="133"/>
      <c r="M12" s="131"/>
      <c r="N12" s="131"/>
      <c r="O12" s="131"/>
      <c r="P12" s="131"/>
      <c r="Q12" s="131"/>
      <c r="R12" s="131"/>
      <c r="S12" s="100"/>
      <c r="T12" s="315"/>
      <c r="U12" s="315"/>
      <c r="V12" s="315"/>
      <c r="W12" s="315"/>
      <c r="X12" s="315"/>
      <c r="Y12" s="315"/>
      <c r="Z12" s="315"/>
      <c r="AA12" s="315"/>
      <c r="AB12" s="317"/>
      <c r="AC12" s="318"/>
      <c r="AD12" s="132"/>
      <c r="AE12" s="132"/>
      <c r="AF12" s="315"/>
      <c r="AG12" s="100"/>
      <c r="AH12" s="315"/>
      <c r="AI12" s="315"/>
      <c r="AJ12" s="315"/>
      <c r="AK12" s="315"/>
      <c r="AL12" s="315"/>
      <c r="AM12" s="315"/>
      <c r="AN12" s="315"/>
      <c r="AO12" s="315"/>
      <c r="AP12" s="315"/>
      <c r="AQ12" s="315"/>
      <c r="AR12" s="315"/>
      <c r="AS12" s="315"/>
      <c r="AT12" s="315"/>
      <c r="AU12" s="315"/>
      <c r="BE12" s="100"/>
      <c r="BF12" s="100"/>
    </row>
    <row r="13" spans="1:58" ht="16" thickBot="1" x14ac:dyDescent="0.4">
      <c r="A13" s="343" t="s">
        <v>678</v>
      </c>
      <c r="B13" s="504" t="s">
        <v>645</v>
      </c>
      <c r="C13" s="505"/>
      <c r="D13" s="506"/>
      <c r="E13" s="324" t="s">
        <v>678</v>
      </c>
      <c r="F13" s="325"/>
      <c r="G13" s="325"/>
      <c r="H13" s="100"/>
      <c r="I13" s="128"/>
      <c r="J13" s="128"/>
      <c r="K13" s="100"/>
      <c r="L13" s="133"/>
      <c r="M13" s="131"/>
      <c r="N13" s="131"/>
      <c r="O13" s="131"/>
      <c r="P13" s="131"/>
      <c r="Q13" s="131"/>
      <c r="R13" s="131"/>
      <c r="S13" s="100"/>
      <c r="T13" s="315"/>
      <c r="U13" s="315"/>
      <c r="V13" s="315"/>
      <c r="W13" s="315"/>
      <c r="X13" s="315"/>
      <c r="Y13" s="315"/>
      <c r="Z13" s="315"/>
      <c r="AA13" s="315"/>
      <c r="AB13" s="317"/>
      <c r="AC13" s="318"/>
      <c r="AD13" s="132"/>
      <c r="AE13" s="132"/>
      <c r="AF13" s="315"/>
      <c r="AG13" s="100"/>
      <c r="AH13" s="315"/>
      <c r="AI13" s="315"/>
      <c r="AJ13" s="315"/>
      <c r="AK13" s="315"/>
      <c r="AL13" s="315"/>
      <c r="AM13" s="315"/>
      <c r="AN13" s="315"/>
      <c r="AO13" s="315"/>
      <c r="AP13" s="315"/>
      <c r="AQ13" s="315"/>
      <c r="AR13" s="315"/>
      <c r="AS13" s="315"/>
      <c r="AT13" s="315"/>
      <c r="AU13" s="315"/>
      <c r="BE13" s="100"/>
      <c r="BF13" s="100"/>
    </row>
    <row r="14" spans="1:58" ht="27.65" customHeight="1" thickTop="1" x14ac:dyDescent="0.35">
      <c r="A14" s="342" t="s">
        <v>646</v>
      </c>
      <c r="B14" s="341" t="s">
        <v>679</v>
      </c>
      <c r="C14" s="327" t="s">
        <v>680</v>
      </c>
      <c r="D14" s="328" t="s">
        <v>681</v>
      </c>
      <c r="E14" s="329" t="s">
        <v>678</v>
      </c>
      <c r="F14" s="123"/>
      <c r="G14" s="123"/>
      <c r="H14" s="100"/>
      <c r="I14" s="128"/>
      <c r="J14" s="128"/>
      <c r="K14" s="100"/>
      <c r="L14" s="133"/>
      <c r="M14" s="131"/>
      <c r="N14" s="131"/>
      <c r="O14" s="131"/>
      <c r="P14" s="131"/>
      <c r="Q14" s="131"/>
      <c r="R14" s="131"/>
      <c r="S14" s="100"/>
      <c r="T14" s="315"/>
      <c r="U14" s="315"/>
      <c r="V14" s="315"/>
      <c r="W14" s="315"/>
      <c r="X14" s="315"/>
      <c r="Y14" s="315"/>
      <c r="Z14" s="315"/>
      <c r="AA14" s="315"/>
      <c r="AB14" s="317"/>
      <c r="AC14" s="318"/>
      <c r="AD14" s="132"/>
      <c r="AE14" s="132"/>
      <c r="AF14" s="315"/>
      <c r="AG14" s="100"/>
      <c r="AH14" s="315"/>
      <c r="AI14" s="315"/>
      <c r="AJ14" s="315"/>
      <c r="AK14" s="315"/>
      <c r="AL14" s="315"/>
      <c r="AM14" s="315"/>
      <c r="AN14" s="315"/>
      <c r="AO14" s="315"/>
      <c r="AP14" s="315"/>
      <c r="AQ14" s="315"/>
      <c r="AR14" s="315"/>
      <c r="AS14" s="315"/>
      <c r="AT14" s="315"/>
      <c r="AU14" s="315"/>
      <c r="BE14" s="100"/>
      <c r="BF14" s="100"/>
    </row>
    <row r="15" spans="1:58" x14ac:dyDescent="0.35">
      <c r="A15" s="342" t="s">
        <v>651</v>
      </c>
      <c r="B15" s="326" t="s">
        <v>321</v>
      </c>
      <c r="C15" s="326" t="s">
        <v>321</v>
      </c>
      <c r="D15" s="326" t="s">
        <v>321</v>
      </c>
      <c r="E15" s="329" t="s">
        <v>678</v>
      </c>
      <c r="F15" s="123"/>
      <c r="G15" s="123"/>
      <c r="H15" s="100"/>
      <c r="I15" s="128"/>
      <c r="J15" s="128"/>
      <c r="K15" s="100"/>
      <c r="L15" s="133"/>
      <c r="M15" s="131"/>
      <c r="N15" s="131"/>
      <c r="O15" s="131"/>
      <c r="P15" s="131"/>
      <c r="Q15" s="131"/>
      <c r="R15" s="131"/>
      <c r="S15" s="100"/>
      <c r="T15" s="315"/>
      <c r="U15" s="315"/>
      <c r="V15" s="315"/>
      <c r="W15" s="315"/>
      <c r="X15" s="315"/>
      <c r="Y15" s="315"/>
      <c r="Z15" s="315"/>
      <c r="AA15" s="315"/>
      <c r="AB15" s="317"/>
      <c r="AC15" s="318"/>
      <c r="AD15" s="132"/>
      <c r="AE15" s="132"/>
      <c r="AF15" s="315"/>
      <c r="AG15" s="100"/>
      <c r="AH15" s="315"/>
      <c r="AI15" s="315"/>
      <c r="AJ15" s="315"/>
      <c r="AK15" s="315"/>
      <c r="AL15" s="315"/>
      <c r="AM15" s="315"/>
      <c r="AN15" s="315"/>
      <c r="AO15" s="315"/>
      <c r="AP15" s="315"/>
      <c r="AQ15" s="315"/>
      <c r="AR15" s="315"/>
      <c r="AS15" s="315"/>
      <c r="AT15" s="315"/>
      <c r="AU15" s="315"/>
      <c r="BE15" s="100"/>
      <c r="BF15" s="100"/>
    </row>
    <row r="16" spans="1:58" x14ac:dyDescent="0.35">
      <c r="A16" s="330" t="s">
        <v>678</v>
      </c>
      <c r="B16" s="331" t="s">
        <v>678</v>
      </c>
      <c r="C16" s="331" t="s">
        <v>678</v>
      </c>
      <c r="D16" s="331" t="s">
        <v>678</v>
      </c>
      <c r="E16" s="332" t="s">
        <v>678</v>
      </c>
      <c r="F16" s="333"/>
      <c r="G16" s="333"/>
      <c r="H16" s="100"/>
      <c r="I16" s="128"/>
      <c r="J16" s="128"/>
      <c r="K16" s="100"/>
      <c r="L16" s="133"/>
      <c r="M16" s="131"/>
      <c r="N16" s="131"/>
      <c r="O16" s="131"/>
      <c r="P16" s="131"/>
      <c r="Q16" s="131"/>
      <c r="R16" s="131"/>
      <c r="S16" s="100"/>
      <c r="T16" s="315"/>
      <c r="U16" s="315"/>
      <c r="V16" s="315"/>
      <c r="W16" s="315"/>
      <c r="X16" s="315"/>
      <c r="Y16" s="315"/>
      <c r="Z16" s="315"/>
      <c r="AA16" s="315"/>
      <c r="AB16" s="317"/>
      <c r="AC16" s="318"/>
      <c r="AD16" s="132"/>
      <c r="AE16" s="132"/>
      <c r="AF16" s="315"/>
      <c r="AG16" s="100"/>
      <c r="AH16" s="315"/>
      <c r="AI16" s="315"/>
      <c r="AJ16" s="315"/>
      <c r="AK16" s="315"/>
      <c r="AL16" s="315"/>
      <c r="AM16" s="315"/>
      <c r="AN16" s="315"/>
      <c r="AO16" s="315"/>
      <c r="AP16" s="315"/>
      <c r="AQ16" s="315"/>
      <c r="AR16" s="315"/>
      <c r="AS16" s="315"/>
      <c r="AT16" s="315"/>
      <c r="AU16" s="315"/>
      <c r="BE16" s="100"/>
      <c r="BF16" s="100"/>
    </row>
    <row r="17" spans="1:58" ht="19.75" customHeight="1" thickBot="1" x14ac:dyDescent="0.4">
      <c r="A17" s="340" t="s">
        <v>900</v>
      </c>
      <c r="B17" s="507" t="s">
        <v>980</v>
      </c>
      <c r="C17" s="507"/>
      <c r="D17" s="508"/>
      <c r="E17" s="334" t="s">
        <v>678</v>
      </c>
      <c r="F17" s="335"/>
      <c r="G17" s="335"/>
      <c r="H17" s="100"/>
      <c r="I17" s="128"/>
      <c r="J17" s="128"/>
      <c r="K17" s="100"/>
      <c r="L17" s="133"/>
      <c r="M17" s="131"/>
      <c r="N17" s="131"/>
      <c r="O17" s="131"/>
      <c r="P17" s="131"/>
      <c r="Q17" s="131"/>
      <c r="R17" s="131"/>
      <c r="S17" s="100"/>
      <c r="T17" s="315"/>
      <c r="U17" s="315"/>
      <c r="V17" s="315"/>
      <c r="W17" s="315"/>
      <c r="X17" s="315"/>
      <c r="Y17" s="315"/>
      <c r="Z17" s="315"/>
      <c r="AA17" s="315"/>
      <c r="AB17" s="317"/>
      <c r="AC17" s="318"/>
      <c r="AD17" s="132"/>
      <c r="AE17" s="132"/>
      <c r="AF17" s="315"/>
      <c r="AG17" s="100"/>
      <c r="AH17" s="315"/>
      <c r="AI17" s="315"/>
      <c r="AJ17" s="315"/>
      <c r="AK17" s="315"/>
      <c r="AL17" s="315"/>
      <c r="AM17" s="315"/>
      <c r="AN17" s="315"/>
      <c r="AO17" s="315"/>
      <c r="AP17" s="315"/>
      <c r="AQ17" s="315"/>
      <c r="AR17" s="315"/>
      <c r="AS17" s="315"/>
      <c r="AT17" s="315"/>
      <c r="AU17" s="315"/>
      <c r="BE17" s="100"/>
      <c r="BF17" s="100"/>
    </row>
    <row r="18" spans="1:58" ht="16" thickTop="1" x14ac:dyDescent="0.35">
      <c r="A18" s="337" t="s">
        <v>639</v>
      </c>
      <c r="B18" s="264">
        <v>4.0112371714042437E-2</v>
      </c>
      <c r="C18" s="264">
        <v>4.0112371714042437E-2</v>
      </c>
      <c r="D18" s="264">
        <v>0.16928524943600615</v>
      </c>
      <c r="E18" s="329" t="s">
        <v>678</v>
      </c>
      <c r="F18" s="123"/>
      <c r="G18" s="123"/>
      <c r="H18" s="100"/>
      <c r="I18" s="128"/>
      <c r="J18" s="128"/>
      <c r="K18" s="100"/>
      <c r="L18" s="133"/>
      <c r="M18" s="131"/>
      <c r="N18" s="131"/>
      <c r="O18" s="131"/>
      <c r="P18" s="131"/>
      <c r="Q18" s="131"/>
      <c r="R18" s="131"/>
      <c r="S18" s="100"/>
      <c r="T18" s="315"/>
      <c r="U18" s="315"/>
      <c r="V18" s="315"/>
      <c r="W18" s="315"/>
      <c r="X18" s="315"/>
      <c r="Y18" s="315"/>
      <c r="Z18" s="315"/>
      <c r="AA18" s="315"/>
      <c r="AB18" s="317"/>
      <c r="AC18" s="318"/>
      <c r="AD18" s="132"/>
      <c r="AE18" s="132"/>
      <c r="AF18" s="315"/>
      <c r="AG18" s="100"/>
      <c r="AH18" s="315"/>
      <c r="AI18" s="315"/>
      <c r="AJ18" s="315"/>
      <c r="AK18" s="315"/>
      <c r="AL18" s="315"/>
      <c r="AM18" s="315"/>
      <c r="AN18" s="315"/>
      <c r="AO18" s="315"/>
      <c r="AP18" s="315"/>
      <c r="AQ18" s="315"/>
      <c r="AR18" s="315"/>
      <c r="AS18" s="315"/>
      <c r="AT18" s="315"/>
      <c r="AU18" s="315"/>
      <c r="BE18" s="100"/>
      <c r="BF18" s="100"/>
    </row>
    <row r="19" spans="1:58" x14ac:dyDescent="0.35">
      <c r="A19" s="337" t="s">
        <v>640</v>
      </c>
      <c r="B19" s="260">
        <v>5.3948263243891754E-3</v>
      </c>
      <c r="C19" s="260">
        <v>5.3948263243891754E-3</v>
      </c>
      <c r="D19" s="260">
        <v>2.9295215346614337E-2</v>
      </c>
      <c r="E19" s="329" t="s">
        <v>678</v>
      </c>
      <c r="F19" s="123"/>
      <c r="G19" s="123"/>
      <c r="H19" s="100"/>
      <c r="I19" s="128"/>
      <c r="J19" s="128"/>
      <c r="K19" s="100"/>
      <c r="L19" s="133"/>
      <c r="M19" s="131"/>
      <c r="N19" s="131"/>
      <c r="O19" s="131"/>
      <c r="P19" s="131"/>
      <c r="Q19" s="131"/>
      <c r="R19" s="131"/>
      <c r="S19" s="100"/>
      <c r="T19" s="315"/>
      <c r="U19" s="315"/>
      <c r="V19" s="315"/>
      <c r="W19" s="315"/>
      <c r="X19" s="315"/>
      <c r="Y19" s="315"/>
      <c r="Z19" s="315"/>
      <c r="AA19" s="315"/>
      <c r="AB19" s="317"/>
      <c r="AC19" s="318"/>
      <c r="AD19" s="132"/>
      <c r="AE19" s="132"/>
      <c r="AF19" s="315"/>
      <c r="AG19" s="100"/>
      <c r="AH19" s="315"/>
      <c r="AI19" s="315"/>
      <c r="AJ19" s="315"/>
      <c r="AK19" s="315"/>
      <c r="AL19" s="315"/>
      <c r="AM19" s="315"/>
      <c r="AN19" s="315"/>
      <c r="AO19" s="315"/>
      <c r="AP19" s="315"/>
      <c r="AQ19" s="315"/>
      <c r="AR19" s="315"/>
      <c r="AS19" s="315"/>
      <c r="AT19" s="315"/>
      <c r="AU19" s="315"/>
      <c r="BE19" s="100"/>
      <c r="BF19" s="100"/>
    </row>
    <row r="20" spans="1:58" x14ac:dyDescent="0.35">
      <c r="A20" s="337" t="s">
        <v>641</v>
      </c>
      <c r="B20" s="260">
        <v>2.8532368549814267E-3</v>
      </c>
      <c r="C20" s="260">
        <v>2.8532368549814267E-3</v>
      </c>
      <c r="D20" s="260">
        <v>1.6205271962147428E-2</v>
      </c>
      <c r="E20" s="329" t="s">
        <v>678</v>
      </c>
      <c r="F20" s="123"/>
      <c r="G20" s="123"/>
      <c r="H20" s="100"/>
      <c r="I20" s="128"/>
      <c r="J20" s="128"/>
      <c r="K20" s="100"/>
      <c r="L20" s="133"/>
      <c r="M20" s="131"/>
      <c r="N20" s="131"/>
      <c r="O20" s="131"/>
      <c r="P20" s="131"/>
      <c r="Q20" s="131"/>
      <c r="R20" s="131"/>
      <c r="S20" s="100"/>
      <c r="T20" s="315"/>
      <c r="U20" s="315"/>
      <c r="V20" s="315"/>
      <c r="W20" s="315"/>
      <c r="X20" s="315"/>
      <c r="Y20" s="315"/>
      <c r="Z20" s="315"/>
      <c r="AA20" s="315"/>
      <c r="AB20" s="317"/>
      <c r="AC20" s="318"/>
      <c r="AD20" s="132"/>
      <c r="AE20" s="132"/>
      <c r="AF20" s="315"/>
      <c r="AG20" s="100"/>
      <c r="AH20" s="315"/>
      <c r="AI20" s="315"/>
      <c r="AJ20" s="315"/>
      <c r="AK20" s="315"/>
      <c r="AL20" s="315"/>
      <c r="AM20" s="315"/>
      <c r="AN20" s="315"/>
      <c r="AO20" s="315"/>
      <c r="AP20" s="315"/>
      <c r="AQ20" s="315"/>
      <c r="AR20" s="315"/>
      <c r="AS20" s="315"/>
      <c r="AT20" s="315"/>
      <c r="AU20" s="315"/>
      <c r="BE20" s="100"/>
      <c r="BF20" s="100"/>
    </row>
    <row r="21" spans="1:58" x14ac:dyDescent="0.35">
      <c r="A21" s="337" t="s">
        <v>642</v>
      </c>
      <c r="B21" s="260">
        <v>6.3134354750445792E-4</v>
      </c>
      <c r="C21" s="260">
        <v>6.3134354750445792E-4</v>
      </c>
      <c r="D21" s="260">
        <v>4.4022655845120306E-3</v>
      </c>
      <c r="E21" s="329" t="s">
        <v>678</v>
      </c>
      <c r="F21" s="123"/>
      <c r="G21" s="123"/>
      <c r="H21" s="100"/>
      <c r="I21" s="128"/>
      <c r="J21" s="128"/>
      <c r="K21" s="100"/>
      <c r="L21" s="133"/>
      <c r="M21" s="131"/>
      <c r="N21" s="131"/>
      <c r="O21" s="131"/>
      <c r="P21" s="131"/>
      <c r="Q21" s="131"/>
      <c r="R21" s="131"/>
      <c r="S21" s="100"/>
      <c r="T21" s="315"/>
      <c r="U21" s="315"/>
      <c r="V21" s="315"/>
      <c r="W21" s="315"/>
      <c r="X21" s="315"/>
      <c r="Y21" s="315"/>
      <c r="Z21" s="315"/>
      <c r="AA21" s="315"/>
      <c r="AB21" s="317"/>
      <c r="AC21" s="318"/>
      <c r="AD21" s="132"/>
      <c r="AE21" s="132"/>
      <c r="AF21" s="315"/>
      <c r="AG21" s="100"/>
      <c r="AH21" s="315"/>
      <c r="AI21" s="315"/>
      <c r="AJ21" s="315"/>
      <c r="AK21" s="315"/>
      <c r="AL21" s="315"/>
      <c r="AM21" s="315"/>
      <c r="AN21" s="315"/>
      <c r="AO21" s="315"/>
      <c r="AP21" s="315"/>
      <c r="AQ21" s="315"/>
      <c r="AR21" s="315"/>
      <c r="AS21" s="315"/>
      <c r="AT21" s="315"/>
      <c r="AU21" s="315"/>
      <c r="BE21" s="100"/>
      <c r="BF21" s="100"/>
    </row>
    <row r="22" spans="1:58" x14ac:dyDescent="0.35">
      <c r="A22" s="337" t="s">
        <v>643</v>
      </c>
      <c r="B22" s="260">
        <v>1.5982142949032296E-4</v>
      </c>
      <c r="C22" s="260">
        <v>1.5982142949032296E-4</v>
      </c>
      <c r="D22" s="260">
        <v>1.4801047835196325E-3</v>
      </c>
      <c r="E22" s="329" t="s">
        <v>678</v>
      </c>
      <c r="F22" s="123"/>
      <c r="G22" s="123"/>
      <c r="H22" s="100"/>
      <c r="I22" s="128"/>
      <c r="J22" s="128"/>
      <c r="K22" s="100"/>
      <c r="L22" s="133"/>
      <c r="M22" s="131"/>
      <c r="N22" s="131"/>
      <c r="O22" s="131"/>
      <c r="P22" s="131"/>
      <c r="Q22" s="131"/>
      <c r="R22" s="131"/>
      <c r="S22" s="100"/>
      <c r="T22" s="315"/>
      <c r="U22" s="315"/>
      <c r="V22" s="315"/>
      <c r="W22" s="315"/>
      <c r="X22" s="315"/>
      <c r="Y22" s="315"/>
      <c r="Z22" s="315"/>
      <c r="AA22" s="315"/>
      <c r="AB22" s="317"/>
      <c r="AC22" s="318"/>
      <c r="AD22" s="132"/>
      <c r="AE22" s="132"/>
      <c r="AF22" s="315"/>
      <c r="AG22" s="100"/>
      <c r="AH22" s="315"/>
      <c r="AI22" s="315"/>
      <c r="AJ22" s="315"/>
      <c r="AK22" s="315"/>
      <c r="AL22" s="315"/>
      <c r="AM22" s="315"/>
      <c r="AN22" s="315"/>
      <c r="AO22" s="315"/>
      <c r="AP22" s="315"/>
      <c r="AQ22" s="315"/>
      <c r="AR22" s="315"/>
      <c r="AS22" s="315"/>
      <c r="AT22" s="315"/>
      <c r="AU22" s="315"/>
      <c r="BE22" s="100"/>
      <c r="BF22" s="100"/>
    </row>
    <row r="23" spans="1:58" x14ac:dyDescent="0.35">
      <c r="A23" s="337" t="s">
        <v>644</v>
      </c>
      <c r="B23" s="260">
        <v>2.366104594553763E-5</v>
      </c>
      <c r="C23" s="260">
        <v>2.366104594553763E-5</v>
      </c>
      <c r="D23" s="260">
        <v>4.1835532221730425E-4</v>
      </c>
      <c r="E23" s="329" t="s">
        <v>678</v>
      </c>
      <c r="F23" s="123"/>
      <c r="G23" s="123"/>
      <c r="H23" s="100"/>
      <c r="I23" s="128"/>
      <c r="J23" s="128"/>
      <c r="K23" s="100"/>
      <c r="L23" s="133"/>
      <c r="M23" s="131"/>
      <c r="N23" s="131"/>
      <c r="O23" s="131"/>
      <c r="P23" s="131"/>
      <c r="Q23" s="131"/>
      <c r="R23" s="131"/>
      <c r="S23" s="100"/>
      <c r="T23" s="315"/>
      <c r="U23" s="315"/>
      <c r="V23" s="315"/>
      <c r="W23" s="315"/>
      <c r="X23" s="315"/>
      <c r="Y23" s="315"/>
      <c r="Z23" s="315"/>
      <c r="AA23" s="315"/>
      <c r="AB23" s="317"/>
      <c r="AC23" s="318"/>
      <c r="AD23" s="132"/>
      <c r="AE23" s="132"/>
      <c r="AF23" s="315"/>
      <c r="AG23" s="100"/>
      <c r="AH23" s="315"/>
      <c r="AI23" s="315"/>
      <c r="AJ23" s="315"/>
      <c r="AK23" s="315"/>
      <c r="AL23" s="315"/>
      <c r="AM23" s="315"/>
      <c r="AN23" s="315"/>
      <c r="AO23" s="315"/>
      <c r="AP23" s="315"/>
      <c r="AQ23" s="315"/>
      <c r="AR23" s="315"/>
      <c r="AS23" s="315"/>
      <c r="AT23" s="315"/>
      <c r="AU23" s="315"/>
      <c r="BE23" s="100"/>
      <c r="BF23" s="100"/>
    </row>
    <row r="24" spans="1:58" x14ac:dyDescent="0.35">
      <c r="A24" s="337" t="s">
        <v>575</v>
      </c>
      <c r="B24" s="260">
        <v>9.6786039131188347E-4</v>
      </c>
      <c r="C24" s="260">
        <v>9.6786039131188347E-4</v>
      </c>
      <c r="D24" s="260">
        <v>6.0875848229851124E-3</v>
      </c>
      <c r="E24" s="329" t="s">
        <v>678</v>
      </c>
      <c r="F24" s="123"/>
      <c r="G24" s="123"/>
      <c r="H24" s="100"/>
      <c r="I24" s="128"/>
      <c r="J24" s="128"/>
      <c r="K24" s="100"/>
      <c r="L24" s="133"/>
      <c r="M24" s="131"/>
      <c r="N24" s="131"/>
      <c r="O24" s="131"/>
      <c r="P24" s="131"/>
      <c r="Q24" s="131"/>
      <c r="R24" s="131"/>
      <c r="S24" s="100"/>
      <c r="T24" s="315"/>
      <c r="U24" s="315"/>
      <c r="V24" s="315"/>
      <c r="W24" s="315"/>
      <c r="X24" s="315"/>
      <c r="Y24" s="315"/>
      <c r="Z24" s="315"/>
      <c r="AA24" s="315"/>
      <c r="AB24" s="317"/>
      <c r="AC24" s="318"/>
      <c r="AD24" s="132"/>
      <c r="AE24" s="132"/>
      <c r="AF24" s="315"/>
      <c r="AG24" s="100"/>
      <c r="AH24" s="315"/>
      <c r="AI24" s="315"/>
      <c r="AJ24" s="315"/>
      <c r="AK24" s="315"/>
      <c r="AL24" s="315"/>
      <c r="AM24" s="315"/>
      <c r="AN24" s="315"/>
      <c r="AO24" s="315"/>
      <c r="AP24" s="315"/>
      <c r="AQ24" s="315"/>
      <c r="AR24" s="315"/>
      <c r="AS24" s="315"/>
      <c r="AT24" s="315"/>
      <c r="AU24" s="315"/>
      <c r="BE24" s="100"/>
      <c r="BF24" s="100"/>
    </row>
    <row r="25" spans="1:58" x14ac:dyDescent="0.35">
      <c r="A25" s="330" t="s">
        <v>678</v>
      </c>
      <c r="B25" s="331" t="s">
        <v>678</v>
      </c>
      <c r="C25" s="331" t="s">
        <v>678</v>
      </c>
      <c r="D25" s="331" t="s">
        <v>678</v>
      </c>
      <c r="E25" s="332" t="s">
        <v>678</v>
      </c>
      <c r="F25" s="333"/>
      <c r="G25" s="333"/>
      <c r="H25" s="100"/>
      <c r="I25" s="128"/>
      <c r="J25" s="128"/>
      <c r="K25" s="100"/>
      <c r="L25" s="133"/>
      <c r="M25" s="131"/>
      <c r="N25" s="131"/>
      <c r="O25" s="131"/>
      <c r="P25" s="131"/>
      <c r="Q25" s="131"/>
      <c r="R25" s="131"/>
      <c r="S25" s="100"/>
      <c r="T25" s="315"/>
      <c r="U25" s="315"/>
      <c r="V25" s="315"/>
      <c r="W25" s="315"/>
      <c r="X25" s="315"/>
      <c r="Y25" s="315"/>
      <c r="Z25" s="315"/>
      <c r="AA25" s="315"/>
      <c r="AB25" s="317"/>
      <c r="AC25" s="318"/>
      <c r="AD25" s="132"/>
      <c r="AE25" s="132"/>
      <c r="AF25" s="315"/>
      <c r="AG25" s="100"/>
      <c r="AH25" s="315"/>
      <c r="AI25" s="315"/>
      <c r="AJ25" s="315"/>
      <c r="AK25" s="315"/>
      <c r="AL25" s="315"/>
      <c r="AM25" s="315"/>
      <c r="AN25" s="315"/>
      <c r="AO25" s="315"/>
      <c r="AP25" s="315"/>
      <c r="AQ25" s="315"/>
      <c r="AR25" s="315"/>
      <c r="AS25" s="315"/>
      <c r="AT25" s="315"/>
      <c r="AU25" s="315"/>
      <c r="BE25" s="100"/>
      <c r="BF25" s="100"/>
    </row>
    <row r="26" spans="1:58" ht="16" thickBot="1" x14ac:dyDescent="0.4">
      <c r="A26" s="340" t="s">
        <v>900</v>
      </c>
      <c r="B26" s="507" t="s">
        <v>652</v>
      </c>
      <c r="C26" s="507"/>
      <c r="D26" s="508"/>
      <c r="E26" s="334" t="s">
        <v>678</v>
      </c>
      <c r="F26" s="335"/>
      <c r="G26" s="335"/>
      <c r="H26" s="100"/>
      <c r="I26" s="128"/>
      <c r="J26" s="128"/>
      <c r="K26" s="100"/>
      <c r="L26" s="133"/>
      <c r="M26" s="131"/>
      <c r="N26" s="131"/>
      <c r="O26" s="131"/>
      <c r="P26" s="131"/>
      <c r="Q26" s="131"/>
      <c r="R26" s="131"/>
      <c r="S26" s="100"/>
      <c r="T26" s="315"/>
      <c r="U26" s="315"/>
      <c r="V26" s="315"/>
      <c r="W26" s="315"/>
      <c r="X26" s="315"/>
      <c r="Y26" s="315"/>
      <c r="Z26" s="315"/>
      <c r="AA26" s="315"/>
      <c r="AB26" s="317"/>
      <c r="AC26" s="318"/>
      <c r="AD26" s="132"/>
      <c r="AE26" s="132"/>
      <c r="AF26" s="315"/>
      <c r="AG26" s="100"/>
      <c r="AH26" s="315"/>
      <c r="AI26" s="315"/>
      <c r="AJ26" s="315"/>
      <c r="AK26" s="315"/>
      <c r="AL26" s="315"/>
      <c r="AM26" s="315"/>
      <c r="AN26" s="315"/>
      <c r="AO26" s="315"/>
      <c r="AP26" s="315"/>
      <c r="AQ26" s="315"/>
      <c r="AR26" s="315"/>
      <c r="AS26" s="315"/>
      <c r="AT26" s="315"/>
      <c r="AU26" s="315"/>
      <c r="BE26" s="100"/>
      <c r="BF26" s="100"/>
    </row>
    <row r="27" spans="1:58" ht="16" thickTop="1" x14ac:dyDescent="0.35">
      <c r="A27" s="337" t="s">
        <v>639</v>
      </c>
      <c r="B27" s="264">
        <v>3.3065219932178194E-3</v>
      </c>
      <c r="C27" s="264">
        <v>3.3065219932178194E-3</v>
      </c>
      <c r="D27" s="264">
        <v>1.395443292104228E-2</v>
      </c>
      <c r="E27" s="329" t="s">
        <v>678</v>
      </c>
      <c r="F27" s="123"/>
      <c r="G27" s="123"/>
      <c r="H27" s="100"/>
      <c r="I27" s="128"/>
      <c r="J27" s="128"/>
      <c r="K27" s="100"/>
      <c r="L27" s="133"/>
      <c r="M27" s="131"/>
      <c r="N27" s="131"/>
      <c r="O27" s="131"/>
      <c r="P27" s="131"/>
      <c r="Q27" s="131"/>
      <c r="R27" s="131"/>
      <c r="S27" s="100"/>
      <c r="T27" s="315"/>
      <c r="U27" s="315"/>
      <c r="V27" s="315"/>
      <c r="W27" s="315"/>
      <c r="X27" s="315"/>
      <c r="Y27" s="315"/>
      <c r="Z27" s="315"/>
      <c r="AA27" s="315"/>
      <c r="AB27" s="317"/>
      <c r="AC27" s="318"/>
      <c r="AD27" s="132"/>
      <c r="AE27" s="132"/>
      <c r="AF27" s="315"/>
      <c r="AG27" s="100"/>
      <c r="AH27" s="315"/>
      <c r="AI27" s="315"/>
      <c r="AJ27" s="315"/>
      <c r="AK27" s="315"/>
      <c r="AL27" s="315"/>
      <c r="AM27" s="315"/>
      <c r="AN27" s="315"/>
      <c r="AO27" s="315"/>
      <c r="AP27" s="315"/>
      <c r="AQ27" s="315"/>
      <c r="AR27" s="315"/>
      <c r="AS27" s="315"/>
      <c r="AT27" s="315"/>
      <c r="AU27" s="315"/>
      <c r="BE27" s="100"/>
      <c r="BF27" s="100"/>
    </row>
    <row r="28" spans="1:58" x14ac:dyDescent="0.35">
      <c r="A28" s="337" t="s">
        <v>640</v>
      </c>
      <c r="B28" s="260">
        <v>4.4470349493043167E-4</v>
      </c>
      <c r="C28" s="260">
        <v>4.4470349493043167E-4</v>
      </c>
      <c r="D28" s="260">
        <v>2.4148478312421041E-3</v>
      </c>
      <c r="E28" s="329" t="s">
        <v>678</v>
      </c>
      <c r="F28" s="123"/>
      <c r="G28" s="123"/>
      <c r="H28" s="100"/>
      <c r="I28" s="128"/>
      <c r="J28" s="128"/>
      <c r="K28" s="100"/>
      <c r="L28" s="319"/>
      <c r="M28" s="131"/>
      <c r="N28" s="131"/>
      <c r="O28" s="131"/>
      <c r="P28" s="131"/>
      <c r="Q28" s="131"/>
      <c r="R28" s="131"/>
      <c r="S28" s="100"/>
      <c r="T28" s="315"/>
      <c r="U28" s="315"/>
      <c r="V28" s="315"/>
      <c r="W28" s="315"/>
      <c r="X28" s="315"/>
      <c r="Y28" s="315"/>
      <c r="Z28" s="315"/>
      <c r="AA28" s="315"/>
      <c r="AB28" s="317"/>
      <c r="AC28" s="318"/>
      <c r="AD28" s="132"/>
      <c r="AE28" s="132"/>
      <c r="AF28" s="315"/>
      <c r="AG28" s="100"/>
      <c r="AH28" s="315"/>
      <c r="AI28" s="315"/>
      <c r="AJ28" s="315"/>
      <c r="AK28" s="315"/>
      <c r="AL28" s="315"/>
      <c r="AM28" s="315"/>
      <c r="AN28" s="315"/>
      <c r="AO28" s="315"/>
      <c r="AP28" s="315"/>
      <c r="AQ28" s="315"/>
      <c r="AR28" s="315"/>
      <c r="AS28" s="315"/>
      <c r="AT28" s="315"/>
      <c r="AU28" s="315"/>
      <c r="BE28" s="100"/>
      <c r="BF28" s="100"/>
    </row>
    <row r="29" spans="1:58" x14ac:dyDescent="0.35">
      <c r="A29" s="337" t="s">
        <v>641</v>
      </c>
      <c r="B29" s="260">
        <v>2.3519652440678291E-4</v>
      </c>
      <c r="C29" s="260">
        <v>2.3519652440678291E-4</v>
      </c>
      <c r="D29" s="260">
        <v>1.3358244815566047E-3</v>
      </c>
      <c r="E29" s="329" t="s">
        <v>678</v>
      </c>
      <c r="F29" s="123"/>
      <c r="G29" s="123"/>
      <c r="H29" s="100"/>
      <c r="I29" s="128"/>
      <c r="J29" s="128"/>
      <c r="K29" s="100"/>
      <c r="L29" s="319"/>
      <c r="M29" s="131"/>
      <c r="N29" s="131"/>
      <c r="O29" s="131"/>
      <c r="P29" s="131"/>
      <c r="Q29" s="131"/>
      <c r="R29" s="131"/>
      <c r="S29" s="100"/>
      <c r="T29" s="315"/>
      <c r="U29" s="315"/>
      <c r="V29" s="315"/>
      <c r="W29" s="315"/>
      <c r="X29" s="315"/>
      <c r="Y29" s="315"/>
      <c r="Z29" s="315"/>
      <c r="AA29" s="315"/>
      <c r="AB29" s="317"/>
      <c r="AC29" s="318"/>
      <c r="AD29" s="132"/>
      <c r="AE29" s="132"/>
      <c r="AF29" s="315"/>
      <c r="AG29" s="100"/>
      <c r="AH29" s="315"/>
      <c r="AI29" s="315"/>
      <c r="AJ29" s="315"/>
      <c r="AK29" s="315"/>
      <c r="AL29" s="315"/>
      <c r="AM29" s="315"/>
      <c r="AN29" s="315"/>
      <c r="AO29" s="315"/>
      <c r="AP29" s="315"/>
      <c r="AQ29" s="315"/>
      <c r="AR29" s="315"/>
      <c r="AS29" s="315"/>
      <c r="AT29" s="315"/>
      <c r="AU29" s="315"/>
      <c r="BE29" s="100"/>
      <c r="BF29" s="100"/>
    </row>
    <row r="30" spans="1:58" x14ac:dyDescent="0.35">
      <c r="A30" s="337" t="s">
        <v>642</v>
      </c>
      <c r="B30" s="260">
        <v>5.2042580278763341E-5</v>
      </c>
      <c r="C30" s="260">
        <v>5.2042580278763341E-5</v>
      </c>
      <c r="D30" s="260">
        <v>3.6288524844516079E-4</v>
      </c>
      <c r="E30" s="329" t="s">
        <v>678</v>
      </c>
      <c r="F30" s="123"/>
      <c r="G30" s="123"/>
      <c r="H30" s="100"/>
      <c r="I30" s="128"/>
      <c r="J30" s="128"/>
      <c r="K30" s="100"/>
      <c r="L30" s="319"/>
      <c r="M30" s="131"/>
      <c r="N30" s="131"/>
      <c r="O30" s="131"/>
      <c r="P30" s="131"/>
      <c r="Q30" s="131"/>
      <c r="R30" s="131"/>
      <c r="S30" s="100"/>
      <c r="T30" s="315"/>
      <c r="U30" s="315"/>
      <c r="V30" s="315"/>
      <c r="W30" s="315"/>
      <c r="X30" s="315"/>
      <c r="Y30" s="315"/>
      <c r="Z30" s="315"/>
      <c r="AA30" s="315"/>
      <c r="AB30" s="317"/>
      <c r="AC30" s="318"/>
      <c r="AD30" s="132"/>
      <c r="AE30" s="132"/>
      <c r="AF30" s="315"/>
      <c r="AG30" s="100"/>
      <c r="AH30" s="315"/>
      <c r="AI30" s="315"/>
      <c r="AJ30" s="315"/>
      <c r="AK30" s="315"/>
      <c r="AL30" s="315"/>
      <c r="AM30" s="315"/>
      <c r="AN30" s="315"/>
      <c r="AO30" s="315"/>
      <c r="AP30" s="315"/>
      <c r="AQ30" s="315"/>
      <c r="AR30" s="315"/>
      <c r="AS30" s="315"/>
      <c r="AT30" s="315"/>
      <c r="AU30" s="315"/>
      <c r="BE30" s="100"/>
      <c r="BF30" s="100"/>
    </row>
    <row r="31" spans="1:58" x14ac:dyDescent="0.35">
      <c r="A31" s="337" t="s">
        <v>643</v>
      </c>
      <c r="B31" s="260">
        <v>1.3174316277395895E-5</v>
      </c>
      <c r="C31" s="260">
        <v>1.3174316277395895E-5</v>
      </c>
      <c r="D31" s="260">
        <v>1.2200722145934058E-4</v>
      </c>
      <c r="E31" s="329" t="s">
        <v>678</v>
      </c>
      <c r="F31" s="123"/>
      <c r="G31" s="123"/>
      <c r="H31" s="100"/>
      <c r="I31" s="128"/>
      <c r="J31" s="128"/>
      <c r="K31" s="100"/>
      <c r="L31" s="319"/>
      <c r="M31" s="131"/>
      <c r="N31" s="131"/>
      <c r="O31" s="131"/>
      <c r="P31" s="131"/>
      <c r="Q31" s="131"/>
      <c r="R31" s="131"/>
      <c r="S31" s="100"/>
      <c r="T31" s="315"/>
      <c r="U31" s="315"/>
      <c r="V31" s="315"/>
      <c r="W31" s="315"/>
      <c r="X31" s="315"/>
      <c r="Y31" s="315"/>
      <c r="Z31" s="315"/>
      <c r="AA31" s="315"/>
      <c r="AB31" s="317"/>
      <c r="AC31" s="318"/>
      <c r="AD31" s="132"/>
      <c r="AE31" s="132"/>
      <c r="AF31" s="315"/>
      <c r="AG31" s="100"/>
      <c r="AH31" s="315"/>
      <c r="AI31" s="315"/>
      <c r="AJ31" s="315"/>
      <c r="AK31" s="315"/>
      <c r="AL31" s="315"/>
      <c r="AM31" s="315"/>
      <c r="AN31" s="315"/>
      <c r="AO31" s="315"/>
      <c r="AP31" s="315"/>
      <c r="AQ31" s="315"/>
      <c r="AR31" s="315"/>
      <c r="AS31" s="315"/>
      <c r="AT31" s="315"/>
      <c r="AU31" s="315"/>
      <c r="BE31" s="100"/>
      <c r="BF31" s="100"/>
    </row>
    <row r="32" spans="1:58" x14ac:dyDescent="0.35">
      <c r="A32" s="337" t="s">
        <v>644</v>
      </c>
      <c r="B32" s="260">
        <v>1.9504149333076939E-6</v>
      </c>
      <c r="C32" s="260">
        <v>1.9504149333076939E-6</v>
      </c>
      <c r="D32" s="260">
        <v>3.4485646566916448E-5</v>
      </c>
      <c r="E32" s="329" t="s">
        <v>678</v>
      </c>
      <c r="F32" s="123"/>
      <c r="G32" s="123"/>
      <c r="H32" s="100"/>
      <c r="I32" s="128"/>
      <c r="J32" s="128"/>
      <c r="K32" s="100"/>
      <c r="L32" s="319"/>
      <c r="M32" s="131"/>
      <c r="N32" s="131"/>
      <c r="O32" s="131"/>
      <c r="P32" s="131"/>
      <c r="Q32" s="131"/>
      <c r="R32" s="131"/>
      <c r="S32" s="100"/>
      <c r="T32" s="315"/>
      <c r="U32" s="315"/>
      <c r="V32" s="315"/>
      <c r="W32" s="315"/>
      <c r="X32" s="315"/>
      <c r="Y32" s="315"/>
      <c r="Z32" s="315"/>
      <c r="AA32" s="315"/>
      <c r="AB32" s="317"/>
      <c r="AC32" s="318"/>
      <c r="AD32" s="132"/>
      <c r="AE32" s="132"/>
      <c r="AF32" s="315"/>
      <c r="AG32" s="100"/>
      <c r="AH32" s="315"/>
      <c r="AI32" s="315"/>
      <c r="AJ32" s="315"/>
      <c r="AK32" s="315"/>
      <c r="AL32" s="315"/>
      <c r="AM32" s="315"/>
      <c r="AN32" s="315"/>
      <c r="AO32" s="315"/>
      <c r="AP32" s="315"/>
      <c r="AQ32" s="315"/>
      <c r="AR32" s="315"/>
      <c r="AS32" s="315"/>
      <c r="AT32" s="315"/>
      <c r="AU32" s="315"/>
      <c r="BE32" s="100"/>
      <c r="BF32" s="100"/>
    </row>
    <row r="33" spans="1:58" x14ac:dyDescent="0.35">
      <c r="A33" s="337" t="s">
        <v>575</v>
      </c>
      <c r="B33" s="260">
        <v>7.9782160303345172E-5</v>
      </c>
      <c r="C33" s="260">
        <v>7.9782160303345172E-5</v>
      </c>
      <c r="D33" s="260">
        <v>5.0180860025618608E-4</v>
      </c>
      <c r="E33" s="329" t="s">
        <v>678</v>
      </c>
      <c r="F33" s="123"/>
      <c r="G33" s="123"/>
      <c r="H33" s="100"/>
      <c r="I33" s="128"/>
      <c r="J33" s="128"/>
      <c r="K33" s="100"/>
      <c r="L33" s="319"/>
      <c r="M33" s="131"/>
      <c r="N33" s="131"/>
      <c r="O33" s="131"/>
      <c r="P33" s="131"/>
      <c r="Q33" s="131"/>
      <c r="R33" s="131"/>
      <c r="S33" s="100"/>
      <c r="T33" s="315"/>
      <c r="U33" s="315"/>
      <c r="V33" s="315"/>
      <c r="W33" s="315"/>
      <c r="X33" s="315"/>
      <c r="Y33" s="315"/>
      <c r="Z33" s="315"/>
      <c r="AA33" s="315"/>
      <c r="AB33" s="317"/>
      <c r="AC33" s="318"/>
      <c r="AD33" s="132"/>
      <c r="AE33" s="132"/>
      <c r="AF33" s="315"/>
      <c r="AG33" s="100"/>
      <c r="AH33" s="315"/>
      <c r="AI33" s="315"/>
      <c r="AJ33" s="315"/>
      <c r="AK33" s="315"/>
      <c r="AL33" s="315"/>
      <c r="AM33" s="315"/>
      <c r="AN33" s="315"/>
      <c r="AO33" s="315"/>
      <c r="AP33" s="315"/>
      <c r="AQ33" s="315"/>
      <c r="AR33" s="315"/>
      <c r="AS33" s="315"/>
      <c r="AT33" s="315"/>
      <c r="AU33" s="315"/>
      <c r="BE33" s="100"/>
      <c r="BF33" s="100"/>
    </row>
    <row r="34" spans="1:58" x14ac:dyDescent="0.35">
      <c r="A34" s="131"/>
      <c r="B34" s="131"/>
      <c r="C34" s="131"/>
      <c r="D34" s="131"/>
      <c r="E34" s="131"/>
      <c r="F34" s="109"/>
      <c r="G34" s="131"/>
      <c r="H34" s="100"/>
      <c r="I34" s="128"/>
      <c r="J34" s="128"/>
      <c r="K34" s="315"/>
      <c r="L34" s="319"/>
      <c r="M34" s="311"/>
      <c r="N34" s="311"/>
      <c r="O34" s="311"/>
      <c r="P34" s="311"/>
      <c r="Q34" s="311"/>
      <c r="R34" s="311"/>
      <c r="S34" s="315"/>
      <c r="T34" s="315"/>
      <c r="U34" s="315"/>
      <c r="V34" s="315"/>
      <c r="W34" s="315"/>
      <c r="X34" s="315"/>
      <c r="Y34" s="315"/>
      <c r="Z34" s="315"/>
      <c r="AA34" s="315"/>
      <c r="AB34" s="317"/>
      <c r="AC34" s="318"/>
      <c r="AD34" s="132"/>
      <c r="AE34" s="132"/>
      <c r="AF34" s="315"/>
      <c r="AG34" s="315"/>
      <c r="AH34" s="315"/>
      <c r="AI34" s="315"/>
      <c r="AJ34" s="315"/>
      <c r="AK34" s="315"/>
      <c r="AL34" s="315"/>
      <c r="AM34" s="315"/>
      <c r="AN34" s="315"/>
      <c r="AO34" s="315"/>
      <c r="AP34" s="315"/>
      <c r="AQ34" s="315"/>
      <c r="AR34" s="315"/>
      <c r="AS34" s="315"/>
      <c r="AT34" s="315"/>
      <c r="AU34" s="315"/>
    </row>
    <row r="35" spans="1:58" x14ac:dyDescent="0.35">
      <c r="A35" s="131"/>
      <c r="B35" s="131"/>
      <c r="C35" s="131"/>
      <c r="D35" s="131"/>
      <c r="E35" s="131"/>
      <c r="F35" s="109"/>
      <c r="G35" s="131"/>
      <c r="H35" s="100"/>
      <c r="I35" s="128"/>
      <c r="J35" s="128"/>
      <c r="K35" s="315"/>
      <c r="L35" s="319"/>
      <c r="M35" s="311"/>
      <c r="N35" s="311"/>
      <c r="O35" s="311"/>
      <c r="P35" s="311"/>
      <c r="Q35" s="311"/>
      <c r="R35" s="311"/>
      <c r="S35" s="315"/>
      <c r="T35" s="315"/>
      <c r="U35" s="315"/>
      <c r="V35" s="315"/>
      <c r="W35" s="315"/>
      <c r="X35" s="315"/>
      <c r="Y35" s="315"/>
      <c r="Z35" s="315"/>
      <c r="AA35" s="315"/>
      <c r="AB35" s="317"/>
      <c r="AC35" s="318"/>
      <c r="AD35" s="132"/>
      <c r="AE35" s="132"/>
      <c r="AF35" s="315"/>
      <c r="AG35" s="315"/>
      <c r="AH35" s="315"/>
      <c r="AI35" s="315"/>
      <c r="AJ35" s="315"/>
      <c r="AK35" s="315"/>
      <c r="AL35" s="315"/>
      <c r="AM35" s="315"/>
      <c r="AN35" s="315"/>
      <c r="AO35" s="315"/>
      <c r="AP35" s="315"/>
      <c r="AQ35" s="315"/>
      <c r="AR35" s="315"/>
      <c r="AS35" s="315"/>
      <c r="AT35" s="315"/>
      <c r="AU35" s="315"/>
    </row>
    <row r="36" spans="1:58" x14ac:dyDescent="0.35">
      <c r="A36" s="131"/>
      <c r="B36" s="131"/>
      <c r="C36" s="131"/>
      <c r="D36" s="131"/>
      <c r="E36" s="131"/>
      <c r="F36" s="109"/>
      <c r="G36" s="131"/>
      <c r="H36" s="100"/>
      <c r="I36" s="309"/>
      <c r="J36" s="128"/>
      <c r="K36" s="315"/>
      <c r="L36" s="319"/>
      <c r="M36" s="311"/>
      <c r="N36" s="311"/>
      <c r="O36" s="311"/>
      <c r="P36" s="311"/>
      <c r="Q36" s="311"/>
      <c r="R36" s="311"/>
      <c r="S36" s="315"/>
      <c r="T36" s="315"/>
      <c r="U36" s="315"/>
      <c r="V36" s="315"/>
      <c r="W36" s="315"/>
      <c r="X36" s="315"/>
      <c r="Y36" s="315"/>
      <c r="Z36" s="315"/>
      <c r="AA36" s="315"/>
      <c r="AB36" s="317"/>
      <c r="AC36" s="318"/>
      <c r="AD36" s="132"/>
      <c r="AE36" s="132"/>
      <c r="AF36" s="315"/>
      <c r="AG36" s="315"/>
      <c r="AH36" s="315"/>
      <c r="AI36" s="315"/>
      <c r="AJ36" s="315"/>
      <c r="AK36" s="315"/>
      <c r="AL36" s="315"/>
      <c r="AM36" s="315"/>
      <c r="AN36" s="315"/>
      <c r="AO36" s="315"/>
      <c r="AP36" s="315"/>
      <c r="AQ36" s="315"/>
      <c r="AR36" s="315"/>
      <c r="AS36" s="315"/>
      <c r="AT36" s="315"/>
      <c r="AU36" s="315"/>
    </row>
    <row r="37" spans="1:58" x14ac:dyDescent="0.35">
      <c r="A37" s="131"/>
      <c r="B37" s="131"/>
      <c r="C37" s="131"/>
      <c r="D37" s="131"/>
      <c r="E37" s="131"/>
      <c r="F37" s="109"/>
      <c r="G37" s="131"/>
      <c r="H37" s="100"/>
      <c r="I37" s="309"/>
      <c r="J37" s="128"/>
      <c r="K37" s="315"/>
      <c r="L37" s="319"/>
      <c r="M37" s="311"/>
      <c r="N37" s="311"/>
      <c r="O37" s="311"/>
      <c r="P37" s="311"/>
      <c r="Q37" s="311"/>
      <c r="R37" s="311"/>
      <c r="S37" s="315"/>
      <c r="T37" s="315"/>
      <c r="U37" s="315"/>
      <c r="V37" s="315"/>
      <c r="W37" s="315"/>
      <c r="X37" s="315"/>
      <c r="Y37" s="315"/>
      <c r="Z37" s="315"/>
      <c r="AA37" s="315"/>
      <c r="AB37" s="317"/>
      <c r="AC37" s="318"/>
      <c r="AD37" s="132"/>
      <c r="AE37" s="132"/>
      <c r="AF37" s="315"/>
      <c r="AG37" s="315"/>
      <c r="AH37" s="315"/>
      <c r="AI37" s="315"/>
      <c r="AJ37" s="315"/>
      <c r="AK37" s="315"/>
      <c r="AL37" s="315"/>
      <c r="AM37" s="315"/>
      <c r="AN37" s="315"/>
      <c r="AO37" s="315"/>
      <c r="AP37" s="315"/>
      <c r="AQ37" s="315"/>
      <c r="AR37" s="315"/>
      <c r="AS37" s="315"/>
      <c r="AT37" s="315"/>
      <c r="AU37" s="315"/>
    </row>
    <row r="38" spans="1:58" x14ac:dyDescent="0.35">
      <c r="A38" s="131"/>
      <c r="B38" s="131"/>
      <c r="C38" s="131"/>
      <c r="D38" s="131"/>
      <c r="E38" s="131"/>
      <c r="F38" s="109"/>
      <c r="G38" s="131"/>
      <c r="H38" s="100"/>
      <c r="I38" s="309"/>
      <c r="J38" s="128"/>
      <c r="K38" s="315"/>
      <c r="L38" s="319"/>
      <c r="M38" s="311"/>
      <c r="N38" s="311"/>
      <c r="O38" s="311"/>
      <c r="P38" s="311"/>
      <c r="Q38" s="311"/>
      <c r="R38" s="311"/>
      <c r="S38" s="315"/>
      <c r="T38" s="315"/>
      <c r="U38" s="315"/>
      <c r="V38" s="315"/>
      <c r="W38" s="315"/>
      <c r="X38" s="315"/>
      <c r="Y38" s="315"/>
      <c r="Z38" s="315"/>
      <c r="AA38" s="315"/>
      <c r="AB38" s="317"/>
      <c r="AC38" s="318"/>
      <c r="AD38" s="312"/>
      <c r="AE38" s="132"/>
      <c r="AF38" s="315"/>
      <c r="AG38" s="315"/>
      <c r="AH38" s="315"/>
      <c r="AI38" s="315"/>
      <c r="AJ38" s="315"/>
      <c r="AK38" s="315"/>
      <c r="AL38" s="315"/>
      <c r="AM38" s="315"/>
      <c r="AN38" s="315"/>
      <c r="AO38" s="315"/>
      <c r="AP38" s="315"/>
      <c r="AQ38" s="315"/>
      <c r="AR38" s="315"/>
      <c r="AS38" s="315"/>
      <c r="AT38" s="315"/>
      <c r="AU38" s="315"/>
    </row>
    <row r="39" spans="1:58" x14ac:dyDescent="0.35">
      <c r="A39" s="131"/>
      <c r="B39" s="131"/>
      <c r="C39" s="131"/>
      <c r="D39" s="131"/>
      <c r="E39" s="131"/>
      <c r="F39" s="109"/>
      <c r="G39" s="131"/>
      <c r="H39" s="100"/>
      <c r="I39" s="309"/>
      <c r="J39" s="128"/>
      <c r="K39" s="315"/>
      <c r="L39" s="133"/>
      <c r="M39" s="311"/>
      <c r="N39" s="311"/>
      <c r="O39" s="311"/>
      <c r="P39" s="311"/>
      <c r="Q39" s="311"/>
      <c r="R39" s="311"/>
      <c r="S39" s="315"/>
      <c r="T39" s="315"/>
      <c r="U39" s="315"/>
      <c r="V39" s="315"/>
      <c r="W39" s="315"/>
      <c r="X39" s="315"/>
      <c r="Y39" s="315"/>
      <c r="Z39" s="315"/>
      <c r="AA39" s="315"/>
      <c r="AB39" s="317"/>
      <c r="AC39" s="318"/>
      <c r="AD39" s="312"/>
      <c r="AE39" s="132"/>
      <c r="AF39" s="315"/>
      <c r="AG39" s="315"/>
      <c r="AH39" s="315"/>
      <c r="AI39" s="315"/>
      <c r="AJ39" s="315"/>
      <c r="AK39" s="315"/>
      <c r="AL39" s="315"/>
      <c r="AM39" s="315"/>
      <c r="AN39" s="315"/>
      <c r="AO39" s="315"/>
      <c r="AP39" s="315"/>
      <c r="AQ39" s="315"/>
      <c r="AR39" s="315"/>
      <c r="AS39" s="315"/>
      <c r="AT39" s="315"/>
      <c r="AU39" s="315"/>
    </row>
    <row r="40" spans="1:58" x14ac:dyDescent="0.35">
      <c r="A40" s="131"/>
      <c r="B40" s="131"/>
      <c r="C40" s="131"/>
      <c r="D40" s="131"/>
      <c r="E40" s="131"/>
      <c r="F40" s="109"/>
      <c r="G40" s="131"/>
      <c r="H40" s="100"/>
      <c r="I40" s="309"/>
      <c r="J40" s="128"/>
      <c r="K40" s="315"/>
      <c r="L40" s="133"/>
      <c r="M40" s="311"/>
      <c r="N40" s="311"/>
      <c r="O40" s="311"/>
      <c r="P40" s="311"/>
      <c r="Q40" s="311"/>
      <c r="R40" s="311"/>
      <c r="S40" s="315"/>
      <c r="T40" s="315"/>
      <c r="U40" s="315"/>
      <c r="V40" s="315"/>
      <c r="W40" s="315"/>
      <c r="X40" s="315"/>
      <c r="Y40" s="315"/>
      <c r="Z40" s="315"/>
      <c r="AA40" s="315"/>
      <c r="AB40" s="317"/>
      <c r="AC40" s="318"/>
      <c r="AD40" s="312"/>
      <c r="AE40" s="132"/>
      <c r="AF40" s="315"/>
      <c r="AG40" s="315"/>
      <c r="AH40" s="315"/>
      <c r="AI40" s="315"/>
      <c r="AJ40" s="315"/>
      <c r="AK40" s="315"/>
      <c r="AL40" s="315"/>
      <c r="AM40" s="315"/>
      <c r="AN40" s="315"/>
      <c r="AO40" s="315"/>
      <c r="AP40" s="315"/>
      <c r="AQ40" s="315"/>
      <c r="AR40" s="315"/>
      <c r="AS40" s="315"/>
      <c r="AT40" s="315"/>
      <c r="AU40" s="315"/>
    </row>
    <row r="41" spans="1:58" x14ac:dyDescent="0.35">
      <c r="A41" s="131"/>
      <c r="B41" s="131"/>
      <c r="C41" s="131"/>
      <c r="D41" s="131"/>
      <c r="E41" s="131"/>
      <c r="F41" s="109"/>
      <c r="G41" s="131"/>
      <c r="H41" s="100"/>
      <c r="I41" s="309"/>
      <c r="J41" s="128"/>
      <c r="K41" s="315"/>
      <c r="L41" s="133"/>
      <c r="M41" s="311"/>
      <c r="N41" s="311"/>
      <c r="O41" s="311"/>
      <c r="P41" s="311"/>
      <c r="Q41" s="311"/>
      <c r="R41" s="311"/>
      <c r="S41" s="315"/>
      <c r="T41" s="315"/>
      <c r="U41" s="315"/>
      <c r="V41" s="315"/>
      <c r="W41" s="315"/>
      <c r="X41" s="315"/>
      <c r="Y41" s="315"/>
      <c r="Z41" s="315"/>
      <c r="AA41" s="315"/>
      <c r="AB41" s="317"/>
      <c r="AC41" s="318"/>
      <c r="AD41" s="312"/>
      <c r="AE41" s="132"/>
      <c r="AF41" s="315"/>
      <c r="AG41" s="315"/>
      <c r="AH41" s="315"/>
      <c r="AI41" s="315"/>
      <c r="AJ41" s="315"/>
      <c r="AK41" s="315"/>
      <c r="AL41" s="315"/>
      <c r="AM41" s="315"/>
      <c r="AN41" s="315"/>
      <c r="AO41" s="315"/>
      <c r="AP41" s="315"/>
      <c r="AQ41" s="315"/>
      <c r="AR41" s="315"/>
      <c r="AS41" s="315"/>
      <c r="AT41" s="315"/>
      <c r="AU41" s="315"/>
    </row>
    <row r="42" spans="1:58" x14ac:dyDescent="0.35">
      <c r="A42" s="131"/>
      <c r="B42" s="131"/>
      <c r="C42" s="131"/>
      <c r="D42" s="131"/>
      <c r="E42" s="131"/>
      <c r="F42" s="109"/>
      <c r="G42" s="131"/>
      <c r="H42" s="100"/>
      <c r="I42" s="309"/>
      <c r="J42" s="128"/>
      <c r="K42" s="315"/>
      <c r="L42" s="133"/>
      <c r="M42" s="311"/>
      <c r="N42" s="311"/>
      <c r="O42" s="311"/>
      <c r="P42" s="311"/>
      <c r="Q42" s="311"/>
      <c r="R42" s="311"/>
      <c r="S42" s="315"/>
      <c r="T42" s="315"/>
      <c r="U42" s="315"/>
      <c r="V42" s="315"/>
      <c r="W42" s="315"/>
      <c r="X42" s="315"/>
      <c r="Y42" s="315"/>
      <c r="Z42" s="315"/>
      <c r="AA42" s="315"/>
      <c r="AB42" s="317"/>
      <c r="AC42" s="318"/>
      <c r="AD42" s="312"/>
      <c r="AE42" s="132"/>
      <c r="AF42" s="315"/>
      <c r="AG42" s="315"/>
      <c r="AH42" s="315"/>
      <c r="AI42" s="315"/>
      <c r="AJ42" s="315"/>
      <c r="AK42" s="315"/>
      <c r="AL42" s="315"/>
      <c r="AM42" s="315"/>
      <c r="AN42" s="315"/>
      <c r="AO42" s="315"/>
      <c r="AP42" s="315"/>
      <c r="AQ42" s="315"/>
      <c r="AR42" s="315"/>
      <c r="AS42" s="315"/>
      <c r="AT42" s="315"/>
      <c r="AU42" s="315"/>
    </row>
    <row r="43" spans="1:58" x14ac:dyDescent="0.35">
      <c r="A43" s="131"/>
      <c r="B43" s="131"/>
      <c r="C43" s="131"/>
      <c r="D43" s="131"/>
      <c r="E43" s="131"/>
      <c r="F43" s="109"/>
      <c r="G43" s="131"/>
      <c r="H43" s="100"/>
      <c r="I43" s="309"/>
      <c r="J43" s="128"/>
      <c r="K43" s="315"/>
      <c r="L43" s="133"/>
      <c r="M43" s="311"/>
      <c r="N43" s="311"/>
      <c r="O43" s="311"/>
      <c r="P43" s="311"/>
      <c r="Q43" s="311"/>
      <c r="R43" s="311"/>
      <c r="S43" s="315"/>
      <c r="T43" s="315"/>
      <c r="U43" s="315"/>
      <c r="V43" s="315"/>
      <c r="W43" s="315"/>
      <c r="X43" s="315"/>
      <c r="Y43" s="315"/>
      <c r="Z43" s="315"/>
      <c r="AA43" s="315"/>
      <c r="AB43" s="317"/>
      <c r="AC43" s="318"/>
      <c r="AD43" s="312"/>
      <c r="AE43" s="132"/>
      <c r="AF43" s="315"/>
      <c r="AG43" s="315"/>
      <c r="AH43" s="315"/>
      <c r="AI43" s="315"/>
      <c r="AJ43" s="315"/>
      <c r="AK43" s="315"/>
      <c r="AL43" s="315"/>
      <c r="AM43" s="315"/>
      <c r="AN43" s="315"/>
      <c r="AO43" s="315"/>
      <c r="AP43" s="315"/>
      <c r="AQ43" s="315"/>
      <c r="AR43" s="315"/>
      <c r="AS43" s="315"/>
      <c r="AT43" s="315"/>
      <c r="AU43" s="315"/>
    </row>
    <row r="44" spans="1:58" s="100" customFormat="1" x14ac:dyDescent="0.35">
      <c r="A44" s="131"/>
      <c r="B44" s="128"/>
      <c r="C44" s="128"/>
      <c r="D44" s="128"/>
      <c r="E44" s="132"/>
      <c r="G44" s="133"/>
      <c r="I44" s="309"/>
      <c r="J44" s="128"/>
      <c r="K44" s="315"/>
      <c r="L44" s="133"/>
      <c r="M44" s="311"/>
      <c r="N44" s="311"/>
      <c r="O44" s="311"/>
      <c r="P44" s="311"/>
      <c r="Q44" s="311"/>
      <c r="R44" s="311"/>
      <c r="S44" s="315"/>
      <c r="T44" s="315"/>
      <c r="U44" s="315"/>
      <c r="V44" s="315"/>
      <c r="W44" s="315"/>
      <c r="X44" s="315"/>
      <c r="Y44" s="315"/>
      <c r="Z44" s="315"/>
      <c r="AA44" s="315"/>
      <c r="AB44" s="317"/>
      <c r="AC44" s="318"/>
      <c r="AD44" s="312"/>
      <c r="AE44" s="132"/>
      <c r="AF44" s="315"/>
      <c r="AG44" s="315"/>
      <c r="AH44" s="315"/>
      <c r="AI44" s="315"/>
      <c r="AJ44" s="315"/>
      <c r="AK44" s="315"/>
      <c r="AL44" s="315"/>
      <c r="AM44" s="315"/>
      <c r="AN44" s="315"/>
      <c r="AO44" s="315"/>
      <c r="AP44" s="315"/>
      <c r="AQ44" s="315"/>
      <c r="AR44" s="315"/>
      <c r="AS44" s="315"/>
      <c r="AT44" s="315"/>
      <c r="AU44" s="315"/>
      <c r="AV44" s="136"/>
      <c r="AW44" s="136"/>
      <c r="AX44" s="136"/>
      <c r="AY44" s="136"/>
      <c r="AZ44" s="136"/>
      <c r="BA44" s="136"/>
      <c r="BB44" s="136"/>
      <c r="BC44" s="136"/>
      <c r="BD44" s="136"/>
      <c r="BE44" s="136"/>
      <c r="BF44" s="136"/>
    </row>
    <row r="45" spans="1:58" s="100" customFormat="1" x14ac:dyDescent="0.35">
      <c r="A45" s="131"/>
      <c r="B45" s="128"/>
      <c r="C45" s="128"/>
      <c r="D45" s="128"/>
      <c r="E45" s="132"/>
      <c r="G45" s="133"/>
      <c r="I45" s="309"/>
      <c r="J45" s="128"/>
      <c r="K45" s="315"/>
      <c r="L45" s="133"/>
      <c r="M45" s="311"/>
      <c r="N45" s="311"/>
      <c r="O45" s="311"/>
      <c r="P45" s="311"/>
      <c r="Q45" s="311"/>
      <c r="R45" s="311"/>
      <c r="S45" s="315"/>
      <c r="T45" s="315"/>
      <c r="U45" s="315"/>
      <c r="V45" s="315"/>
      <c r="W45" s="315"/>
      <c r="X45" s="315"/>
      <c r="Y45" s="315"/>
      <c r="Z45" s="315"/>
      <c r="AA45" s="315"/>
      <c r="AB45" s="317"/>
      <c r="AC45" s="318"/>
      <c r="AD45" s="312"/>
      <c r="AE45" s="132"/>
      <c r="AF45" s="315"/>
      <c r="AG45" s="315"/>
      <c r="AH45" s="315"/>
      <c r="AI45" s="315"/>
      <c r="AJ45" s="315"/>
      <c r="AK45" s="315"/>
      <c r="AL45" s="315"/>
      <c r="AM45" s="315"/>
      <c r="AN45" s="315"/>
      <c r="AO45" s="315"/>
      <c r="AP45" s="315"/>
      <c r="AQ45" s="315"/>
      <c r="AR45" s="315"/>
      <c r="AS45" s="315"/>
      <c r="AT45" s="315"/>
      <c r="AU45" s="315"/>
      <c r="AV45" s="136"/>
      <c r="AW45" s="136"/>
      <c r="AX45" s="136"/>
      <c r="AY45" s="136"/>
      <c r="AZ45" s="136"/>
      <c r="BA45" s="136"/>
      <c r="BB45" s="136"/>
      <c r="BC45" s="136"/>
      <c r="BD45" s="136"/>
      <c r="BE45" s="136"/>
      <c r="BF45" s="136"/>
    </row>
    <row r="46" spans="1:58" s="100" customFormat="1" x14ac:dyDescent="0.35">
      <c r="A46" s="131"/>
      <c r="B46" s="128"/>
      <c r="C46" s="128"/>
      <c r="D46" s="128"/>
      <c r="E46" s="132"/>
      <c r="G46" s="133"/>
      <c r="I46" s="309"/>
      <c r="J46" s="128"/>
      <c r="K46" s="315"/>
      <c r="L46" s="133"/>
      <c r="M46" s="311"/>
      <c r="N46" s="311"/>
      <c r="O46" s="311"/>
      <c r="P46" s="311"/>
      <c r="Q46" s="311"/>
      <c r="R46" s="311"/>
      <c r="S46" s="315"/>
      <c r="T46" s="315"/>
      <c r="U46" s="315"/>
      <c r="V46" s="315"/>
      <c r="W46" s="315"/>
      <c r="X46" s="315"/>
      <c r="Y46" s="315"/>
      <c r="Z46" s="315"/>
      <c r="AA46" s="315"/>
      <c r="AB46" s="317"/>
      <c r="AC46" s="318"/>
      <c r="AD46" s="312"/>
      <c r="AE46" s="132"/>
      <c r="AF46" s="315"/>
      <c r="AG46" s="315"/>
      <c r="AH46" s="315"/>
      <c r="AI46" s="315"/>
      <c r="AJ46" s="315"/>
      <c r="AK46" s="315"/>
      <c r="AL46" s="315"/>
      <c r="AM46" s="315"/>
      <c r="AN46" s="315"/>
      <c r="AO46" s="315"/>
      <c r="AP46" s="315"/>
      <c r="AQ46" s="315"/>
      <c r="AR46" s="315"/>
      <c r="AS46" s="315"/>
      <c r="AT46" s="315"/>
      <c r="AU46" s="315"/>
      <c r="AV46" s="136"/>
      <c r="AW46" s="136"/>
      <c r="AX46" s="136"/>
      <c r="AY46" s="136"/>
      <c r="AZ46" s="136"/>
      <c r="BA46" s="136"/>
      <c r="BB46" s="136"/>
      <c r="BC46" s="136"/>
      <c r="BD46" s="136"/>
      <c r="BE46" s="136"/>
      <c r="BF46" s="136"/>
    </row>
    <row r="47" spans="1:58" s="100" customFormat="1" x14ac:dyDescent="0.35">
      <c r="A47" s="131"/>
      <c r="B47" s="128"/>
      <c r="C47" s="128"/>
      <c r="D47" s="128"/>
      <c r="E47" s="132"/>
      <c r="G47" s="133"/>
      <c r="I47" s="309"/>
      <c r="J47" s="128"/>
      <c r="K47" s="315"/>
      <c r="L47" s="133"/>
      <c r="M47" s="311"/>
      <c r="N47" s="311"/>
      <c r="O47" s="311"/>
      <c r="P47" s="311"/>
      <c r="Q47" s="311"/>
      <c r="R47" s="311"/>
      <c r="S47" s="315"/>
      <c r="T47" s="315"/>
      <c r="U47" s="315"/>
      <c r="V47" s="315"/>
      <c r="W47" s="315"/>
      <c r="X47" s="315"/>
      <c r="Y47" s="315"/>
      <c r="Z47" s="315"/>
      <c r="AA47" s="315"/>
      <c r="AB47" s="317"/>
      <c r="AC47" s="318"/>
      <c r="AD47" s="312"/>
      <c r="AE47" s="132"/>
      <c r="AF47" s="315"/>
      <c r="AG47" s="315"/>
      <c r="AH47" s="315"/>
      <c r="AI47" s="315"/>
      <c r="AJ47" s="315"/>
      <c r="AK47" s="315"/>
      <c r="AL47" s="315"/>
      <c r="AM47" s="315"/>
      <c r="AN47" s="315"/>
      <c r="AO47" s="315"/>
      <c r="AP47" s="315"/>
      <c r="AQ47" s="315"/>
      <c r="AR47" s="315"/>
      <c r="AS47" s="315"/>
      <c r="AT47" s="315"/>
      <c r="AU47" s="315"/>
      <c r="AV47" s="136"/>
      <c r="AW47" s="136"/>
      <c r="AX47" s="136"/>
      <c r="AY47" s="136"/>
      <c r="AZ47" s="136"/>
      <c r="BA47" s="136"/>
      <c r="BB47" s="136"/>
      <c r="BC47" s="136"/>
      <c r="BD47" s="136"/>
      <c r="BE47" s="136"/>
      <c r="BF47" s="136"/>
    </row>
    <row r="48" spans="1:58" s="100" customFormat="1" x14ac:dyDescent="0.35">
      <c r="A48" s="131"/>
      <c r="B48" s="128"/>
      <c r="C48" s="128"/>
      <c r="D48" s="128"/>
      <c r="E48" s="132"/>
      <c r="G48" s="133"/>
      <c r="I48" s="309"/>
      <c r="J48" s="128"/>
      <c r="K48" s="315"/>
      <c r="L48" s="133"/>
      <c r="M48" s="311"/>
      <c r="N48" s="311"/>
      <c r="O48" s="311"/>
      <c r="P48" s="311"/>
      <c r="Q48" s="311"/>
      <c r="R48" s="311"/>
      <c r="S48" s="315"/>
      <c r="T48" s="315"/>
      <c r="U48" s="315"/>
      <c r="V48" s="315"/>
      <c r="W48" s="315"/>
      <c r="X48" s="315"/>
      <c r="Y48" s="315"/>
      <c r="Z48" s="315"/>
      <c r="AA48" s="315"/>
      <c r="AB48" s="317"/>
      <c r="AC48" s="318"/>
      <c r="AD48" s="312"/>
      <c r="AE48" s="132"/>
      <c r="AF48" s="315"/>
      <c r="AG48" s="315"/>
      <c r="AH48" s="315"/>
      <c r="AI48" s="315"/>
      <c r="AJ48" s="315"/>
      <c r="AK48" s="315"/>
      <c r="AL48" s="315"/>
      <c r="AM48" s="315"/>
      <c r="AN48" s="315"/>
      <c r="AO48" s="315"/>
      <c r="AP48" s="315"/>
      <c r="AQ48" s="315"/>
      <c r="AR48" s="315"/>
      <c r="AS48" s="315"/>
      <c r="AT48" s="315"/>
      <c r="AU48" s="315"/>
      <c r="AV48" s="136"/>
      <c r="AW48" s="136"/>
      <c r="AX48" s="136"/>
      <c r="AY48" s="136"/>
      <c r="AZ48" s="136"/>
      <c r="BA48" s="136"/>
      <c r="BB48" s="136"/>
      <c r="BC48" s="136"/>
      <c r="BD48" s="136"/>
      <c r="BE48" s="136"/>
      <c r="BF48" s="136"/>
    </row>
    <row r="49" spans="1:58" s="100" customFormat="1" x14ac:dyDescent="0.35">
      <c r="A49" s="131"/>
      <c r="B49" s="128"/>
      <c r="C49" s="128"/>
      <c r="D49" s="128"/>
      <c r="E49" s="132"/>
      <c r="G49" s="133"/>
      <c r="I49" s="309"/>
      <c r="J49" s="128"/>
      <c r="K49" s="315"/>
      <c r="L49" s="133"/>
      <c r="M49" s="311"/>
      <c r="N49" s="311"/>
      <c r="O49" s="311"/>
      <c r="P49" s="311"/>
      <c r="Q49" s="311"/>
      <c r="R49" s="311"/>
      <c r="S49" s="315"/>
      <c r="T49" s="315"/>
      <c r="U49" s="315"/>
      <c r="V49" s="315"/>
      <c r="W49" s="315"/>
      <c r="X49" s="315"/>
      <c r="Y49" s="315"/>
      <c r="Z49" s="315"/>
      <c r="AA49" s="315"/>
      <c r="AB49" s="317"/>
      <c r="AC49" s="318"/>
      <c r="AD49" s="312"/>
      <c r="AE49" s="132"/>
      <c r="AF49" s="315"/>
      <c r="AG49" s="315"/>
      <c r="AH49" s="315"/>
      <c r="AI49" s="315"/>
      <c r="AJ49" s="315"/>
      <c r="AK49" s="315"/>
      <c r="AL49" s="315"/>
      <c r="AM49" s="315"/>
      <c r="AN49" s="315"/>
      <c r="AO49" s="315"/>
      <c r="AP49" s="315"/>
      <c r="AQ49" s="315"/>
      <c r="AR49" s="315"/>
      <c r="AS49" s="315"/>
      <c r="AT49" s="315"/>
      <c r="AU49" s="315"/>
      <c r="AV49" s="136"/>
      <c r="AW49" s="136"/>
      <c r="AX49" s="136"/>
      <c r="AY49" s="136"/>
      <c r="AZ49" s="136"/>
      <c r="BA49" s="136"/>
      <c r="BB49" s="136"/>
      <c r="BC49" s="136"/>
      <c r="BD49" s="136"/>
      <c r="BE49" s="136"/>
      <c r="BF49" s="136"/>
    </row>
    <row r="50" spans="1:58" s="100" customFormat="1" x14ac:dyDescent="0.35">
      <c r="A50" s="131"/>
      <c r="B50" s="128"/>
      <c r="C50" s="128"/>
      <c r="D50" s="128"/>
      <c r="E50" s="132"/>
      <c r="G50" s="133"/>
      <c r="I50" s="309"/>
      <c r="J50" s="128"/>
      <c r="K50" s="315"/>
      <c r="L50" s="133"/>
      <c r="M50" s="311"/>
      <c r="N50" s="311"/>
      <c r="O50" s="311"/>
      <c r="P50" s="311"/>
      <c r="Q50" s="311"/>
      <c r="R50" s="311"/>
      <c r="S50" s="315"/>
      <c r="T50" s="315"/>
      <c r="U50" s="315"/>
      <c r="V50" s="315"/>
      <c r="W50" s="315"/>
      <c r="X50" s="315"/>
      <c r="Y50" s="315"/>
      <c r="Z50" s="315"/>
      <c r="AA50" s="315"/>
      <c r="AB50" s="317"/>
      <c r="AC50" s="318"/>
      <c r="AD50" s="312"/>
      <c r="AE50" s="132"/>
      <c r="AF50" s="315"/>
      <c r="AG50" s="315"/>
      <c r="AH50" s="315"/>
      <c r="AI50" s="315"/>
      <c r="AJ50" s="315"/>
      <c r="AK50" s="315"/>
      <c r="AL50" s="315"/>
      <c r="AM50" s="315"/>
      <c r="AN50" s="315"/>
      <c r="AO50" s="315"/>
      <c r="AP50" s="315"/>
      <c r="AQ50" s="315"/>
      <c r="AR50" s="315"/>
      <c r="AS50" s="315"/>
      <c r="AT50" s="315"/>
      <c r="AU50" s="315"/>
      <c r="AV50" s="136"/>
      <c r="AW50" s="136"/>
      <c r="AX50" s="136"/>
      <c r="AY50" s="136"/>
      <c r="AZ50" s="136"/>
      <c r="BA50" s="136"/>
      <c r="BB50" s="136"/>
      <c r="BC50" s="136"/>
      <c r="BD50" s="136"/>
      <c r="BE50" s="136"/>
      <c r="BF50" s="136"/>
    </row>
    <row r="51" spans="1:58" s="100" customFormat="1" x14ac:dyDescent="0.35">
      <c r="A51" s="131"/>
      <c r="B51" s="128"/>
      <c r="C51" s="128"/>
      <c r="D51" s="128"/>
      <c r="E51" s="132"/>
      <c r="G51" s="133"/>
      <c r="I51" s="309"/>
      <c r="J51" s="128"/>
      <c r="K51" s="315"/>
      <c r="L51" s="133"/>
      <c r="M51" s="311"/>
      <c r="N51" s="311"/>
      <c r="O51" s="311"/>
      <c r="P51" s="311"/>
      <c r="Q51" s="311"/>
      <c r="R51" s="311"/>
      <c r="S51" s="315"/>
      <c r="T51" s="315"/>
      <c r="U51" s="315"/>
      <c r="V51" s="315"/>
      <c r="W51" s="315"/>
      <c r="X51" s="315"/>
      <c r="Y51" s="315"/>
      <c r="Z51" s="315"/>
      <c r="AA51" s="315"/>
      <c r="AB51" s="317"/>
      <c r="AC51" s="318"/>
      <c r="AD51" s="312"/>
      <c r="AE51" s="132"/>
      <c r="AF51" s="315"/>
      <c r="AG51" s="315"/>
      <c r="AH51" s="315"/>
      <c r="AI51" s="315"/>
      <c r="AJ51" s="315"/>
      <c r="AK51" s="315"/>
      <c r="AL51" s="315"/>
      <c r="AM51" s="315"/>
      <c r="AN51" s="315"/>
      <c r="AO51" s="315"/>
      <c r="AP51" s="315"/>
      <c r="AQ51" s="315"/>
      <c r="AR51" s="315"/>
      <c r="AS51" s="315"/>
      <c r="AT51" s="315"/>
      <c r="AU51" s="315"/>
      <c r="AV51" s="136"/>
      <c r="AW51" s="136"/>
      <c r="AX51" s="136"/>
      <c r="AY51" s="136"/>
      <c r="AZ51" s="136"/>
      <c r="BA51" s="136"/>
      <c r="BB51" s="136"/>
      <c r="BC51" s="136"/>
      <c r="BD51" s="136"/>
      <c r="BE51" s="136"/>
      <c r="BF51" s="136"/>
    </row>
    <row r="52" spans="1:58" s="100" customFormat="1" x14ac:dyDescent="0.35">
      <c r="A52" s="131"/>
      <c r="B52" s="128"/>
      <c r="C52" s="128"/>
      <c r="D52" s="128"/>
      <c r="E52" s="132"/>
      <c r="G52" s="133"/>
      <c r="I52" s="309"/>
      <c r="J52" s="128"/>
      <c r="K52" s="315"/>
      <c r="L52" s="133"/>
      <c r="M52" s="311"/>
      <c r="N52" s="311"/>
      <c r="O52" s="311"/>
      <c r="P52" s="311"/>
      <c r="Q52" s="311"/>
      <c r="R52" s="311"/>
      <c r="S52" s="315"/>
      <c r="T52" s="315"/>
      <c r="U52" s="315"/>
      <c r="V52" s="315"/>
      <c r="W52" s="315"/>
      <c r="X52" s="315"/>
      <c r="Y52" s="315"/>
      <c r="Z52" s="315"/>
      <c r="AA52" s="315"/>
      <c r="AB52" s="317"/>
      <c r="AC52" s="318"/>
      <c r="AD52" s="312"/>
      <c r="AE52" s="132"/>
      <c r="AF52" s="315"/>
      <c r="AG52" s="315"/>
      <c r="AH52" s="315"/>
      <c r="AI52" s="315"/>
      <c r="AJ52" s="315"/>
      <c r="AK52" s="315"/>
      <c r="AL52" s="315"/>
      <c r="AM52" s="315"/>
      <c r="AN52" s="315"/>
      <c r="AO52" s="315"/>
      <c r="AP52" s="315"/>
      <c r="AQ52" s="315"/>
      <c r="AR52" s="315"/>
      <c r="AS52" s="315"/>
      <c r="AT52" s="315"/>
      <c r="AU52" s="315"/>
      <c r="AV52" s="136"/>
      <c r="AW52" s="136"/>
      <c r="AX52" s="136"/>
      <c r="AY52" s="136"/>
      <c r="AZ52" s="136"/>
      <c r="BA52" s="136"/>
      <c r="BB52" s="136"/>
      <c r="BC52" s="136"/>
      <c r="BD52" s="136"/>
      <c r="BE52" s="136"/>
      <c r="BF52" s="136"/>
    </row>
    <row r="53" spans="1:58" s="100" customFormat="1" x14ac:dyDescent="0.35">
      <c r="A53" s="131"/>
      <c r="B53" s="128"/>
      <c r="C53" s="128"/>
      <c r="D53" s="128"/>
      <c r="E53" s="132"/>
      <c r="G53" s="133"/>
      <c r="I53" s="309"/>
      <c r="J53" s="128"/>
      <c r="K53" s="315"/>
      <c r="L53" s="133"/>
      <c r="M53" s="311"/>
      <c r="N53" s="311"/>
      <c r="O53" s="311"/>
      <c r="P53" s="311"/>
      <c r="Q53" s="311"/>
      <c r="R53" s="311"/>
      <c r="S53" s="315"/>
      <c r="T53" s="315"/>
      <c r="U53" s="315"/>
      <c r="V53" s="315"/>
      <c r="W53" s="315"/>
      <c r="X53" s="315"/>
      <c r="Y53" s="315"/>
      <c r="Z53" s="315"/>
      <c r="AA53" s="315"/>
      <c r="AB53" s="317"/>
      <c r="AC53" s="318"/>
      <c r="AD53" s="312"/>
      <c r="AE53" s="132"/>
      <c r="AF53" s="315"/>
      <c r="AG53" s="315"/>
      <c r="AH53" s="315"/>
      <c r="AI53" s="315"/>
      <c r="AJ53" s="315"/>
      <c r="AK53" s="315"/>
      <c r="AL53" s="315"/>
      <c r="AM53" s="315"/>
      <c r="AN53" s="315"/>
      <c r="AO53" s="315"/>
      <c r="AP53" s="315"/>
      <c r="AQ53" s="315"/>
      <c r="AR53" s="315"/>
      <c r="AS53" s="315"/>
      <c r="AT53" s="315"/>
      <c r="AU53" s="315"/>
      <c r="AV53" s="136"/>
      <c r="AW53" s="136"/>
      <c r="AX53" s="136"/>
      <c r="AY53" s="136"/>
      <c r="AZ53" s="136"/>
      <c r="BA53" s="136"/>
      <c r="BB53" s="136"/>
      <c r="BC53" s="136"/>
      <c r="BD53" s="136"/>
      <c r="BE53" s="136"/>
      <c r="BF53" s="136"/>
    </row>
    <row r="54" spans="1:58" s="100" customFormat="1" x14ac:dyDescent="0.35">
      <c r="F54" s="133"/>
      <c r="G54" s="133"/>
      <c r="Q54" s="313"/>
      <c r="R54" s="313"/>
      <c r="S54" s="311"/>
      <c r="T54" s="315"/>
      <c r="U54" s="315"/>
      <c r="V54" s="315"/>
      <c r="W54" s="315"/>
      <c r="X54" s="315"/>
      <c r="Y54" s="315"/>
      <c r="Z54" s="315"/>
      <c r="AA54" s="315"/>
      <c r="AD54" s="133"/>
      <c r="AE54" s="133"/>
      <c r="AF54" s="315"/>
      <c r="AG54" s="315"/>
      <c r="AH54" s="315"/>
      <c r="AI54" s="315"/>
      <c r="AJ54" s="315"/>
      <c r="AK54" s="315"/>
      <c r="AL54" s="315"/>
      <c r="AM54" s="315"/>
      <c r="AN54" s="315"/>
      <c r="AO54" s="315"/>
      <c r="AP54" s="315"/>
      <c r="AQ54" s="315"/>
      <c r="AR54" s="315"/>
      <c r="AS54" s="315"/>
      <c r="AT54" s="315"/>
      <c r="AU54" s="315"/>
      <c r="AV54" s="136"/>
      <c r="AW54" s="136"/>
      <c r="AX54" s="136"/>
      <c r="AY54" s="136"/>
      <c r="AZ54" s="136"/>
      <c r="BA54" s="136"/>
      <c r="BB54" s="136"/>
      <c r="BC54" s="136"/>
      <c r="BD54" s="136"/>
      <c r="BE54" s="136"/>
      <c r="BF54" s="136"/>
    </row>
    <row r="55" spans="1:58" s="100" customFormat="1" x14ac:dyDescent="0.35">
      <c r="B55" s="128"/>
      <c r="C55" s="102"/>
      <c r="D55" s="128"/>
      <c r="E55" s="128"/>
      <c r="G55" s="133"/>
      <c r="L55" s="313"/>
      <c r="Q55" s="313"/>
      <c r="R55" s="314"/>
      <c r="S55" s="311"/>
      <c r="T55" s="315"/>
      <c r="U55" s="315"/>
      <c r="V55" s="315"/>
      <c r="W55" s="315"/>
      <c r="X55" s="315"/>
      <c r="Y55" s="315"/>
      <c r="Z55" s="315"/>
      <c r="AA55" s="315"/>
      <c r="AB55" s="128"/>
      <c r="AC55" s="128"/>
      <c r="AD55" s="133"/>
      <c r="AE55" s="133"/>
      <c r="AF55" s="315"/>
      <c r="AG55" s="315"/>
      <c r="AH55" s="315"/>
      <c r="AI55" s="315"/>
      <c r="AJ55" s="315"/>
      <c r="AK55" s="315"/>
      <c r="AL55" s="315"/>
      <c r="AM55" s="315"/>
      <c r="AN55" s="315"/>
      <c r="AO55" s="315"/>
      <c r="AP55" s="315"/>
      <c r="AQ55" s="315"/>
      <c r="AR55" s="315"/>
      <c r="AS55" s="315"/>
      <c r="AT55" s="315"/>
      <c r="AU55" s="315"/>
      <c r="AV55" s="136"/>
      <c r="AW55" s="136"/>
      <c r="AX55" s="136"/>
      <c r="AY55" s="136"/>
      <c r="AZ55" s="136"/>
      <c r="BA55" s="136"/>
      <c r="BB55" s="136"/>
      <c r="BC55" s="136"/>
      <c r="BD55" s="136"/>
      <c r="BE55" s="136"/>
      <c r="BF55" s="136"/>
    </row>
    <row r="56" spans="1:58" s="100" customFormat="1" x14ac:dyDescent="0.35">
      <c r="B56" s="128"/>
      <c r="C56" s="102"/>
      <c r="D56" s="128"/>
      <c r="E56" s="128"/>
      <c r="G56" s="133"/>
      <c r="L56" s="313"/>
      <c r="Q56" s="313"/>
      <c r="R56" s="314"/>
      <c r="S56" s="311"/>
      <c r="T56" s="315"/>
      <c r="U56" s="315"/>
      <c r="V56" s="315"/>
      <c r="W56" s="315"/>
      <c r="X56" s="315"/>
      <c r="Y56" s="315"/>
      <c r="Z56" s="315"/>
      <c r="AA56" s="315"/>
      <c r="AB56" s="128"/>
      <c r="AC56" s="128"/>
      <c r="AD56" s="133"/>
      <c r="AE56" s="133"/>
      <c r="AF56" s="315"/>
      <c r="AG56" s="315"/>
      <c r="AH56" s="315"/>
      <c r="AI56" s="315"/>
      <c r="AJ56" s="315"/>
      <c r="AK56" s="315"/>
      <c r="AL56" s="315"/>
      <c r="AM56" s="315"/>
      <c r="AN56" s="315"/>
      <c r="AO56" s="315"/>
      <c r="AP56" s="315"/>
      <c r="AQ56" s="315"/>
      <c r="AR56" s="315"/>
      <c r="AS56" s="315"/>
      <c r="AT56" s="315"/>
      <c r="AU56" s="315"/>
      <c r="AV56" s="136"/>
      <c r="AW56" s="136"/>
      <c r="AX56" s="136"/>
      <c r="AY56" s="136"/>
      <c r="AZ56" s="136"/>
      <c r="BA56" s="136"/>
      <c r="BB56" s="136"/>
      <c r="BC56" s="136"/>
      <c r="BD56" s="136"/>
      <c r="BE56" s="136"/>
      <c r="BF56" s="136"/>
    </row>
    <row r="57" spans="1:58" s="100" customFormat="1" x14ac:dyDescent="0.35">
      <c r="B57" s="128"/>
      <c r="C57" s="102"/>
      <c r="D57" s="128"/>
      <c r="E57" s="128"/>
      <c r="G57" s="133"/>
      <c r="L57" s="313"/>
      <c r="N57" s="314"/>
      <c r="O57" s="314"/>
      <c r="Q57" s="313"/>
      <c r="R57" s="314"/>
      <c r="S57" s="311"/>
      <c r="T57" s="315"/>
      <c r="U57" s="315"/>
      <c r="V57" s="315"/>
      <c r="W57" s="315"/>
      <c r="X57" s="315"/>
      <c r="Y57" s="315"/>
      <c r="Z57" s="315"/>
      <c r="AA57" s="315"/>
      <c r="AB57" s="128"/>
      <c r="AC57" s="128"/>
      <c r="AD57" s="133"/>
      <c r="AE57" s="133"/>
      <c r="AF57" s="315"/>
      <c r="AG57" s="315"/>
      <c r="AH57" s="315"/>
      <c r="AI57" s="315"/>
      <c r="AJ57" s="315"/>
      <c r="AK57" s="315"/>
      <c r="AL57" s="315"/>
      <c r="AM57" s="315"/>
      <c r="AN57" s="315"/>
      <c r="AO57" s="315"/>
      <c r="AP57" s="315"/>
      <c r="AQ57" s="315"/>
      <c r="AR57" s="315"/>
      <c r="AS57" s="315"/>
      <c r="AT57" s="315"/>
      <c r="AU57" s="315"/>
      <c r="AV57" s="136"/>
      <c r="AW57" s="136"/>
      <c r="AX57" s="136"/>
      <c r="AY57" s="136"/>
      <c r="AZ57" s="136"/>
      <c r="BA57" s="136"/>
      <c r="BB57" s="136"/>
      <c r="BC57" s="136"/>
      <c r="BD57" s="136"/>
      <c r="BE57" s="136"/>
      <c r="BF57" s="136"/>
    </row>
    <row r="58" spans="1:58" s="100" customFormat="1" x14ac:dyDescent="0.35">
      <c r="B58" s="128"/>
      <c r="C58" s="102"/>
      <c r="D58" s="128"/>
      <c r="E58" s="128"/>
      <c r="G58" s="133"/>
      <c r="L58" s="313"/>
      <c r="Q58" s="313"/>
      <c r="R58" s="314"/>
      <c r="S58" s="320"/>
      <c r="T58" s="315"/>
      <c r="U58" s="315"/>
      <c r="V58" s="315"/>
      <c r="W58" s="315"/>
      <c r="X58" s="315"/>
      <c r="Y58" s="315"/>
      <c r="Z58" s="315"/>
      <c r="AA58" s="315"/>
      <c r="AB58" s="128"/>
      <c r="AC58" s="128"/>
      <c r="AD58" s="133"/>
      <c r="AE58" s="133"/>
      <c r="AF58" s="315"/>
      <c r="AG58" s="315"/>
      <c r="AH58" s="315"/>
      <c r="AI58" s="315"/>
      <c r="AJ58" s="315"/>
      <c r="AK58" s="315"/>
      <c r="AL58" s="315"/>
      <c r="AM58" s="315"/>
      <c r="AN58" s="315"/>
      <c r="AO58" s="315"/>
      <c r="AP58" s="315"/>
      <c r="AQ58" s="315"/>
      <c r="AR58" s="315"/>
      <c r="AS58" s="315"/>
      <c r="AT58" s="315"/>
      <c r="AU58" s="315"/>
      <c r="AV58" s="136"/>
      <c r="AW58" s="136"/>
      <c r="AX58" s="136"/>
      <c r="AY58" s="136"/>
      <c r="AZ58" s="136"/>
      <c r="BA58" s="136"/>
      <c r="BB58" s="136"/>
      <c r="BC58" s="136"/>
      <c r="BD58" s="136"/>
      <c r="BE58" s="136"/>
      <c r="BF58" s="136"/>
    </row>
    <row r="59" spans="1:58" s="100" customFormat="1" x14ac:dyDescent="0.35">
      <c r="B59" s="128"/>
      <c r="C59" s="102"/>
      <c r="D59" s="128"/>
      <c r="E59" s="128"/>
      <c r="G59" s="133"/>
      <c r="L59" s="313"/>
      <c r="N59" s="314"/>
      <c r="P59" s="314"/>
      <c r="R59" s="314"/>
      <c r="S59" s="311"/>
      <c r="T59" s="315"/>
      <c r="U59" s="315"/>
      <c r="V59" s="315"/>
      <c r="W59" s="315"/>
      <c r="X59" s="315"/>
      <c r="Y59" s="315"/>
      <c r="Z59" s="315"/>
      <c r="AA59" s="315"/>
      <c r="AD59" s="133"/>
      <c r="AE59" s="133"/>
      <c r="AF59" s="315"/>
      <c r="AG59" s="315"/>
      <c r="AH59" s="315"/>
      <c r="AI59" s="315"/>
      <c r="AJ59" s="315"/>
      <c r="AK59" s="315"/>
      <c r="AL59" s="315"/>
      <c r="AM59" s="315"/>
      <c r="AN59" s="315"/>
      <c r="AO59" s="315"/>
      <c r="AP59" s="315"/>
      <c r="AQ59" s="315"/>
      <c r="AR59" s="315"/>
      <c r="AS59" s="315"/>
      <c r="AT59" s="315"/>
      <c r="AU59" s="315"/>
      <c r="AV59" s="136"/>
      <c r="AW59" s="136"/>
      <c r="AX59" s="136"/>
      <c r="AY59" s="136"/>
      <c r="AZ59" s="136"/>
      <c r="BA59" s="136"/>
      <c r="BB59" s="136"/>
      <c r="BC59" s="136"/>
      <c r="BD59" s="136"/>
      <c r="BE59" s="136"/>
      <c r="BF59" s="136"/>
    </row>
    <row r="60" spans="1:58" s="100" customFormat="1" x14ac:dyDescent="0.35">
      <c r="B60" s="128"/>
      <c r="C60" s="102"/>
      <c r="D60" s="128"/>
      <c r="E60" s="128"/>
      <c r="G60" s="133"/>
      <c r="L60" s="313"/>
      <c r="N60" s="314"/>
      <c r="P60" s="314"/>
      <c r="R60" s="314"/>
      <c r="S60" s="311"/>
      <c r="T60" s="315"/>
      <c r="U60" s="315"/>
      <c r="V60" s="315"/>
      <c r="W60" s="315"/>
      <c r="X60" s="315"/>
      <c r="Y60" s="315"/>
      <c r="Z60" s="315"/>
      <c r="AA60" s="315"/>
      <c r="AD60" s="133"/>
      <c r="AE60" s="133"/>
      <c r="AF60" s="315"/>
      <c r="AG60" s="315"/>
      <c r="AH60" s="315"/>
      <c r="AI60" s="315"/>
      <c r="AJ60" s="315"/>
      <c r="AK60" s="315"/>
      <c r="AL60" s="315"/>
      <c r="AM60" s="315"/>
      <c r="AN60" s="315"/>
      <c r="AO60" s="315"/>
      <c r="AP60" s="315"/>
      <c r="AQ60" s="315"/>
      <c r="AR60" s="315"/>
      <c r="AS60" s="315"/>
      <c r="AT60" s="315"/>
      <c r="AU60" s="315"/>
      <c r="AV60" s="136"/>
      <c r="AW60" s="136"/>
      <c r="AX60" s="136"/>
      <c r="AY60" s="136"/>
      <c r="AZ60" s="136"/>
      <c r="BA60" s="136"/>
      <c r="BB60" s="136"/>
      <c r="BC60" s="136"/>
      <c r="BD60" s="136"/>
      <c r="BE60" s="136"/>
      <c r="BF60" s="136"/>
    </row>
    <row r="61" spans="1:58" s="100" customFormat="1" x14ac:dyDescent="0.35">
      <c r="B61" s="128"/>
      <c r="C61" s="102"/>
      <c r="D61" s="128"/>
      <c r="E61" s="128"/>
      <c r="G61" s="133"/>
      <c r="L61" s="131"/>
      <c r="R61" s="118"/>
      <c r="S61" s="311"/>
      <c r="T61" s="315"/>
      <c r="U61" s="315"/>
      <c r="V61" s="315"/>
      <c r="W61" s="315"/>
      <c r="X61" s="315"/>
      <c r="Y61" s="315"/>
      <c r="Z61" s="315"/>
      <c r="AA61" s="315"/>
      <c r="AB61" s="128"/>
      <c r="AC61" s="128"/>
      <c r="AD61" s="133"/>
      <c r="AE61" s="133"/>
      <c r="AF61" s="315"/>
      <c r="AG61" s="315"/>
      <c r="AH61" s="315"/>
      <c r="AI61" s="315"/>
      <c r="AJ61" s="315"/>
      <c r="AK61" s="315"/>
      <c r="AL61" s="315"/>
      <c r="AM61" s="315"/>
      <c r="AN61" s="315"/>
      <c r="AO61" s="315"/>
      <c r="AP61" s="315"/>
      <c r="AQ61" s="315"/>
      <c r="AR61" s="315"/>
      <c r="AS61" s="315"/>
      <c r="AT61" s="315"/>
      <c r="AU61" s="315"/>
      <c r="AV61" s="136"/>
      <c r="AW61" s="136"/>
      <c r="AX61" s="136"/>
      <c r="AY61" s="136"/>
      <c r="AZ61" s="136"/>
      <c r="BA61" s="136"/>
      <c r="BB61" s="136"/>
      <c r="BC61" s="136"/>
      <c r="BD61" s="136"/>
      <c r="BE61" s="136"/>
      <c r="BF61" s="136"/>
    </row>
    <row r="62" spans="1:58" s="100" customFormat="1" x14ac:dyDescent="0.35">
      <c r="B62" s="128"/>
      <c r="C62" s="102"/>
      <c r="D62" s="128"/>
      <c r="E62" s="128"/>
      <c r="G62" s="133"/>
      <c r="L62" s="131"/>
      <c r="P62" s="118"/>
      <c r="R62" s="118"/>
      <c r="S62" s="311"/>
      <c r="T62" s="315"/>
      <c r="U62" s="315"/>
      <c r="V62" s="315"/>
      <c r="W62" s="315"/>
      <c r="X62" s="315"/>
      <c r="Y62" s="315"/>
      <c r="Z62" s="315"/>
      <c r="AA62" s="315"/>
      <c r="AB62" s="128"/>
      <c r="AC62" s="128"/>
      <c r="AD62" s="133"/>
      <c r="AE62" s="133"/>
      <c r="AF62" s="315"/>
      <c r="AG62" s="315"/>
      <c r="AH62" s="315"/>
      <c r="AI62" s="315"/>
      <c r="AJ62" s="315"/>
      <c r="AK62" s="315"/>
      <c r="AL62" s="315"/>
      <c r="AM62" s="315"/>
      <c r="AN62" s="315"/>
      <c r="AO62" s="315"/>
      <c r="AP62" s="315"/>
      <c r="AQ62" s="315"/>
      <c r="AR62" s="315"/>
      <c r="AS62" s="315"/>
      <c r="AT62" s="315"/>
      <c r="AU62" s="315"/>
      <c r="AV62" s="136"/>
      <c r="AW62" s="136"/>
      <c r="AX62" s="136"/>
      <c r="AY62" s="136"/>
      <c r="AZ62" s="136"/>
      <c r="BA62" s="136"/>
      <c r="BB62" s="136"/>
      <c r="BC62" s="136"/>
      <c r="BD62" s="136"/>
      <c r="BE62" s="136"/>
      <c r="BF62" s="136"/>
    </row>
    <row r="63" spans="1:58" s="100" customFormat="1" x14ac:dyDescent="0.35">
      <c r="B63" s="128"/>
      <c r="D63" s="128"/>
      <c r="E63" s="128"/>
      <c r="G63" s="133"/>
      <c r="K63" s="321"/>
      <c r="R63" s="118"/>
      <c r="S63" s="311"/>
      <c r="T63" s="315"/>
      <c r="U63" s="315"/>
      <c r="V63" s="315"/>
      <c r="W63" s="315"/>
      <c r="X63" s="315"/>
      <c r="Y63" s="315"/>
      <c r="Z63" s="315"/>
      <c r="AA63" s="315"/>
      <c r="AB63" s="128"/>
      <c r="AC63" s="128"/>
      <c r="AD63" s="133"/>
      <c r="AE63" s="133"/>
      <c r="AF63" s="315"/>
      <c r="AG63" s="315"/>
      <c r="AH63" s="315"/>
      <c r="AI63" s="315"/>
      <c r="AJ63" s="315"/>
      <c r="AK63" s="315"/>
      <c r="AL63" s="315"/>
      <c r="AM63" s="315"/>
      <c r="AN63" s="315"/>
      <c r="AO63" s="315"/>
      <c r="AP63" s="315"/>
      <c r="AQ63" s="315"/>
      <c r="AR63" s="315"/>
      <c r="AS63" s="315"/>
      <c r="AT63" s="315"/>
      <c r="AU63" s="315"/>
      <c r="AV63" s="136"/>
      <c r="AW63" s="136"/>
      <c r="AX63" s="136"/>
      <c r="AY63" s="136"/>
      <c r="AZ63" s="136"/>
      <c r="BA63" s="136"/>
      <c r="BB63" s="136"/>
      <c r="BC63" s="136"/>
      <c r="BD63" s="136"/>
      <c r="BE63" s="136"/>
      <c r="BF63" s="136"/>
    </row>
    <row r="64" spans="1:58" s="100" customFormat="1" x14ac:dyDescent="0.35">
      <c r="B64" s="128"/>
      <c r="D64" s="128"/>
      <c r="E64" s="128"/>
      <c r="G64" s="133"/>
      <c r="K64" s="321"/>
      <c r="R64" s="118"/>
      <c r="S64" s="311"/>
      <c r="T64" s="315"/>
      <c r="U64" s="315"/>
      <c r="V64" s="315"/>
      <c r="W64" s="315"/>
      <c r="X64" s="315"/>
      <c r="Y64" s="315"/>
      <c r="Z64" s="315"/>
      <c r="AA64" s="315"/>
      <c r="AB64" s="128"/>
      <c r="AC64" s="128"/>
      <c r="AD64" s="133"/>
      <c r="AE64" s="133"/>
      <c r="AF64" s="315"/>
      <c r="AG64" s="315"/>
      <c r="AH64" s="315"/>
      <c r="AI64" s="315"/>
      <c r="AJ64" s="315"/>
      <c r="AK64" s="315"/>
      <c r="AL64" s="315"/>
      <c r="AM64" s="315"/>
      <c r="AN64" s="315"/>
      <c r="AO64" s="315"/>
      <c r="AP64" s="315"/>
      <c r="AQ64" s="315"/>
      <c r="AR64" s="315"/>
      <c r="AS64" s="315"/>
      <c r="AT64" s="315"/>
      <c r="AU64" s="315"/>
      <c r="AV64" s="136"/>
      <c r="AW64" s="136"/>
      <c r="AX64" s="136"/>
      <c r="AY64" s="136"/>
      <c r="AZ64" s="136"/>
      <c r="BA64" s="136"/>
      <c r="BB64" s="136"/>
      <c r="BC64" s="136"/>
      <c r="BD64" s="136"/>
      <c r="BE64" s="136"/>
      <c r="BF64" s="136"/>
    </row>
    <row r="65" spans="1:58" s="100" customFormat="1" x14ac:dyDescent="0.35">
      <c r="B65" s="128"/>
      <c r="D65" s="128"/>
      <c r="E65" s="128"/>
      <c r="G65" s="133"/>
      <c r="K65" s="321"/>
      <c r="R65" s="118"/>
      <c r="S65" s="311"/>
      <c r="T65" s="315"/>
      <c r="U65" s="315"/>
      <c r="V65" s="315"/>
      <c r="W65" s="315"/>
      <c r="X65" s="315"/>
      <c r="Y65" s="315"/>
      <c r="Z65" s="315"/>
      <c r="AA65" s="315"/>
      <c r="AB65" s="128"/>
      <c r="AC65" s="128"/>
      <c r="AD65" s="133"/>
      <c r="AE65" s="133"/>
      <c r="AF65" s="315"/>
      <c r="AG65" s="315"/>
      <c r="AH65" s="315"/>
      <c r="AI65" s="315"/>
      <c r="AJ65" s="315"/>
      <c r="AK65" s="315"/>
      <c r="AL65" s="315"/>
      <c r="AM65" s="315"/>
      <c r="AN65" s="315"/>
      <c r="AO65" s="315"/>
      <c r="AP65" s="315"/>
      <c r="AQ65" s="315"/>
      <c r="AR65" s="315"/>
      <c r="AS65" s="315"/>
      <c r="AT65" s="315"/>
      <c r="AU65" s="315"/>
      <c r="AV65" s="136"/>
      <c r="AW65" s="136"/>
      <c r="AX65" s="136"/>
      <c r="AY65" s="136"/>
      <c r="AZ65" s="136"/>
      <c r="BA65" s="136"/>
      <c r="BB65" s="136"/>
      <c r="BC65" s="136"/>
      <c r="BD65" s="136"/>
      <c r="BE65" s="136"/>
      <c r="BF65" s="136"/>
    </row>
    <row r="66" spans="1:58" s="100" customFormat="1" x14ac:dyDescent="0.35">
      <c r="B66" s="128"/>
      <c r="D66" s="128"/>
      <c r="E66" s="128"/>
      <c r="G66" s="133"/>
      <c r="K66" s="321"/>
      <c r="R66" s="118"/>
      <c r="S66" s="311"/>
      <c r="T66" s="315"/>
      <c r="U66" s="315"/>
      <c r="V66" s="315"/>
      <c r="W66" s="315"/>
      <c r="X66" s="315"/>
      <c r="Y66" s="315"/>
      <c r="Z66" s="315"/>
      <c r="AA66" s="315"/>
      <c r="AB66" s="128"/>
      <c r="AC66" s="128"/>
      <c r="AD66" s="133"/>
      <c r="AE66" s="133"/>
      <c r="AF66" s="315"/>
      <c r="AG66" s="315"/>
      <c r="AH66" s="315"/>
      <c r="AI66" s="315"/>
      <c r="AJ66" s="315"/>
      <c r="AK66" s="315"/>
      <c r="AL66" s="315"/>
      <c r="AM66" s="315"/>
      <c r="AN66" s="315"/>
      <c r="AO66" s="315"/>
      <c r="AP66" s="315"/>
      <c r="AQ66" s="315"/>
      <c r="AR66" s="315"/>
      <c r="AS66" s="315"/>
      <c r="AT66" s="315"/>
      <c r="AU66" s="315"/>
      <c r="AV66" s="136"/>
      <c r="AW66" s="136"/>
      <c r="AX66" s="136"/>
      <c r="AY66" s="136"/>
      <c r="AZ66" s="136"/>
      <c r="BA66" s="136"/>
      <c r="BB66" s="136"/>
      <c r="BC66" s="136"/>
      <c r="BD66" s="136"/>
      <c r="BE66" s="136"/>
      <c r="BF66" s="136"/>
    </row>
    <row r="67" spans="1:58" s="100" customFormat="1" x14ac:dyDescent="0.35">
      <c r="B67" s="128"/>
      <c r="D67" s="128"/>
      <c r="E67" s="128"/>
      <c r="G67" s="133"/>
      <c r="K67" s="321"/>
      <c r="R67" s="118"/>
      <c r="S67" s="311"/>
      <c r="T67" s="315"/>
      <c r="U67" s="315"/>
      <c r="V67" s="315"/>
      <c r="W67" s="315"/>
      <c r="X67" s="315"/>
      <c r="Y67" s="315"/>
      <c r="Z67" s="315"/>
      <c r="AA67" s="315"/>
      <c r="AB67" s="128"/>
      <c r="AC67" s="128"/>
      <c r="AD67" s="133"/>
      <c r="AE67" s="133"/>
      <c r="AF67" s="315"/>
      <c r="AG67" s="315"/>
      <c r="AH67" s="315"/>
      <c r="AI67" s="315"/>
      <c r="AJ67" s="315"/>
      <c r="AK67" s="315"/>
      <c r="AL67" s="315"/>
      <c r="AM67" s="315"/>
      <c r="AN67" s="315"/>
      <c r="AO67" s="315"/>
      <c r="AP67" s="315"/>
      <c r="AQ67" s="315"/>
      <c r="AR67" s="315"/>
      <c r="AS67" s="315"/>
      <c r="AT67" s="315"/>
      <c r="AU67" s="315"/>
      <c r="AV67" s="136"/>
      <c r="AW67" s="136"/>
      <c r="AX67" s="136"/>
      <c r="AY67" s="136"/>
      <c r="AZ67" s="136"/>
      <c r="BA67" s="136"/>
      <c r="BB67" s="136"/>
      <c r="BC67" s="136"/>
      <c r="BD67" s="136"/>
      <c r="BE67" s="136"/>
      <c r="BF67" s="136"/>
    </row>
    <row r="68" spans="1:58" s="100" customFormat="1" x14ac:dyDescent="0.35">
      <c r="B68" s="128"/>
      <c r="D68" s="128"/>
      <c r="E68" s="128"/>
      <c r="G68" s="133"/>
      <c r="K68" s="321"/>
      <c r="R68" s="118"/>
      <c r="S68" s="315"/>
      <c r="T68" s="315"/>
      <c r="U68" s="315"/>
      <c r="V68" s="315"/>
      <c r="W68" s="315"/>
      <c r="X68" s="315"/>
      <c r="Y68" s="315"/>
      <c r="Z68" s="315"/>
      <c r="AA68" s="315"/>
      <c r="AB68" s="128"/>
      <c r="AC68" s="128"/>
      <c r="AD68" s="133"/>
      <c r="AE68" s="133"/>
      <c r="AF68" s="315"/>
      <c r="AG68" s="315"/>
      <c r="AH68" s="315"/>
      <c r="AI68" s="315"/>
      <c r="AJ68" s="315"/>
      <c r="AK68" s="315"/>
      <c r="AL68" s="315"/>
      <c r="AM68" s="315"/>
      <c r="AN68" s="315"/>
      <c r="AO68" s="315"/>
      <c r="AP68" s="315"/>
      <c r="AQ68" s="315"/>
      <c r="AR68" s="315"/>
      <c r="AS68" s="315"/>
      <c r="AT68" s="315"/>
      <c r="AU68" s="315"/>
      <c r="AV68" s="136"/>
      <c r="AW68" s="136"/>
      <c r="AX68" s="136"/>
      <c r="AY68" s="136"/>
      <c r="AZ68" s="136"/>
      <c r="BA68" s="136"/>
      <c r="BB68" s="136"/>
      <c r="BC68" s="136"/>
      <c r="BD68" s="136"/>
      <c r="BE68" s="136"/>
      <c r="BF68" s="136"/>
    </row>
    <row r="69" spans="1:58" s="100" customFormat="1" x14ac:dyDescent="0.35">
      <c r="B69" s="128"/>
      <c r="D69" s="128"/>
      <c r="E69" s="128"/>
      <c r="G69" s="133"/>
      <c r="K69" s="321"/>
      <c r="R69" s="118"/>
      <c r="S69" s="315"/>
      <c r="T69" s="315"/>
      <c r="U69" s="315"/>
      <c r="V69" s="315"/>
      <c r="W69" s="315"/>
      <c r="X69" s="315"/>
      <c r="Y69" s="315"/>
      <c r="Z69" s="315"/>
      <c r="AA69" s="315"/>
      <c r="AB69" s="128"/>
      <c r="AC69" s="128"/>
      <c r="AD69" s="133"/>
      <c r="AE69" s="133"/>
      <c r="AF69" s="315"/>
      <c r="AG69" s="315"/>
      <c r="AH69" s="315"/>
      <c r="AI69" s="315"/>
      <c r="AJ69" s="315"/>
      <c r="AK69" s="315"/>
      <c r="AL69" s="315"/>
      <c r="AM69" s="315"/>
      <c r="AN69" s="315"/>
      <c r="AO69" s="315"/>
      <c r="AP69" s="315"/>
      <c r="AQ69" s="315"/>
      <c r="AR69" s="315"/>
      <c r="AS69" s="315"/>
      <c r="AT69" s="315"/>
      <c r="AU69" s="315"/>
      <c r="AV69" s="136"/>
      <c r="AW69" s="136"/>
      <c r="AX69" s="136"/>
      <c r="AY69" s="136"/>
      <c r="AZ69" s="136"/>
      <c r="BA69" s="136"/>
      <c r="BB69" s="136"/>
      <c r="BC69" s="136"/>
      <c r="BD69" s="136"/>
      <c r="BE69" s="136"/>
      <c r="BF69" s="136"/>
    </row>
    <row r="70" spans="1:58" s="100" customFormat="1" x14ac:dyDescent="0.35">
      <c r="B70" s="128"/>
      <c r="D70" s="128"/>
      <c r="E70" s="128"/>
      <c r="G70" s="133"/>
      <c r="S70" s="315"/>
      <c r="T70" s="315"/>
      <c r="U70" s="315"/>
      <c r="V70" s="315"/>
      <c r="W70" s="315"/>
      <c r="X70" s="315"/>
      <c r="Y70" s="315"/>
      <c r="Z70" s="315"/>
      <c r="AA70" s="315"/>
      <c r="AB70" s="128"/>
      <c r="AC70" s="128"/>
      <c r="AD70" s="133"/>
      <c r="AE70" s="133"/>
      <c r="AF70" s="315"/>
      <c r="AG70" s="315"/>
      <c r="AH70" s="315"/>
      <c r="AI70" s="315"/>
      <c r="AJ70" s="315"/>
      <c r="AK70" s="315"/>
      <c r="AL70" s="315"/>
      <c r="AM70" s="315"/>
      <c r="AN70" s="315"/>
      <c r="AO70" s="315"/>
      <c r="AP70" s="315"/>
      <c r="AQ70" s="315"/>
      <c r="AR70" s="315"/>
      <c r="AS70" s="315"/>
      <c r="AT70" s="315"/>
      <c r="AU70" s="315"/>
      <c r="AV70" s="136"/>
      <c r="AW70" s="136"/>
      <c r="AX70" s="136"/>
      <c r="AY70" s="136"/>
      <c r="AZ70" s="136"/>
      <c r="BA70" s="136"/>
      <c r="BB70" s="136"/>
      <c r="BC70" s="136"/>
      <c r="BD70" s="136"/>
      <c r="BE70" s="136"/>
      <c r="BF70" s="136"/>
    </row>
    <row r="71" spans="1:58" s="100" customFormat="1" x14ac:dyDescent="0.35">
      <c r="B71" s="128"/>
      <c r="D71" s="128"/>
      <c r="E71" s="128"/>
      <c r="G71" s="133"/>
      <c r="S71" s="315"/>
      <c r="T71" s="315"/>
      <c r="U71" s="315"/>
      <c r="V71" s="315"/>
      <c r="W71" s="315"/>
      <c r="X71" s="315"/>
      <c r="Y71" s="315"/>
      <c r="Z71" s="315"/>
      <c r="AA71" s="315"/>
      <c r="AB71" s="128"/>
      <c r="AC71" s="128"/>
      <c r="AD71" s="133"/>
      <c r="AE71" s="133"/>
      <c r="AF71" s="315"/>
      <c r="AG71" s="315"/>
      <c r="AH71" s="315"/>
      <c r="AI71" s="315"/>
      <c r="AJ71" s="315"/>
      <c r="AK71" s="315"/>
      <c r="AL71" s="315"/>
      <c r="AM71" s="315"/>
      <c r="AN71" s="315"/>
      <c r="AO71" s="315"/>
      <c r="AP71" s="315"/>
      <c r="AQ71" s="315"/>
      <c r="AR71" s="315"/>
      <c r="AS71" s="315"/>
      <c r="AT71" s="315"/>
      <c r="AU71" s="315"/>
      <c r="AV71" s="136"/>
      <c r="AW71" s="136"/>
      <c r="AX71" s="136"/>
      <c r="AY71" s="136"/>
      <c r="AZ71" s="136"/>
      <c r="BA71" s="136"/>
      <c r="BB71" s="136"/>
      <c r="BC71" s="136"/>
      <c r="BD71" s="136"/>
      <c r="BE71" s="136"/>
      <c r="BF71" s="136"/>
    </row>
    <row r="72" spans="1:58" x14ac:dyDescent="0.35">
      <c r="A72" s="100"/>
      <c r="B72" s="128"/>
      <c r="C72" s="100"/>
      <c r="D72" s="128"/>
      <c r="E72" s="128"/>
      <c r="F72" s="100"/>
      <c r="G72" s="128"/>
      <c r="H72" s="100"/>
      <c r="I72" s="100"/>
      <c r="J72" s="100"/>
      <c r="K72" s="100"/>
      <c r="L72" s="100"/>
      <c r="M72" s="100"/>
      <c r="N72" s="100"/>
      <c r="O72" s="100"/>
      <c r="P72" s="100"/>
      <c r="Q72" s="100"/>
      <c r="R72" s="100"/>
      <c r="S72" s="315"/>
      <c r="T72" s="315"/>
      <c r="U72" s="315"/>
      <c r="V72" s="315"/>
      <c r="W72" s="315"/>
      <c r="X72" s="315"/>
      <c r="Y72" s="315"/>
      <c r="Z72" s="315"/>
      <c r="AA72" s="315"/>
      <c r="AB72" s="128"/>
      <c r="AC72" s="128"/>
      <c r="AD72" s="133"/>
      <c r="AE72" s="133"/>
      <c r="AF72" s="315"/>
      <c r="AG72" s="315"/>
      <c r="AH72" s="315"/>
      <c r="AI72" s="315"/>
      <c r="AJ72" s="315"/>
      <c r="AK72" s="315"/>
      <c r="AL72" s="315"/>
      <c r="AM72" s="315"/>
      <c r="AN72" s="315"/>
      <c r="AO72" s="315"/>
      <c r="AP72" s="315"/>
      <c r="AQ72" s="315"/>
      <c r="AR72" s="315"/>
      <c r="AS72" s="315"/>
      <c r="AT72" s="315"/>
      <c r="AU72" s="315"/>
    </row>
    <row r="73" spans="1:58" x14ac:dyDescent="0.35">
      <c r="A73" s="100"/>
      <c r="B73" s="128"/>
      <c r="C73" s="100"/>
      <c r="D73" s="128"/>
      <c r="E73" s="128"/>
      <c r="F73" s="100"/>
      <c r="G73" s="133"/>
      <c r="H73" s="100"/>
      <c r="I73" s="100"/>
      <c r="J73" s="100"/>
      <c r="K73" s="100"/>
      <c r="L73" s="100"/>
      <c r="M73" s="100"/>
      <c r="N73" s="100"/>
      <c r="O73" s="100"/>
      <c r="P73" s="100"/>
      <c r="Q73" s="100"/>
      <c r="R73" s="118"/>
      <c r="S73" s="315"/>
      <c r="T73" s="315"/>
      <c r="U73" s="315"/>
      <c r="V73" s="315"/>
      <c r="W73" s="315"/>
      <c r="X73" s="315"/>
      <c r="Y73" s="315"/>
      <c r="Z73" s="315"/>
      <c r="AA73" s="315"/>
      <c r="AB73" s="128"/>
      <c r="AC73" s="128"/>
      <c r="AD73" s="133"/>
      <c r="AE73" s="133"/>
      <c r="AF73" s="315"/>
      <c r="AG73" s="315"/>
      <c r="AH73" s="315"/>
      <c r="AI73" s="315"/>
      <c r="AJ73" s="315"/>
      <c r="AK73" s="315"/>
      <c r="AL73" s="315"/>
      <c r="AM73" s="315"/>
      <c r="AN73" s="315"/>
      <c r="AO73" s="315"/>
      <c r="AP73" s="315"/>
      <c r="AQ73" s="315"/>
      <c r="AR73" s="315"/>
      <c r="AS73" s="315"/>
      <c r="AT73" s="315"/>
      <c r="AU73" s="315"/>
    </row>
    <row r="74" spans="1:58" x14ac:dyDescent="0.35">
      <c r="A74" s="100"/>
      <c r="B74" s="128"/>
      <c r="C74" s="100"/>
      <c r="D74" s="128"/>
      <c r="E74" s="128"/>
      <c r="F74" s="100"/>
      <c r="G74" s="133"/>
      <c r="H74" s="100"/>
      <c r="I74" s="100"/>
      <c r="J74" s="100"/>
      <c r="K74" s="100"/>
      <c r="L74" s="100"/>
      <c r="M74" s="100"/>
      <c r="N74" s="100"/>
      <c r="O74" s="100"/>
      <c r="P74" s="100"/>
      <c r="Q74" s="100"/>
      <c r="R74" s="118"/>
      <c r="S74" s="315"/>
      <c r="T74" s="315"/>
      <c r="U74" s="315"/>
      <c r="V74" s="315"/>
      <c r="W74" s="315"/>
      <c r="X74" s="315"/>
      <c r="Y74" s="315"/>
      <c r="Z74" s="315"/>
      <c r="AA74" s="315"/>
      <c r="AB74" s="128"/>
      <c r="AC74" s="128"/>
      <c r="AD74" s="133"/>
      <c r="AE74" s="133"/>
      <c r="AF74" s="315"/>
      <c r="AG74" s="315"/>
      <c r="AH74" s="315"/>
      <c r="AI74" s="315"/>
      <c r="AJ74" s="315"/>
      <c r="AK74" s="315"/>
      <c r="AL74" s="315"/>
      <c r="AM74" s="315"/>
      <c r="AN74" s="315"/>
      <c r="AO74" s="315"/>
      <c r="AP74" s="315"/>
      <c r="AQ74" s="315"/>
      <c r="AR74" s="315"/>
      <c r="AS74" s="315"/>
      <c r="AT74" s="315"/>
      <c r="AU74" s="315"/>
    </row>
    <row r="75" spans="1:58" x14ac:dyDescent="0.35">
      <c r="A75" s="100"/>
      <c r="B75" s="128"/>
      <c r="C75" s="100"/>
      <c r="D75" s="128"/>
      <c r="E75" s="128"/>
      <c r="F75" s="100"/>
      <c r="G75" s="133"/>
      <c r="H75" s="100"/>
      <c r="I75" s="100"/>
      <c r="J75" s="100"/>
      <c r="K75" s="100"/>
      <c r="L75" s="100"/>
      <c r="M75" s="100"/>
      <c r="N75" s="100"/>
      <c r="O75" s="100"/>
      <c r="P75" s="100"/>
      <c r="Q75" s="100"/>
      <c r="R75" s="118"/>
      <c r="S75" s="315"/>
      <c r="T75" s="315"/>
      <c r="U75" s="315"/>
      <c r="V75" s="315"/>
      <c r="W75" s="315"/>
      <c r="X75" s="315"/>
      <c r="Y75" s="315"/>
      <c r="Z75" s="315"/>
      <c r="AA75" s="315"/>
      <c r="AB75" s="128"/>
      <c r="AC75" s="128"/>
      <c r="AD75" s="133"/>
      <c r="AE75" s="133"/>
      <c r="AF75" s="315"/>
      <c r="AG75" s="315"/>
      <c r="AH75" s="315"/>
      <c r="AI75" s="315"/>
      <c r="AJ75" s="315"/>
      <c r="AK75" s="315"/>
      <c r="AL75" s="315"/>
      <c r="AM75" s="315"/>
      <c r="AN75" s="315"/>
      <c r="AO75" s="315"/>
      <c r="AP75" s="315"/>
      <c r="AQ75" s="315"/>
      <c r="AR75" s="315"/>
      <c r="AS75" s="315"/>
      <c r="AT75" s="315"/>
      <c r="AU75" s="315"/>
    </row>
    <row r="76" spans="1:58" x14ac:dyDescent="0.35">
      <c r="A76" s="100"/>
      <c r="B76" s="128"/>
      <c r="C76" s="100"/>
      <c r="D76" s="128"/>
      <c r="E76" s="128"/>
      <c r="F76" s="100"/>
      <c r="G76" s="133"/>
      <c r="H76" s="100"/>
      <c r="I76" s="100"/>
      <c r="J76" s="100"/>
      <c r="K76" s="100"/>
      <c r="L76" s="100"/>
      <c r="M76" s="100"/>
      <c r="N76" s="100"/>
      <c r="O76" s="100"/>
      <c r="P76" s="100"/>
      <c r="Q76" s="100"/>
      <c r="R76" s="118"/>
      <c r="S76" s="315"/>
      <c r="T76" s="315"/>
      <c r="U76" s="315"/>
      <c r="V76" s="315"/>
      <c r="W76" s="315"/>
      <c r="X76" s="315"/>
      <c r="Y76" s="315"/>
      <c r="Z76" s="315"/>
      <c r="AA76" s="315"/>
      <c r="AB76" s="128"/>
      <c r="AC76" s="128"/>
      <c r="AD76" s="133"/>
      <c r="AE76" s="133"/>
      <c r="AF76" s="315"/>
      <c r="AG76" s="315"/>
      <c r="AH76" s="315"/>
      <c r="AI76" s="315"/>
      <c r="AJ76" s="315"/>
      <c r="AK76" s="315"/>
      <c r="AL76" s="315"/>
      <c r="AM76" s="315"/>
      <c r="AN76" s="315"/>
      <c r="AO76" s="315"/>
      <c r="AP76" s="315"/>
      <c r="AQ76" s="315"/>
      <c r="AR76" s="315"/>
      <c r="AS76" s="315"/>
      <c r="AT76" s="315"/>
      <c r="AU76" s="315"/>
    </row>
    <row r="77" spans="1:58" x14ac:dyDescent="0.35">
      <c r="A77" s="100"/>
      <c r="B77" s="128"/>
      <c r="C77" s="100"/>
      <c r="D77" s="128"/>
      <c r="E77" s="128"/>
      <c r="F77" s="100"/>
      <c r="G77" s="133"/>
      <c r="H77" s="100"/>
      <c r="I77" s="100"/>
      <c r="J77" s="100"/>
      <c r="K77" s="100"/>
      <c r="L77" s="100"/>
      <c r="M77" s="100"/>
      <c r="N77" s="100"/>
      <c r="O77" s="100"/>
      <c r="P77" s="100"/>
      <c r="Q77" s="100"/>
      <c r="R77" s="118"/>
      <c r="S77" s="315"/>
      <c r="T77" s="315"/>
      <c r="U77" s="315"/>
      <c r="V77" s="315"/>
      <c r="W77" s="315"/>
      <c r="X77" s="315"/>
      <c r="Y77" s="315"/>
      <c r="Z77" s="315"/>
      <c r="AA77" s="315"/>
      <c r="AB77" s="128"/>
      <c r="AC77" s="128"/>
      <c r="AD77" s="133"/>
      <c r="AE77" s="133"/>
      <c r="AF77" s="315"/>
      <c r="AG77" s="315"/>
      <c r="AH77" s="315"/>
      <c r="AI77" s="315"/>
      <c r="AJ77" s="315"/>
      <c r="AK77" s="315"/>
      <c r="AL77" s="315"/>
      <c r="AM77" s="315"/>
      <c r="AN77" s="315"/>
      <c r="AO77" s="315"/>
      <c r="AP77" s="315"/>
      <c r="AQ77" s="315"/>
      <c r="AR77" s="315"/>
      <c r="AS77" s="315"/>
      <c r="AT77" s="315"/>
      <c r="AU77" s="315"/>
    </row>
    <row r="78" spans="1:58" x14ac:dyDescent="0.35">
      <c r="A78" s="100"/>
      <c r="B78" s="128"/>
      <c r="C78" s="100"/>
      <c r="D78" s="128"/>
      <c r="E78" s="128"/>
      <c r="F78" s="100"/>
      <c r="G78" s="133"/>
      <c r="H78" s="100"/>
      <c r="I78" s="100"/>
      <c r="J78" s="100"/>
      <c r="K78" s="100"/>
      <c r="L78" s="100"/>
      <c r="M78" s="100"/>
      <c r="N78" s="100"/>
      <c r="O78" s="100"/>
      <c r="P78" s="100"/>
      <c r="Q78" s="100"/>
      <c r="R78" s="118"/>
      <c r="S78" s="315"/>
      <c r="T78" s="315"/>
      <c r="U78" s="315"/>
      <c r="V78" s="315"/>
      <c r="W78" s="315"/>
      <c r="X78" s="315"/>
      <c r="Y78" s="315"/>
      <c r="Z78" s="315"/>
      <c r="AA78" s="315"/>
      <c r="AB78" s="128"/>
      <c r="AC78" s="128"/>
      <c r="AD78" s="133"/>
      <c r="AE78" s="133"/>
      <c r="AF78" s="315"/>
      <c r="AG78" s="315"/>
      <c r="AH78" s="315"/>
      <c r="AI78" s="315"/>
      <c r="AJ78" s="315"/>
      <c r="AK78" s="315"/>
      <c r="AL78" s="315"/>
      <c r="AM78" s="315"/>
      <c r="AN78" s="315"/>
      <c r="AO78" s="315"/>
      <c r="AP78" s="315"/>
      <c r="AQ78" s="315"/>
      <c r="AR78" s="315"/>
      <c r="AS78" s="315"/>
      <c r="AT78" s="315"/>
      <c r="AU78" s="315"/>
    </row>
    <row r="79" spans="1:58" x14ac:dyDescent="0.35">
      <c r="A79" s="100"/>
      <c r="B79" s="128"/>
      <c r="C79" s="100"/>
      <c r="D79" s="128"/>
      <c r="E79" s="128"/>
      <c r="F79" s="100"/>
      <c r="G79" s="133"/>
      <c r="H79" s="100"/>
      <c r="I79" s="100"/>
      <c r="J79" s="100"/>
      <c r="K79" s="100"/>
      <c r="L79" s="100"/>
      <c r="M79" s="100"/>
      <c r="N79" s="100"/>
      <c r="O79" s="100"/>
      <c r="P79" s="100"/>
      <c r="Q79" s="100"/>
      <c r="R79" s="118"/>
      <c r="S79" s="315"/>
      <c r="T79" s="315"/>
      <c r="U79" s="315"/>
      <c r="V79" s="315"/>
      <c r="W79" s="315"/>
      <c r="X79" s="315"/>
      <c r="Y79" s="315"/>
      <c r="Z79" s="315"/>
      <c r="AA79" s="315"/>
      <c r="AB79" s="128"/>
      <c r="AC79" s="128"/>
      <c r="AD79" s="133"/>
      <c r="AE79" s="133"/>
      <c r="AF79" s="315"/>
      <c r="AG79" s="315"/>
      <c r="AH79" s="315"/>
      <c r="AI79" s="315"/>
      <c r="AJ79" s="315"/>
      <c r="AK79" s="315"/>
      <c r="AL79" s="315"/>
      <c r="AM79" s="315"/>
      <c r="AN79" s="315"/>
      <c r="AO79" s="315"/>
      <c r="AP79" s="315"/>
      <c r="AQ79" s="315"/>
      <c r="AR79" s="315"/>
      <c r="AS79" s="315"/>
      <c r="AT79" s="315"/>
      <c r="AU79" s="315"/>
    </row>
    <row r="80" spans="1:58" x14ac:dyDescent="0.35">
      <c r="A80" s="100"/>
      <c r="B80" s="128"/>
      <c r="C80" s="100"/>
      <c r="D80" s="128"/>
      <c r="E80" s="128"/>
      <c r="F80" s="100"/>
      <c r="G80" s="133"/>
      <c r="H80" s="100"/>
      <c r="I80" s="100"/>
      <c r="J80" s="100"/>
      <c r="K80" s="100"/>
      <c r="L80" s="100"/>
      <c r="M80" s="100"/>
      <c r="N80" s="100"/>
      <c r="O80" s="100"/>
      <c r="P80" s="100"/>
      <c r="Q80" s="100"/>
      <c r="R80" s="118"/>
      <c r="S80" s="315"/>
      <c r="T80" s="315"/>
      <c r="U80" s="315"/>
      <c r="V80" s="315"/>
      <c r="W80" s="315"/>
      <c r="X80" s="315"/>
      <c r="Y80" s="315"/>
      <c r="Z80" s="315"/>
      <c r="AA80" s="315"/>
      <c r="AB80" s="128"/>
      <c r="AC80" s="128"/>
      <c r="AD80" s="133"/>
      <c r="AE80" s="133"/>
      <c r="AF80" s="315"/>
      <c r="AG80" s="315"/>
      <c r="AH80" s="315"/>
      <c r="AI80" s="315"/>
      <c r="AJ80" s="315"/>
      <c r="AK80" s="315"/>
      <c r="AL80" s="315"/>
      <c r="AM80" s="315"/>
      <c r="AN80" s="315"/>
      <c r="AO80" s="315"/>
      <c r="AP80" s="315"/>
      <c r="AQ80" s="315"/>
      <c r="AR80" s="315"/>
      <c r="AS80" s="315"/>
      <c r="AT80" s="315"/>
      <c r="AU80" s="315"/>
    </row>
    <row r="81" spans="1:58" x14ac:dyDescent="0.35">
      <c r="A81" s="100"/>
      <c r="B81" s="128"/>
      <c r="C81" s="100"/>
      <c r="D81" s="128"/>
      <c r="E81" s="128"/>
      <c r="F81" s="100"/>
      <c r="G81" s="133"/>
      <c r="H81" s="100"/>
      <c r="I81" s="100"/>
      <c r="J81" s="100"/>
      <c r="K81" s="100"/>
      <c r="L81" s="100"/>
      <c r="M81" s="100"/>
      <c r="N81" s="100"/>
      <c r="O81" s="100"/>
      <c r="P81" s="100"/>
      <c r="Q81" s="100"/>
      <c r="R81" s="100"/>
      <c r="S81" s="315"/>
      <c r="T81" s="315"/>
      <c r="U81" s="315"/>
      <c r="V81" s="315"/>
      <c r="W81" s="315"/>
      <c r="X81" s="315"/>
      <c r="Y81" s="315"/>
      <c r="Z81" s="315"/>
      <c r="AA81" s="315"/>
      <c r="AB81" s="128"/>
      <c r="AC81" s="128"/>
      <c r="AD81" s="133"/>
      <c r="AE81" s="133"/>
      <c r="AF81" s="315"/>
      <c r="AG81" s="315"/>
      <c r="AH81" s="315"/>
      <c r="AI81" s="315"/>
      <c r="AJ81" s="315"/>
      <c r="AK81" s="315"/>
      <c r="AL81" s="315"/>
      <c r="AM81" s="315"/>
      <c r="AN81" s="315"/>
      <c r="AO81" s="315"/>
      <c r="AP81" s="315"/>
      <c r="AQ81" s="315"/>
      <c r="AR81" s="315"/>
      <c r="AS81" s="315"/>
      <c r="AT81" s="315"/>
      <c r="AU81" s="315"/>
    </row>
    <row r="82" spans="1:58" x14ac:dyDescent="0.35">
      <c r="A82" s="100"/>
      <c r="B82" s="128"/>
      <c r="C82" s="100"/>
      <c r="D82" s="128"/>
      <c r="E82" s="128"/>
      <c r="F82" s="100"/>
      <c r="G82" s="133"/>
      <c r="H82" s="100"/>
      <c r="I82" s="100"/>
      <c r="J82" s="100"/>
      <c r="K82" s="100"/>
      <c r="L82" s="100"/>
      <c r="M82" s="100"/>
      <c r="N82" s="100"/>
      <c r="O82" s="100"/>
      <c r="P82" s="100"/>
      <c r="Q82" s="100"/>
      <c r="R82" s="118"/>
      <c r="S82" s="315"/>
      <c r="T82" s="315"/>
      <c r="U82" s="315"/>
      <c r="V82" s="315"/>
      <c r="W82" s="315"/>
      <c r="X82" s="315"/>
      <c r="Y82" s="315"/>
      <c r="Z82" s="315"/>
      <c r="AA82" s="315"/>
      <c r="AB82" s="128"/>
      <c r="AC82" s="128"/>
      <c r="AD82" s="133"/>
      <c r="AE82" s="133"/>
      <c r="AF82" s="315"/>
      <c r="AG82" s="315"/>
      <c r="AH82" s="315"/>
      <c r="AI82" s="315"/>
      <c r="AJ82" s="315"/>
      <c r="AK82" s="315"/>
      <c r="AL82" s="315"/>
      <c r="AM82" s="315"/>
      <c r="AN82" s="315"/>
      <c r="AO82" s="315"/>
      <c r="AP82" s="315"/>
      <c r="AQ82" s="315"/>
      <c r="AR82" s="315"/>
      <c r="AS82" s="315"/>
      <c r="AT82" s="315"/>
      <c r="AU82" s="315"/>
    </row>
    <row r="83" spans="1:58" x14ac:dyDescent="0.35">
      <c r="A83" s="100"/>
      <c r="B83" s="128"/>
      <c r="C83" s="100"/>
      <c r="D83" s="128"/>
      <c r="E83" s="128"/>
      <c r="F83" s="100"/>
      <c r="G83" s="133"/>
      <c r="H83" s="100"/>
      <c r="I83" s="100"/>
      <c r="J83" s="100"/>
      <c r="K83" s="100"/>
      <c r="L83" s="100"/>
      <c r="M83" s="100"/>
      <c r="N83" s="100"/>
      <c r="O83" s="100"/>
      <c r="P83" s="100"/>
      <c r="Q83" s="100"/>
      <c r="R83" s="118"/>
      <c r="S83" s="315"/>
      <c r="T83" s="315"/>
      <c r="U83" s="315"/>
      <c r="V83" s="315"/>
      <c r="W83" s="315"/>
      <c r="X83" s="315"/>
      <c r="Y83" s="315"/>
      <c r="Z83" s="315"/>
      <c r="AA83" s="315"/>
      <c r="AB83" s="128"/>
      <c r="AC83" s="128"/>
      <c r="AD83" s="133"/>
      <c r="AE83" s="133"/>
      <c r="AF83" s="315"/>
      <c r="AG83" s="315"/>
      <c r="AH83" s="315"/>
      <c r="AI83" s="315"/>
      <c r="AJ83" s="315"/>
      <c r="AK83" s="315"/>
      <c r="AL83" s="315"/>
      <c r="AM83" s="315"/>
      <c r="AN83" s="315"/>
      <c r="AO83" s="315"/>
      <c r="AP83" s="315"/>
      <c r="AQ83" s="315"/>
      <c r="AR83" s="315"/>
      <c r="AS83" s="315"/>
      <c r="AT83" s="315"/>
      <c r="AU83" s="315"/>
    </row>
    <row r="84" spans="1:58" x14ac:dyDescent="0.35">
      <c r="A84" s="100"/>
      <c r="B84" s="128"/>
      <c r="C84" s="100"/>
      <c r="D84" s="128"/>
      <c r="E84" s="128"/>
      <c r="F84" s="100"/>
      <c r="G84" s="133"/>
      <c r="H84" s="100"/>
      <c r="I84" s="100"/>
      <c r="J84" s="100"/>
      <c r="K84" s="100"/>
      <c r="L84" s="100"/>
      <c r="M84" s="100"/>
      <c r="N84" s="100"/>
      <c r="O84" s="100"/>
      <c r="P84" s="100"/>
      <c r="Q84" s="100"/>
      <c r="R84" s="118"/>
      <c r="S84" s="315"/>
      <c r="T84" s="315"/>
      <c r="U84" s="315"/>
      <c r="V84" s="315"/>
      <c r="W84" s="315"/>
      <c r="X84" s="315"/>
      <c r="Y84" s="315"/>
      <c r="Z84" s="315"/>
      <c r="AA84" s="315"/>
      <c r="AB84" s="128"/>
      <c r="AC84" s="128"/>
      <c r="AD84" s="133"/>
      <c r="AE84" s="133"/>
      <c r="AF84" s="315"/>
      <c r="AG84" s="315"/>
      <c r="AH84" s="315"/>
      <c r="AI84" s="315"/>
      <c r="AJ84" s="315"/>
      <c r="AK84" s="315"/>
      <c r="AL84" s="315"/>
      <c r="AM84" s="315"/>
      <c r="AN84" s="315"/>
      <c r="AO84" s="315"/>
      <c r="AP84" s="315"/>
      <c r="AQ84" s="315"/>
      <c r="AR84" s="315"/>
      <c r="AS84" s="315"/>
      <c r="AT84" s="315"/>
      <c r="AU84" s="315"/>
    </row>
    <row r="85" spans="1:58" x14ac:dyDescent="0.35">
      <c r="A85" s="100"/>
      <c r="B85" s="128"/>
      <c r="C85" s="100"/>
      <c r="D85" s="128"/>
      <c r="E85" s="128"/>
      <c r="F85" s="100"/>
      <c r="G85" s="133"/>
      <c r="H85" s="100"/>
      <c r="I85" s="100"/>
      <c r="J85" s="100"/>
      <c r="K85" s="100"/>
      <c r="L85" s="100"/>
      <c r="M85" s="100"/>
      <c r="N85" s="100"/>
      <c r="O85" s="100"/>
      <c r="P85" s="100"/>
      <c r="Q85" s="100"/>
      <c r="R85" s="100"/>
      <c r="S85" s="315"/>
      <c r="T85" s="315"/>
      <c r="U85" s="315"/>
      <c r="V85" s="315"/>
      <c r="W85" s="315"/>
      <c r="X85" s="315"/>
      <c r="Y85" s="315"/>
      <c r="Z85" s="315"/>
      <c r="AA85" s="315"/>
      <c r="AB85" s="128"/>
      <c r="AC85" s="128"/>
      <c r="AD85" s="133"/>
      <c r="AE85" s="133"/>
      <c r="AF85" s="315"/>
      <c r="AG85" s="315"/>
      <c r="AH85" s="315"/>
      <c r="AI85" s="315"/>
      <c r="AJ85" s="315"/>
      <c r="AK85" s="315"/>
      <c r="AL85" s="315"/>
      <c r="AM85" s="315"/>
      <c r="AN85" s="315"/>
      <c r="AO85" s="315"/>
      <c r="AP85" s="315"/>
      <c r="AQ85" s="315"/>
      <c r="AR85" s="315"/>
      <c r="AS85" s="315"/>
      <c r="AT85" s="315"/>
      <c r="AU85" s="315"/>
    </row>
    <row r="86" spans="1:58" x14ac:dyDescent="0.35">
      <c r="A86" s="100"/>
      <c r="B86" s="128"/>
      <c r="C86" s="100"/>
      <c r="D86" s="128"/>
      <c r="E86" s="128"/>
      <c r="F86" s="100"/>
      <c r="G86" s="133"/>
      <c r="H86" s="100"/>
      <c r="I86" s="100"/>
      <c r="J86" s="100"/>
      <c r="K86" s="100"/>
      <c r="L86" s="100"/>
      <c r="M86" s="100"/>
      <c r="N86" s="100"/>
      <c r="O86" s="100"/>
      <c r="P86" s="100"/>
      <c r="Q86" s="100"/>
      <c r="R86" s="100"/>
      <c r="S86" s="315"/>
      <c r="T86" s="315"/>
      <c r="U86" s="315"/>
      <c r="V86" s="315"/>
      <c r="W86" s="315"/>
      <c r="X86" s="315"/>
      <c r="Y86" s="315"/>
      <c r="Z86" s="315"/>
      <c r="AA86" s="315"/>
      <c r="AB86" s="128"/>
      <c r="AC86" s="128"/>
      <c r="AD86" s="133"/>
      <c r="AE86" s="133"/>
      <c r="AF86" s="315"/>
      <c r="AG86" s="315"/>
      <c r="AH86" s="315"/>
      <c r="AI86" s="315"/>
      <c r="AJ86" s="315"/>
      <c r="AK86" s="315"/>
      <c r="AL86" s="315"/>
      <c r="AM86" s="315"/>
      <c r="AN86" s="315"/>
      <c r="AO86" s="315"/>
      <c r="AP86" s="315"/>
      <c r="AQ86" s="315"/>
      <c r="AR86" s="315"/>
      <c r="AS86" s="315"/>
      <c r="AT86" s="315"/>
      <c r="AU86" s="315"/>
    </row>
    <row r="87" spans="1:58" x14ac:dyDescent="0.35">
      <c r="A87" s="100"/>
      <c r="B87" s="128"/>
      <c r="C87" s="100"/>
      <c r="D87" s="128"/>
      <c r="E87" s="128"/>
      <c r="F87" s="100"/>
      <c r="G87" s="133"/>
      <c r="H87" s="100"/>
      <c r="I87" s="100"/>
      <c r="J87" s="100"/>
      <c r="K87" s="100"/>
      <c r="L87" s="100"/>
      <c r="M87" s="100"/>
      <c r="N87" s="100"/>
      <c r="O87" s="100"/>
      <c r="P87" s="100"/>
      <c r="Q87" s="100"/>
      <c r="R87" s="100"/>
      <c r="S87" s="315"/>
      <c r="T87" s="315"/>
      <c r="U87" s="315"/>
      <c r="V87" s="315"/>
      <c r="W87" s="315"/>
      <c r="X87" s="315"/>
      <c r="Y87" s="315"/>
      <c r="Z87" s="315"/>
      <c r="AA87" s="315"/>
      <c r="AB87" s="128"/>
      <c r="AC87" s="128"/>
      <c r="AD87" s="133"/>
      <c r="AE87" s="133"/>
      <c r="AF87" s="315"/>
      <c r="AG87" s="315"/>
      <c r="AH87" s="315"/>
      <c r="AI87" s="315"/>
      <c r="AJ87" s="315"/>
      <c r="AK87" s="315"/>
      <c r="AL87" s="315"/>
      <c r="AM87" s="315"/>
      <c r="AN87" s="315"/>
      <c r="AO87" s="315"/>
      <c r="AP87" s="315"/>
      <c r="AQ87" s="315"/>
      <c r="AR87" s="315"/>
      <c r="AS87" s="315"/>
      <c r="AT87" s="315"/>
      <c r="AU87" s="315"/>
    </row>
    <row r="88" spans="1:58" x14ac:dyDescent="0.35">
      <c r="A88" s="131"/>
      <c r="B88" s="128"/>
      <c r="C88" s="128"/>
      <c r="D88" s="128"/>
      <c r="E88" s="132"/>
      <c r="F88" s="100"/>
      <c r="G88" s="133"/>
      <c r="H88" s="100"/>
      <c r="I88" s="128"/>
      <c r="J88" s="128"/>
      <c r="K88" s="100"/>
      <c r="L88" s="133"/>
      <c r="M88" s="131"/>
      <c r="N88" s="131"/>
      <c r="O88" s="131"/>
      <c r="P88" s="131"/>
      <c r="Q88" s="131"/>
      <c r="R88" s="131"/>
      <c r="S88" s="100"/>
      <c r="T88" s="315"/>
      <c r="U88" s="315"/>
      <c r="V88" s="315"/>
      <c r="W88" s="315"/>
      <c r="X88" s="315"/>
      <c r="Y88" s="315"/>
      <c r="Z88" s="315"/>
      <c r="AA88" s="315"/>
      <c r="AB88" s="317"/>
      <c r="AC88" s="317"/>
      <c r="AD88" s="132"/>
      <c r="AE88" s="132"/>
      <c r="AF88" s="315"/>
      <c r="AG88" s="100"/>
      <c r="AH88" s="315"/>
      <c r="AI88" s="315"/>
      <c r="AJ88" s="315"/>
      <c r="AK88" s="315"/>
      <c r="AL88" s="315"/>
      <c r="AM88" s="315"/>
      <c r="AN88" s="315"/>
      <c r="AO88" s="315"/>
      <c r="AP88" s="315"/>
      <c r="AQ88" s="315"/>
      <c r="AR88" s="315"/>
      <c r="AS88" s="315"/>
      <c r="AT88" s="315"/>
      <c r="AU88" s="315"/>
      <c r="BE88" s="100"/>
      <c r="BF88" s="100"/>
    </row>
    <row r="89" spans="1:58" x14ac:dyDescent="0.35">
      <c r="A89" s="131"/>
      <c r="B89" s="128"/>
      <c r="C89" s="128"/>
      <c r="D89" s="128"/>
      <c r="E89" s="132"/>
      <c r="F89" s="100"/>
      <c r="G89" s="133"/>
      <c r="H89" s="100"/>
      <c r="I89" s="128"/>
      <c r="J89" s="128"/>
      <c r="K89" s="100"/>
      <c r="L89" s="133"/>
      <c r="M89" s="131"/>
      <c r="N89" s="131"/>
      <c r="O89" s="131"/>
      <c r="P89" s="131"/>
      <c r="Q89" s="131"/>
      <c r="R89" s="131"/>
      <c r="S89" s="100"/>
      <c r="T89" s="315"/>
      <c r="U89" s="315"/>
      <c r="V89" s="315"/>
      <c r="W89" s="315"/>
      <c r="X89" s="315"/>
      <c r="Y89" s="315"/>
      <c r="Z89" s="315"/>
      <c r="AA89" s="315"/>
      <c r="AB89" s="322"/>
      <c r="AC89" s="322"/>
      <c r="AD89" s="317"/>
      <c r="AE89" s="318"/>
      <c r="AF89" s="132"/>
      <c r="AG89" s="132"/>
      <c r="AH89" s="315"/>
      <c r="AI89" s="315"/>
      <c r="AJ89" s="315"/>
      <c r="AK89" s="315"/>
      <c r="AL89" s="315"/>
      <c r="AM89" s="315"/>
      <c r="AN89" s="315"/>
      <c r="AO89" s="315"/>
      <c r="AP89" s="315"/>
      <c r="AQ89" s="315"/>
      <c r="AR89" s="315"/>
      <c r="AS89" s="315"/>
      <c r="AT89" s="315"/>
      <c r="AU89" s="315"/>
      <c r="BE89" s="100"/>
      <c r="BF89" s="100"/>
    </row>
    <row r="90" spans="1:58" x14ac:dyDescent="0.35">
      <c r="A90" s="131"/>
      <c r="B90" s="128"/>
      <c r="C90" s="128"/>
      <c r="D90" s="128"/>
      <c r="E90" s="132"/>
      <c r="F90" s="100"/>
      <c r="G90" s="133"/>
      <c r="H90" s="100"/>
      <c r="I90" s="128"/>
      <c r="J90" s="128"/>
      <c r="K90" s="100"/>
      <c r="L90" s="133"/>
      <c r="M90" s="131"/>
      <c r="N90" s="131"/>
      <c r="O90" s="131"/>
      <c r="P90" s="131"/>
      <c r="Q90" s="131"/>
      <c r="R90" s="131"/>
      <c r="S90" s="100"/>
      <c r="T90" s="315"/>
      <c r="U90" s="315"/>
      <c r="V90" s="315"/>
      <c r="W90" s="315"/>
      <c r="X90" s="315"/>
      <c r="Y90" s="315"/>
      <c r="Z90" s="315"/>
      <c r="AA90" s="315"/>
      <c r="AB90" s="322"/>
      <c r="AC90" s="322"/>
      <c r="AD90" s="317"/>
      <c r="AE90" s="317"/>
      <c r="AF90" s="132"/>
      <c r="AG90" s="132"/>
      <c r="AH90" s="315"/>
      <c r="AI90" s="315"/>
      <c r="AJ90" s="315"/>
      <c r="AK90" s="315"/>
      <c r="AL90" s="315"/>
      <c r="AM90" s="315"/>
      <c r="AN90" s="315"/>
      <c r="AO90" s="315"/>
      <c r="AP90" s="315"/>
      <c r="AQ90" s="315"/>
      <c r="AR90" s="315"/>
      <c r="AS90" s="315"/>
      <c r="AT90" s="315"/>
      <c r="AU90" s="315"/>
      <c r="BE90" s="100"/>
      <c r="BF90" s="100"/>
    </row>
    <row r="91" spans="1:58" x14ac:dyDescent="0.35">
      <c r="A91" s="131"/>
      <c r="B91" s="128"/>
      <c r="C91" s="128"/>
      <c r="D91" s="128"/>
      <c r="E91" s="132"/>
      <c r="F91" s="100"/>
      <c r="G91" s="133"/>
      <c r="H91" s="100"/>
      <c r="I91" s="128"/>
      <c r="J91" s="128"/>
      <c r="K91" s="100"/>
      <c r="L91" s="133"/>
      <c r="M91" s="131"/>
      <c r="N91" s="131"/>
      <c r="O91" s="131"/>
      <c r="P91" s="131"/>
      <c r="Q91" s="131"/>
      <c r="R91" s="131"/>
      <c r="S91" s="100"/>
      <c r="T91" s="315"/>
      <c r="U91" s="315"/>
      <c r="V91" s="315"/>
      <c r="W91" s="315"/>
      <c r="X91" s="315"/>
      <c r="Y91" s="315"/>
      <c r="Z91" s="315"/>
      <c r="AA91" s="315"/>
      <c r="AB91" s="322"/>
      <c r="AC91" s="322"/>
      <c r="AD91" s="317"/>
      <c r="AE91" s="317"/>
      <c r="AF91" s="132"/>
      <c r="AG91" s="132"/>
      <c r="AH91" s="315"/>
      <c r="AI91" s="315"/>
      <c r="AJ91" s="315"/>
      <c r="AK91" s="315"/>
      <c r="AL91" s="315"/>
      <c r="AM91" s="315"/>
      <c r="AN91" s="315"/>
      <c r="AO91" s="315"/>
      <c r="AP91" s="315"/>
      <c r="AQ91" s="315"/>
      <c r="AR91" s="315"/>
      <c r="AS91" s="315"/>
      <c r="AT91" s="315"/>
      <c r="AU91" s="315"/>
      <c r="BE91" s="100"/>
      <c r="BF91" s="100"/>
    </row>
    <row r="92" spans="1:58" x14ac:dyDescent="0.35">
      <c r="A92" s="131"/>
      <c r="B92" s="128"/>
      <c r="C92" s="128"/>
      <c r="D92" s="128"/>
      <c r="E92" s="132"/>
      <c r="F92" s="100"/>
      <c r="G92" s="133"/>
      <c r="H92" s="100"/>
      <c r="I92" s="128"/>
      <c r="J92" s="128"/>
      <c r="K92" s="315"/>
      <c r="L92" s="319"/>
      <c r="M92" s="311"/>
      <c r="N92" s="311"/>
      <c r="O92" s="311"/>
      <c r="P92" s="311"/>
      <c r="Q92" s="311"/>
      <c r="R92" s="311"/>
      <c r="S92" s="315"/>
      <c r="T92" s="315"/>
      <c r="U92" s="315"/>
      <c r="V92" s="315"/>
      <c r="W92" s="315"/>
      <c r="X92" s="315"/>
      <c r="Y92" s="315"/>
      <c r="Z92" s="315"/>
      <c r="AA92" s="315"/>
      <c r="AB92" s="320"/>
      <c r="AC92" s="320"/>
      <c r="AD92" s="317"/>
      <c r="AE92" s="318"/>
      <c r="AF92" s="132"/>
      <c r="AG92" s="132"/>
      <c r="AH92" s="315"/>
      <c r="AI92" s="315"/>
      <c r="AJ92" s="315"/>
      <c r="AK92" s="315"/>
      <c r="AL92" s="315"/>
      <c r="AM92" s="315"/>
      <c r="AN92" s="315"/>
      <c r="AO92" s="315"/>
      <c r="AP92" s="315"/>
      <c r="AQ92" s="315"/>
      <c r="AR92" s="315"/>
      <c r="AS92" s="315"/>
      <c r="AT92" s="315"/>
      <c r="AU92" s="315"/>
    </row>
    <row r="93" spans="1:58" x14ac:dyDescent="0.35">
      <c r="T93" s="315"/>
      <c r="U93" s="315"/>
      <c r="V93" s="315"/>
      <c r="W93" s="315"/>
      <c r="X93" s="315"/>
      <c r="Y93" s="315"/>
      <c r="Z93" s="315"/>
      <c r="AA93" s="315"/>
      <c r="AH93" s="315"/>
      <c r="AI93" s="315"/>
      <c r="AJ93" s="315"/>
      <c r="AK93" s="315"/>
      <c r="AL93" s="315"/>
      <c r="AM93" s="315"/>
      <c r="AN93" s="315"/>
      <c r="AO93" s="315"/>
      <c r="AP93" s="315"/>
      <c r="AQ93" s="315"/>
      <c r="AR93" s="315"/>
      <c r="AS93" s="315"/>
      <c r="AT93" s="315"/>
      <c r="AU93" s="315"/>
    </row>
    <row r="94" spans="1:58" x14ac:dyDescent="0.35">
      <c r="T94" s="315"/>
      <c r="U94" s="315"/>
      <c r="V94" s="315"/>
      <c r="W94" s="315"/>
      <c r="X94" s="315"/>
      <c r="Y94" s="315"/>
      <c r="Z94" s="315"/>
      <c r="AA94" s="315"/>
      <c r="AH94" s="315"/>
      <c r="AI94" s="315"/>
      <c r="AJ94" s="315"/>
      <c r="AK94" s="315"/>
      <c r="AL94" s="315"/>
      <c r="AM94" s="315"/>
      <c r="AN94" s="315"/>
      <c r="AO94" s="315"/>
      <c r="AP94" s="315"/>
      <c r="AQ94" s="315"/>
      <c r="AR94" s="315"/>
      <c r="AS94" s="315"/>
      <c r="AT94" s="315"/>
      <c r="AU94" s="315"/>
    </row>
    <row r="95" spans="1:58" x14ac:dyDescent="0.35">
      <c r="T95" s="315"/>
      <c r="U95" s="315"/>
      <c r="V95" s="315"/>
      <c r="W95" s="315"/>
      <c r="X95" s="315"/>
      <c r="Y95" s="315"/>
      <c r="Z95" s="315"/>
      <c r="AA95" s="315"/>
      <c r="AH95" s="315"/>
      <c r="AI95" s="315"/>
      <c r="AJ95" s="315"/>
      <c r="AK95" s="315"/>
      <c r="AL95" s="315"/>
      <c r="AM95" s="315"/>
      <c r="AN95" s="315"/>
      <c r="AO95" s="315"/>
      <c r="AP95" s="315"/>
      <c r="AQ95" s="315"/>
      <c r="AR95" s="315"/>
      <c r="AS95" s="315"/>
      <c r="AT95" s="315"/>
      <c r="AU95" s="315"/>
    </row>
    <row r="96" spans="1:58" x14ac:dyDescent="0.35">
      <c r="T96" s="315"/>
      <c r="U96" s="315"/>
      <c r="V96" s="315"/>
      <c r="W96" s="315"/>
      <c r="X96" s="315"/>
      <c r="Y96" s="315"/>
      <c r="Z96" s="315"/>
      <c r="AA96" s="315"/>
      <c r="AH96" s="315"/>
      <c r="AI96" s="315"/>
      <c r="AJ96" s="315"/>
      <c r="AK96" s="315"/>
      <c r="AL96" s="315"/>
      <c r="AM96" s="315"/>
      <c r="AN96" s="315"/>
      <c r="AO96" s="315"/>
      <c r="AP96" s="315"/>
      <c r="AQ96" s="315"/>
      <c r="AR96" s="315"/>
      <c r="AS96" s="315"/>
      <c r="AT96" s="315"/>
      <c r="AU96" s="315"/>
    </row>
    <row r="97" spans="20:47" x14ac:dyDescent="0.35">
      <c r="T97" s="315"/>
      <c r="U97" s="315"/>
      <c r="V97" s="315"/>
      <c r="W97" s="315"/>
      <c r="X97" s="315"/>
      <c r="Y97" s="315"/>
      <c r="Z97" s="315"/>
      <c r="AA97" s="315"/>
      <c r="AH97" s="315"/>
      <c r="AI97" s="315"/>
      <c r="AJ97" s="315"/>
      <c r="AK97" s="315"/>
      <c r="AL97" s="315"/>
      <c r="AM97" s="315"/>
      <c r="AN97" s="315"/>
      <c r="AO97" s="315"/>
      <c r="AP97" s="315"/>
      <c r="AQ97" s="315"/>
      <c r="AR97" s="315"/>
      <c r="AS97" s="315"/>
      <c r="AT97" s="315"/>
      <c r="AU97" s="315"/>
    </row>
    <row r="98" spans="20:47" x14ac:dyDescent="0.35">
      <c r="T98" s="315"/>
      <c r="U98" s="315"/>
      <c r="V98" s="315"/>
      <c r="W98" s="315"/>
      <c r="X98" s="315"/>
      <c r="Y98" s="315"/>
      <c r="Z98" s="315"/>
      <c r="AA98" s="315"/>
      <c r="AH98" s="315"/>
      <c r="AI98" s="315"/>
      <c r="AJ98" s="315"/>
      <c r="AK98" s="315"/>
      <c r="AL98" s="315"/>
      <c r="AM98" s="315"/>
      <c r="AN98" s="315"/>
      <c r="AO98" s="315"/>
      <c r="AP98" s="315"/>
      <c r="AQ98" s="315"/>
      <c r="AR98" s="315"/>
      <c r="AS98" s="315"/>
      <c r="AT98" s="315"/>
      <c r="AU98" s="315"/>
    </row>
    <row r="99" spans="20:47" x14ac:dyDescent="0.35">
      <c r="T99" s="315"/>
      <c r="U99" s="315"/>
      <c r="V99" s="315"/>
      <c r="W99" s="315"/>
      <c r="X99" s="315"/>
      <c r="Y99" s="315"/>
      <c r="Z99" s="315"/>
      <c r="AA99" s="315"/>
      <c r="AH99" s="315"/>
      <c r="AI99" s="315"/>
      <c r="AJ99" s="315"/>
      <c r="AK99" s="315"/>
      <c r="AL99" s="315"/>
      <c r="AM99" s="315"/>
      <c r="AN99" s="315"/>
      <c r="AO99" s="315"/>
      <c r="AP99" s="315"/>
      <c r="AQ99" s="315"/>
      <c r="AR99" s="315"/>
      <c r="AS99" s="315"/>
      <c r="AT99" s="315"/>
      <c r="AU99" s="315"/>
    </row>
    <row r="100" spans="20:47" x14ac:dyDescent="0.35">
      <c r="T100" s="315"/>
      <c r="U100" s="315"/>
      <c r="V100" s="315"/>
      <c r="W100" s="315"/>
      <c r="X100" s="315"/>
      <c r="Y100" s="315"/>
      <c r="Z100" s="315"/>
      <c r="AA100" s="315"/>
      <c r="AH100" s="315"/>
      <c r="AI100" s="315"/>
      <c r="AJ100" s="315"/>
      <c r="AK100" s="315"/>
      <c r="AL100" s="315"/>
      <c r="AM100" s="315"/>
      <c r="AN100" s="315"/>
      <c r="AO100" s="315"/>
      <c r="AP100" s="315"/>
      <c r="AQ100" s="315"/>
      <c r="AR100" s="315"/>
      <c r="AS100" s="315"/>
      <c r="AT100" s="315"/>
      <c r="AU100" s="315"/>
    </row>
    <row r="101" spans="20:47" x14ac:dyDescent="0.35">
      <c r="T101" s="315"/>
      <c r="U101" s="315"/>
      <c r="V101" s="315"/>
      <c r="W101" s="315"/>
      <c r="X101" s="315"/>
      <c r="Y101" s="315"/>
      <c r="Z101" s="315"/>
      <c r="AA101" s="315"/>
      <c r="AH101" s="315"/>
      <c r="AI101" s="315"/>
      <c r="AJ101" s="315"/>
      <c r="AK101" s="315"/>
      <c r="AL101" s="315"/>
      <c r="AM101" s="315"/>
      <c r="AN101" s="315"/>
      <c r="AO101" s="315"/>
      <c r="AP101" s="315"/>
      <c r="AQ101" s="315"/>
      <c r="AR101" s="315"/>
      <c r="AS101" s="315"/>
      <c r="AT101" s="315"/>
      <c r="AU101" s="315"/>
    </row>
    <row r="102" spans="20:47" x14ac:dyDescent="0.35">
      <c r="T102" s="315"/>
      <c r="U102" s="315"/>
      <c r="V102" s="315"/>
      <c r="W102" s="315"/>
      <c r="X102" s="315"/>
      <c r="Y102" s="315"/>
      <c r="Z102" s="315"/>
      <c r="AA102" s="315"/>
      <c r="AH102" s="315"/>
      <c r="AI102" s="315"/>
      <c r="AJ102" s="315"/>
      <c r="AK102" s="315"/>
      <c r="AL102" s="315"/>
      <c r="AM102" s="315"/>
      <c r="AN102" s="315"/>
      <c r="AO102" s="315"/>
      <c r="AP102" s="315"/>
      <c r="AQ102" s="315"/>
      <c r="AR102" s="315"/>
      <c r="AS102" s="315"/>
      <c r="AT102" s="315"/>
      <c r="AU102" s="315"/>
    </row>
    <row r="103" spans="20:47" x14ac:dyDescent="0.35">
      <c r="T103" s="315"/>
      <c r="U103" s="315"/>
      <c r="V103" s="315"/>
      <c r="W103" s="315"/>
      <c r="X103" s="315"/>
      <c r="Y103" s="315"/>
      <c r="Z103" s="315"/>
      <c r="AA103" s="315"/>
      <c r="AH103" s="315"/>
      <c r="AI103" s="315"/>
      <c r="AJ103" s="315"/>
      <c r="AK103" s="315"/>
      <c r="AL103" s="315"/>
      <c r="AM103" s="315"/>
      <c r="AN103" s="315"/>
      <c r="AO103" s="315"/>
      <c r="AP103" s="315"/>
      <c r="AQ103" s="315"/>
      <c r="AR103" s="315"/>
      <c r="AS103" s="315"/>
      <c r="AT103" s="315"/>
      <c r="AU103" s="315"/>
    </row>
    <row r="104" spans="20:47" x14ac:dyDescent="0.35">
      <c r="T104" s="315"/>
      <c r="U104" s="315"/>
      <c r="V104" s="315"/>
      <c r="W104" s="315"/>
      <c r="X104" s="315"/>
      <c r="Y104" s="315"/>
      <c r="Z104" s="315"/>
      <c r="AA104" s="315"/>
      <c r="AH104" s="315"/>
      <c r="AI104" s="315"/>
      <c r="AJ104" s="315"/>
      <c r="AK104" s="315"/>
      <c r="AL104" s="315"/>
      <c r="AM104" s="315"/>
      <c r="AN104" s="315"/>
      <c r="AO104" s="315"/>
      <c r="AP104" s="315"/>
      <c r="AQ104" s="315"/>
      <c r="AR104" s="315"/>
      <c r="AS104" s="315"/>
      <c r="AT104" s="315"/>
      <c r="AU104" s="315"/>
    </row>
    <row r="105" spans="20:47" x14ac:dyDescent="0.35">
      <c r="T105" s="315"/>
      <c r="U105" s="315"/>
      <c r="V105" s="315"/>
      <c r="W105" s="315"/>
      <c r="X105" s="315"/>
      <c r="Y105" s="315"/>
      <c r="Z105" s="315"/>
      <c r="AA105" s="315"/>
      <c r="AH105" s="315"/>
      <c r="AI105" s="315"/>
      <c r="AJ105" s="315"/>
      <c r="AK105" s="315"/>
      <c r="AL105" s="315"/>
      <c r="AM105" s="315"/>
      <c r="AN105" s="315"/>
      <c r="AO105" s="315"/>
      <c r="AP105" s="315"/>
      <c r="AQ105" s="315"/>
      <c r="AR105" s="315"/>
      <c r="AS105" s="315"/>
      <c r="AT105" s="315"/>
      <c r="AU105" s="315"/>
    </row>
    <row r="106" spans="20:47" x14ac:dyDescent="0.35">
      <c r="T106" s="315"/>
      <c r="U106" s="315"/>
      <c r="V106" s="315"/>
      <c r="W106" s="315"/>
      <c r="X106" s="315"/>
      <c r="Y106" s="315"/>
      <c r="Z106" s="315"/>
      <c r="AA106" s="315"/>
      <c r="AH106" s="315"/>
      <c r="AI106" s="315"/>
      <c r="AJ106" s="315"/>
      <c r="AK106" s="315"/>
      <c r="AL106" s="315"/>
      <c r="AM106" s="315"/>
      <c r="AN106" s="315"/>
      <c r="AO106" s="315"/>
      <c r="AP106" s="315"/>
      <c r="AQ106" s="315"/>
      <c r="AR106" s="315"/>
      <c r="AS106" s="315"/>
      <c r="AT106" s="315"/>
      <c r="AU106" s="315"/>
    </row>
    <row r="107" spans="20:47" x14ac:dyDescent="0.35">
      <c r="T107" s="315"/>
      <c r="U107" s="315"/>
      <c r="V107" s="315"/>
      <c r="W107" s="315"/>
      <c r="X107" s="315"/>
      <c r="Y107" s="315"/>
      <c r="Z107" s="315"/>
      <c r="AA107" s="315"/>
      <c r="AH107" s="315"/>
      <c r="AI107" s="315"/>
      <c r="AJ107" s="315"/>
      <c r="AK107" s="315"/>
      <c r="AL107" s="315"/>
      <c r="AM107" s="315"/>
      <c r="AN107" s="315"/>
      <c r="AO107" s="315"/>
      <c r="AP107" s="315"/>
      <c r="AQ107" s="315"/>
      <c r="AR107" s="315"/>
      <c r="AS107" s="315"/>
      <c r="AT107" s="315"/>
      <c r="AU107" s="315"/>
    </row>
    <row r="108" spans="20:47" x14ac:dyDescent="0.35">
      <c r="T108" s="315"/>
      <c r="U108" s="315"/>
      <c r="V108" s="315"/>
      <c r="W108" s="315"/>
      <c r="X108" s="315"/>
      <c r="Y108" s="315"/>
      <c r="Z108" s="315"/>
      <c r="AA108" s="315"/>
      <c r="AH108" s="315"/>
      <c r="AI108" s="315"/>
      <c r="AJ108" s="315"/>
      <c r="AK108" s="315"/>
      <c r="AL108" s="315"/>
      <c r="AM108" s="315"/>
      <c r="AN108" s="315"/>
      <c r="AO108" s="315"/>
      <c r="AP108" s="315"/>
      <c r="AQ108" s="315"/>
      <c r="AR108" s="315"/>
      <c r="AS108" s="315"/>
      <c r="AT108" s="315"/>
      <c r="AU108" s="315"/>
    </row>
    <row r="109" spans="20:47" x14ac:dyDescent="0.35">
      <c r="T109" s="315"/>
      <c r="U109" s="315"/>
      <c r="V109" s="315"/>
      <c r="W109" s="315"/>
      <c r="X109" s="315"/>
      <c r="Y109" s="315"/>
      <c r="Z109" s="315"/>
      <c r="AA109" s="315"/>
      <c r="AH109" s="315"/>
      <c r="AI109" s="315"/>
      <c r="AJ109" s="315"/>
      <c r="AK109" s="315"/>
      <c r="AL109" s="315"/>
      <c r="AM109" s="315"/>
      <c r="AN109" s="315"/>
      <c r="AO109" s="315"/>
      <c r="AP109" s="315"/>
      <c r="AQ109" s="315"/>
      <c r="AR109" s="315"/>
      <c r="AS109" s="315"/>
      <c r="AT109" s="315"/>
      <c r="AU109" s="315"/>
    </row>
    <row r="110" spans="20:47" x14ac:dyDescent="0.35">
      <c r="T110" s="315"/>
      <c r="U110" s="315"/>
      <c r="V110" s="315"/>
      <c r="W110" s="315"/>
      <c r="X110" s="315"/>
      <c r="Y110" s="315"/>
      <c r="Z110" s="315"/>
      <c r="AA110" s="315"/>
      <c r="AH110" s="315"/>
      <c r="AI110" s="315"/>
      <c r="AJ110" s="315"/>
      <c r="AK110" s="315"/>
      <c r="AL110" s="315"/>
      <c r="AM110" s="315"/>
      <c r="AN110" s="315"/>
      <c r="AO110" s="315"/>
      <c r="AP110" s="315"/>
      <c r="AQ110" s="315"/>
      <c r="AR110" s="315"/>
      <c r="AS110" s="315"/>
      <c r="AT110" s="315"/>
      <c r="AU110" s="315"/>
    </row>
    <row r="111" spans="20:47" x14ac:dyDescent="0.35">
      <c r="T111" s="315"/>
      <c r="U111" s="315"/>
      <c r="V111" s="315"/>
      <c r="W111" s="315"/>
      <c r="X111" s="315"/>
      <c r="Y111" s="315"/>
      <c r="Z111" s="315"/>
      <c r="AA111" s="315"/>
      <c r="AH111" s="315"/>
      <c r="AI111" s="315"/>
      <c r="AJ111" s="315"/>
      <c r="AK111" s="315"/>
      <c r="AL111" s="315"/>
      <c r="AM111" s="315"/>
      <c r="AN111" s="315"/>
      <c r="AO111" s="315"/>
      <c r="AP111" s="315"/>
      <c r="AQ111" s="315"/>
      <c r="AR111" s="315"/>
      <c r="AS111" s="315"/>
      <c r="AT111" s="315"/>
      <c r="AU111" s="315"/>
    </row>
    <row r="112" spans="20:47" x14ac:dyDescent="0.35">
      <c r="T112" s="315"/>
      <c r="U112" s="315"/>
      <c r="V112" s="315"/>
      <c r="W112" s="315"/>
      <c r="X112" s="315"/>
      <c r="Y112" s="315"/>
      <c r="Z112" s="315"/>
      <c r="AA112" s="315"/>
      <c r="AH112" s="315"/>
      <c r="AI112" s="315"/>
      <c r="AJ112" s="315"/>
      <c r="AK112" s="315"/>
      <c r="AL112" s="315"/>
      <c r="AM112" s="315"/>
      <c r="AN112" s="315"/>
      <c r="AO112" s="315"/>
      <c r="AP112" s="315"/>
      <c r="AQ112" s="315"/>
      <c r="AR112" s="315"/>
      <c r="AS112" s="315"/>
      <c r="AT112" s="315"/>
      <c r="AU112" s="315"/>
    </row>
    <row r="113" spans="20:47" x14ac:dyDescent="0.35">
      <c r="T113" s="315"/>
      <c r="U113" s="315"/>
      <c r="V113" s="315"/>
      <c r="W113" s="315"/>
      <c r="X113" s="315"/>
      <c r="Y113" s="315"/>
      <c r="Z113" s="315"/>
      <c r="AA113" s="315"/>
      <c r="AH113" s="315"/>
      <c r="AI113" s="315"/>
      <c r="AJ113" s="315"/>
      <c r="AK113" s="315"/>
      <c r="AL113" s="315"/>
      <c r="AM113" s="315"/>
      <c r="AN113" s="315"/>
      <c r="AO113" s="315"/>
      <c r="AP113" s="315"/>
      <c r="AQ113" s="315"/>
      <c r="AR113" s="315"/>
      <c r="AS113" s="315"/>
      <c r="AT113" s="315"/>
      <c r="AU113" s="315"/>
    </row>
    <row r="114" spans="20:47" x14ac:dyDescent="0.35">
      <c r="T114" s="315"/>
      <c r="U114" s="315"/>
      <c r="V114" s="315"/>
      <c r="W114" s="315"/>
      <c r="X114" s="315"/>
      <c r="Y114" s="315"/>
      <c r="Z114" s="315"/>
      <c r="AA114" s="315"/>
      <c r="AH114" s="315"/>
      <c r="AI114" s="315"/>
      <c r="AJ114" s="315"/>
      <c r="AK114" s="315"/>
      <c r="AL114" s="315"/>
      <c r="AM114" s="315"/>
      <c r="AN114" s="315"/>
      <c r="AO114" s="315"/>
      <c r="AP114" s="315"/>
      <c r="AQ114" s="315"/>
      <c r="AR114" s="315"/>
      <c r="AS114" s="315"/>
      <c r="AT114" s="315"/>
      <c r="AU114" s="315"/>
    </row>
    <row r="115" spans="20:47" x14ac:dyDescent="0.35">
      <c r="T115" s="315"/>
      <c r="U115" s="315"/>
      <c r="V115" s="315"/>
      <c r="W115" s="315"/>
      <c r="X115" s="315"/>
      <c r="Y115" s="315"/>
      <c r="Z115" s="315"/>
      <c r="AA115" s="315"/>
      <c r="AH115" s="315"/>
      <c r="AI115" s="315"/>
      <c r="AJ115" s="315"/>
      <c r="AK115" s="315"/>
      <c r="AL115" s="315"/>
      <c r="AM115" s="315"/>
      <c r="AN115" s="315"/>
      <c r="AO115" s="315"/>
      <c r="AP115" s="315"/>
      <c r="AQ115" s="315"/>
      <c r="AR115" s="315"/>
      <c r="AS115" s="315"/>
      <c r="AT115" s="315"/>
      <c r="AU115" s="315"/>
    </row>
    <row r="116" spans="20:47" x14ac:dyDescent="0.35">
      <c r="T116" s="315"/>
      <c r="U116" s="315"/>
      <c r="V116" s="315"/>
      <c r="W116" s="315"/>
      <c r="X116" s="315"/>
      <c r="Y116" s="315"/>
      <c r="Z116" s="315"/>
      <c r="AA116" s="315"/>
      <c r="AH116" s="315"/>
      <c r="AI116" s="315"/>
      <c r="AJ116" s="315"/>
      <c r="AK116" s="315"/>
      <c r="AL116" s="315"/>
      <c r="AM116" s="315"/>
      <c r="AN116" s="315"/>
      <c r="AO116" s="315"/>
      <c r="AP116" s="315"/>
      <c r="AQ116" s="315"/>
      <c r="AR116" s="315"/>
      <c r="AS116" s="315"/>
      <c r="AT116" s="315"/>
      <c r="AU116" s="315"/>
    </row>
    <row r="117" spans="20:47" x14ac:dyDescent="0.35">
      <c r="T117" s="315"/>
      <c r="U117" s="315"/>
      <c r="V117" s="315"/>
      <c r="W117" s="315"/>
      <c r="X117" s="315"/>
      <c r="Y117" s="315"/>
      <c r="Z117" s="315"/>
      <c r="AA117" s="315"/>
      <c r="AH117" s="315"/>
      <c r="AI117" s="315"/>
      <c r="AJ117" s="315"/>
      <c r="AK117" s="315"/>
      <c r="AL117" s="315"/>
      <c r="AM117" s="315"/>
      <c r="AN117" s="315"/>
      <c r="AO117" s="315"/>
      <c r="AP117" s="315"/>
      <c r="AQ117" s="315"/>
      <c r="AR117" s="315"/>
      <c r="AS117" s="315"/>
      <c r="AT117" s="315"/>
      <c r="AU117" s="315"/>
    </row>
    <row r="118" spans="20:47" x14ac:dyDescent="0.35">
      <c r="T118" s="315"/>
      <c r="U118" s="315"/>
      <c r="V118" s="315"/>
      <c r="W118" s="315"/>
      <c r="X118" s="315"/>
      <c r="Y118" s="315"/>
      <c r="Z118" s="315"/>
      <c r="AA118" s="315"/>
      <c r="AH118" s="315"/>
      <c r="AI118" s="315"/>
      <c r="AJ118" s="315"/>
      <c r="AK118" s="315"/>
      <c r="AL118" s="315"/>
      <c r="AM118" s="315"/>
      <c r="AN118" s="315"/>
      <c r="AO118" s="315"/>
      <c r="AP118" s="315"/>
      <c r="AQ118" s="315"/>
      <c r="AR118" s="315"/>
      <c r="AS118" s="315"/>
      <c r="AT118" s="315"/>
      <c r="AU118" s="315"/>
    </row>
    <row r="119" spans="20:47" x14ac:dyDescent="0.35">
      <c r="T119" s="315"/>
      <c r="U119" s="315"/>
      <c r="V119" s="315"/>
      <c r="W119" s="315"/>
      <c r="X119" s="315"/>
      <c r="Y119" s="315"/>
      <c r="Z119" s="315"/>
      <c r="AA119" s="315"/>
      <c r="AH119" s="315"/>
      <c r="AI119" s="315"/>
      <c r="AJ119" s="315"/>
      <c r="AK119" s="315"/>
      <c r="AL119" s="315"/>
      <c r="AM119" s="315"/>
      <c r="AN119" s="315"/>
      <c r="AO119" s="315"/>
      <c r="AP119" s="315"/>
      <c r="AQ119" s="315"/>
      <c r="AR119" s="315"/>
      <c r="AS119" s="315"/>
      <c r="AT119" s="315"/>
      <c r="AU119" s="315"/>
    </row>
    <row r="120" spans="20:47" x14ac:dyDescent="0.35">
      <c r="T120" s="315"/>
      <c r="U120" s="315"/>
      <c r="V120" s="315"/>
      <c r="W120" s="315"/>
      <c r="X120" s="315"/>
      <c r="Y120" s="315"/>
      <c r="Z120" s="315"/>
      <c r="AA120" s="315"/>
      <c r="AH120" s="315"/>
      <c r="AI120" s="315"/>
      <c r="AJ120" s="315"/>
      <c r="AK120" s="315"/>
      <c r="AL120" s="315"/>
      <c r="AM120" s="315"/>
      <c r="AN120" s="315"/>
      <c r="AO120" s="315"/>
      <c r="AP120" s="315"/>
      <c r="AQ120" s="315"/>
      <c r="AR120" s="315"/>
      <c r="AS120" s="315"/>
      <c r="AT120" s="315"/>
      <c r="AU120" s="315"/>
    </row>
    <row r="121" spans="20:47" x14ac:dyDescent="0.35">
      <c r="T121" s="315"/>
      <c r="U121" s="315"/>
      <c r="V121" s="315"/>
      <c r="W121" s="315"/>
      <c r="X121" s="315"/>
      <c r="Y121" s="315"/>
      <c r="Z121" s="315"/>
      <c r="AA121" s="315"/>
      <c r="AH121" s="315"/>
      <c r="AI121" s="315"/>
      <c r="AJ121" s="315"/>
      <c r="AK121" s="315"/>
      <c r="AL121" s="315"/>
      <c r="AM121" s="315"/>
      <c r="AN121" s="315"/>
      <c r="AO121" s="315"/>
      <c r="AP121" s="315"/>
      <c r="AQ121" s="315"/>
      <c r="AR121" s="315"/>
      <c r="AS121" s="315"/>
      <c r="AT121" s="315"/>
      <c r="AU121" s="315"/>
    </row>
    <row r="122" spans="20:47" x14ac:dyDescent="0.35">
      <c r="T122" s="315"/>
      <c r="U122" s="315"/>
      <c r="V122" s="315"/>
      <c r="W122" s="315"/>
      <c r="X122" s="315"/>
      <c r="Y122" s="315"/>
      <c r="Z122" s="315"/>
      <c r="AA122" s="315"/>
      <c r="AH122" s="315"/>
      <c r="AI122" s="315"/>
      <c r="AJ122" s="315"/>
      <c r="AK122" s="315"/>
      <c r="AL122" s="315"/>
      <c r="AM122" s="315"/>
      <c r="AN122" s="315"/>
      <c r="AO122" s="315"/>
      <c r="AP122" s="315"/>
      <c r="AQ122" s="315"/>
      <c r="AR122" s="315"/>
      <c r="AS122" s="315"/>
      <c r="AT122" s="315"/>
      <c r="AU122" s="315"/>
    </row>
    <row r="123" spans="20:47" x14ac:dyDescent="0.35">
      <c r="T123" s="315"/>
      <c r="U123" s="315"/>
      <c r="V123" s="315"/>
      <c r="W123" s="315"/>
      <c r="X123" s="315"/>
      <c r="Y123" s="315"/>
      <c r="Z123" s="315"/>
      <c r="AA123" s="315"/>
      <c r="AH123" s="315"/>
      <c r="AI123" s="315"/>
      <c r="AJ123" s="315"/>
      <c r="AK123" s="315"/>
      <c r="AL123" s="315"/>
      <c r="AM123" s="315"/>
      <c r="AN123" s="315"/>
      <c r="AO123" s="315"/>
      <c r="AP123" s="315"/>
      <c r="AQ123" s="315"/>
      <c r="AR123" s="315"/>
      <c r="AS123" s="315"/>
      <c r="AT123" s="315"/>
      <c r="AU123" s="315"/>
    </row>
    <row r="124" spans="20:47" x14ac:dyDescent="0.35">
      <c r="T124" s="315"/>
      <c r="U124" s="315"/>
      <c r="V124" s="315"/>
      <c r="W124" s="315"/>
      <c r="X124" s="315"/>
      <c r="Y124" s="315"/>
      <c r="Z124" s="315"/>
      <c r="AA124" s="315"/>
      <c r="AH124" s="315"/>
      <c r="AI124" s="315"/>
      <c r="AJ124" s="315"/>
      <c r="AK124" s="315"/>
      <c r="AL124" s="315"/>
      <c r="AM124" s="315"/>
      <c r="AN124" s="315"/>
      <c r="AO124" s="315"/>
      <c r="AP124" s="315"/>
      <c r="AQ124" s="315"/>
      <c r="AR124" s="315"/>
      <c r="AS124" s="315"/>
      <c r="AT124" s="315"/>
      <c r="AU124" s="315"/>
    </row>
    <row r="125" spans="20:47" x14ac:dyDescent="0.35">
      <c r="T125" s="315"/>
      <c r="U125" s="315"/>
      <c r="V125" s="315"/>
      <c r="W125" s="315"/>
      <c r="X125" s="315"/>
      <c r="Y125" s="315"/>
      <c r="Z125" s="315"/>
      <c r="AA125" s="315"/>
      <c r="AH125" s="315"/>
      <c r="AI125" s="315"/>
      <c r="AJ125" s="315"/>
      <c r="AK125" s="315"/>
      <c r="AL125" s="315"/>
      <c r="AM125" s="315"/>
      <c r="AN125" s="315"/>
      <c r="AO125" s="315"/>
      <c r="AP125" s="315"/>
      <c r="AQ125" s="315"/>
      <c r="AR125" s="315"/>
      <c r="AS125" s="315"/>
      <c r="AT125" s="315"/>
      <c r="AU125" s="315"/>
    </row>
    <row r="126" spans="20:47" x14ac:dyDescent="0.35">
      <c r="T126" s="315"/>
      <c r="U126" s="315"/>
      <c r="V126" s="315"/>
      <c r="W126" s="315"/>
      <c r="X126" s="315"/>
      <c r="Y126" s="315"/>
      <c r="Z126" s="315"/>
      <c r="AA126" s="315"/>
      <c r="AH126" s="315"/>
      <c r="AI126" s="315"/>
      <c r="AJ126" s="315"/>
      <c r="AK126" s="315"/>
      <c r="AL126" s="315"/>
      <c r="AM126" s="315"/>
      <c r="AN126" s="315"/>
      <c r="AO126" s="315"/>
      <c r="AP126" s="315"/>
      <c r="AQ126" s="315"/>
      <c r="AR126" s="315"/>
      <c r="AS126" s="315"/>
      <c r="AT126" s="315"/>
      <c r="AU126" s="315"/>
    </row>
    <row r="127" spans="20:47" x14ac:dyDescent="0.35">
      <c r="T127" s="315"/>
      <c r="U127" s="315"/>
      <c r="V127" s="315"/>
      <c r="W127" s="315"/>
      <c r="X127" s="315"/>
      <c r="Y127" s="315"/>
      <c r="Z127" s="315"/>
      <c r="AA127" s="315"/>
      <c r="AH127" s="315"/>
      <c r="AI127" s="315"/>
      <c r="AJ127" s="315"/>
      <c r="AK127" s="315"/>
      <c r="AL127" s="315"/>
      <c r="AM127" s="315"/>
      <c r="AN127" s="315"/>
      <c r="AO127" s="315"/>
      <c r="AP127" s="315"/>
      <c r="AQ127" s="315"/>
      <c r="AR127" s="315"/>
      <c r="AS127" s="315"/>
      <c r="AT127" s="315"/>
      <c r="AU127" s="315"/>
    </row>
    <row r="128" spans="20:47" x14ac:dyDescent="0.35">
      <c r="T128" s="315"/>
      <c r="U128" s="315"/>
      <c r="V128" s="315"/>
      <c r="W128" s="315"/>
      <c r="X128" s="315"/>
      <c r="Y128" s="315"/>
      <c r="Z128" s="315"/>
      <c r="AA128" s="315"/>
      <c r="AH128" s="315"/>
      <c r="AI128" s="315"/>
      <c r="AJ128" s="315"/>
      <c r="AK128" s="315"/>
      <c r="AL128" s="315"/>
      <c r="AM128" s="315"/>
      <c r="AN128" s="315"/>
      <c r="AO128" s="315"/>
      <c r="AP128" s="315"/>
      <c r="AQ128" s="315"/>
      <c r="AR128" s="315"/>
      <c r="AS128" s="315"/>
      <c r="AT128" s="315"/>
      <c r="AU128" s="315"/>
    </row>
    <row r="129" spans="20:47" x14ac:dyDescent="0.35">
      <c r="T129" s="315"/>
      <c r="U129" s="315"/>
      <c r="V129" s="315"/>
      <c r="W129" s="315"/>
      <c r="X129" s="315"/>
      <c r="Y129" s="315"/>
      <c r="Z129" s="315"/>
      <c r="AA129" s="315"/>
      <c r="AH129" s="315"/>
      <c r="AI129" s="315"/>
      <c r="AJ129" s="315"/>
      <c r="AK129" s="315"/>
      <c r="AL129" s="315"/>
      <c r="AM129" s="315"/>
      <c r="AN129" s="315"/>
      <c r="AO129" s="315"/>
      <c r="AP129" s="315"/>
      <c r="AQ129" s="315"/>
      <c r="AR129" s="315"/>
      <c r="AS129" s="315"/>
      <c r="AT129" s="315"/>
      <c r="AU129" s="315"/>
    </row>
    <row r="130" spans="20:47" x14ac:dyDescent="0.35">
      <c r="T130" s="315"/>
      <c r="U130" s="315"/>
      <c r="V130" s="315"/>
      <c r="W130" s="315"/>
      <c r="X130" s="315"/>
      <c r="Y130" s="315"/>
      <c r="Z130" s="315"/>
      <c r="AA130" s="315"/>
      <c r="AH130" s="315"/>
      <c r="AI130" s="315"/>
      <c r="AJ130" s="315"/>
      <c r="AK130" s="315"/>
      <c r="AL130" s="315"/>
      <c r="AM130" s="315"/>
      <c r="AN130" s="315"/>
      <c r="AO130" s="315"/>
      <c r="AP130" s="315"/>
      <c r="AQ130" s="315"/>
      <c r="AR130" s="315"/>
      <c r="AS130" s="315"/>
      <c r="AT130" s="315"/>
      <c r="AU130" s="315"/>
    </row>
    <row r="131" spans="20:47" x14ac:dyDescent="0.35">
      <c r="T131" s="315"/>
      <c r="U131" s="315"/>
      <c r="V131" s="315"/>
      <c r="W131" s="315"/>
      <c r="X131" s="315"/>
      <c r="Y131" s="315"/>
      <c r="Z131" s="315"/>
      <c r="AA131" s="315"/>
      <c r="AH131" s="315"/>
      <c r="AI131" s="315"/>
      <c r="AJ131" s="315"/>
      <c r="AK131" s="315"/>
      <c r="AL131" s="315"/>
      <c r="AM131" s="315"/>
      <c r="AN131" s="315"/>
      <c r="AO131" s="315"/>
      <c r="AP131" s="315"/>
      <c r="AQ131" s="315"/>
      <c r="AR131" s="315"/>
      <c r="AS131" s="315"/>
      <c r="AT131" s="315"/>
      <c r="AU131" s="315"/>
    </row>
    <row r="132" spans="20:47" x14ac:dyDescent="0.35">
      <c r="T132" s="315"/>
      <c r="U132" s="315"/>
      <c r="V132" s="315"/>
      <c r="W132" s="315"/>
      <c r="X132" s="315"/>
      <c r="Y132" s="315"/>
      <c r="Z132" s="315"/>
      <c r="AA132" s="315"/>
      <c r="AH132" s="315"/>
      <c r="AI132" s="315"/>
      <c r="AJ132" s="315"/>
      <c r="AK132" s="315"/>
      <c r="AL132" s="315"/>
      <c r="AM132" s="315"/>
      <c r="AN132" s="315"/>
      <c r="AO132" s="315"/>
      <c r="AP132" s="315"/>
      <c r="AQ132" s="315"/>
      <c r="AR132" s="315"/>
      <c r="AS132" s="315"/>
      <c r="AT132" s="315"/>
      <c r="AU132" s="315"/>
    </row>
    <row r="133" spans="20:47" x14ac:dyDescent="0.35">
      <c r="T133" s="315"/>
      <c r="U133" s="315"/>
      <c r="V133" s="315"/>
      <c r="W133" s="315"/>
      <c r="X133" s="315"/>
      <c r="Y133" s="315"/>
      <c r="Z133" s="315"/>
      <c r="AA133" s="315"/>
      <c r="AH133" s="315"/>
      <c r="AI133" s="315"/>
      <c r="AJ133" s="315"/>
      <c r="AK133" s="315"/>
      <c r="AL133" s="315"/>
      <c r="AM133" s="315"/>
      <c r="AN133" s="315"/>
      <c r="AO133" s="315"/>
      <c r="AP133" s="315"/>
      <c r="AQ133" s="315"/>
      <c r="AR133" s="315"/>
      <c r="AS133" s="315"/>
      <c r="AT133" s="315"/>
      <c r="AU133" s="315"/>
    </row>
    <row r="134" spans="20:47" x14ac:dyDescent="0.35">
      <c r="T134" s="315"/>
      <c r="U134" s="315"/>
      <c r="V134" s="315"/>
      <c r="W134" s="315"/>
      <c r="X134" s="315"/>
      <c r="Y134" s="315"/>
      <c r="Z134" s="315"/>
      <c r="AA134" s="315"/>
      <c r="AH134" s="315"/>
      <c r="AI134" s="315"/>
      <c r="AJ134" s="315"/>
      <c r="AK134" s="315"/>
      <c r="AL134" s="315"/>
      <c r="AM134" s="315"/>
      <c r="AN134" s="315"/>
      <c r="AO134" s="315"/>
      <c r="AP134" s="315"/>
      <c r="AQ134" s="315"/>
      <c r="AR134" s="315"/>
      <c r="AS134" s="315"/>
      <c r="AT134" s="315"/>
      <c r="AU134" s="315"/>
    </row>
    <row r="135" spans="20:47" x14ac:dyDescent="0.35">
      <c r="T135" s="315"/>
      <c r="U135" s="315"/>
      <c r="V135" s="315"/>
      <c r="W135" s="315"/>
      <c r="X135" s="315"/>
      <c r="Y135" s="315"/>
      <c r="Z135" s="315"/>
      <c r="AA135" s="315"/>
      <c r="AH135" s="315"/>
      <c r="AI135" s="315"/>
      <c r="AJ135" s="315"/>
      <c r="AK135" s="315"/>
      <c r="AL135" s="315"/>
      <c r="AM135" s="315"/>
      <c r="AN135" s="315"/>
      <c r="AO135" s="315"/>
      <c r="AP135" s="315"/>
      <c r="AQ135" s="315"/>
      <c r="AR135" s="315"/>
      <c r="AS135" s="315"/>
      <c r="AT135" s="315"/>
      <c r="AU135" s="315"/>
    </row>
    <row r="136" spans="20:47" x14ac:dyDescent="0.35">
      <c r="T136" s="315"/>
      <c r="U136" s="315"/>
      <c r="V136" s="315"/>
      <c r="W136" s="315"/>
      <c r="X136" s="315"/>
      <c r="Y136" s="315"/>
      <c r="Z136" s="315"/>
      <c r="AA136" s="315"/>
      <c r="AH136" s="315"/>
      <c r="AI136" s="315"/>
      <c r="AJ136" s="315"/>
      <c r="AK136" s="315"/>
      <c r="AL136" s="315"/>
      <c r="AM136" s="315"/>
      <c r="AN136" s="315"/>
      <c r="AO136" s="315"/>
      <c r="AP136" s="315"/>
      <c r="AQ136" s="315"/>
      <c r="AR136" s="315"/>
      <c r="AS136" s="315"/>
      <c r="AT136" s="315"/>
      <c r="AU136" s="315"/>
    </row>
    <row r="137" spans="20:47" x14ac:dyDescent="0.35">
      <c r="T137" s="315"/>
      <c r="U137" s="315"/>
      <c r="V137" s="315"/>
      <c r="W137" s="315"/>
      <c r="X137" s="315"/>
      <c r="Y137" s="315"/>
      <c r="Z137" s="315"/>
      <c r="AA137" s="315"/>
      <c r="AH137" s="315"/>
      <c r="AI137" s="315"/>
      <c r="AJ137" s="315"/>
      <c r="AK137" s="315"/>
      <c r="AL137" s="315"/>
      <c r="AM137" s="315"/>
      <c r="AN137" s="315"/>
      <c r="AO137" s="315"/>
      <c r="AP137" s="315"/>
      <c r="AQ137" s="315"/>
      <c r="AR137" s="315"/>
      <c r="AS137" s="315"/>
      <c r="AT137" s="315"/>
      <c r="AU137" s="315"/>
    </row>
    <row r="138" spans="20:47" x14ac:dyDescent="0.35">
      <c r="T138" s="315"/>
      <c r="U138" s="315"/>
      <c r="V138" s="315"/>
      <c r="W138" s="315"/>
      <c r="X138" s="315"/>
      <c r="Y138" s="315"/>
      <c r="Z138" s="315"/>
      <c r="AA138" s="315"/>
      <c r="AH138" s="315"/>
      <c r="AI138" s="315"/>
      <c r="AJ138" s="315"/>
      <c r="AK138" s="315"/>
      <c r="AL138" s="315"/>
      <c r="AM138" s="315"/>
      <c r="AN138" s="315"/>
      <c r="AO138" s="315"/>
      <c r="AP138" s="315"/>
      <c r="AQ138" s="315"/>
      <c r="AR138" s="315"/>
      <c r="AS138" s="315"/>
      <c r="AT138" s="315"/>
      <c r="AU138" s="315"/>
    </row>
    <row r="139" spans="20:47" x14ac:dyDescent="0.35">
      <c r="T139" s="315"/>
      <c r="U139" s="315"/>
      <c r="V139" s="315"/>
      <c r="W139" s="315"/>
      <c r="X139" s="315"/>
      <c r="Y139" s="315"/>
      <c r="Z139" s="315"/>
      <c r="AA139" s="315"/>
      <c r="AH139" s="315"/>
      <c r="AI139" s="315"/>
      <c r="AJ139" s="315"/>
      <c r="AK139" s="315"/>
      <c r="AL139" s="315"/>
      <c r="AM139" s="315"/>
      <c r="AN139" s="315"/>
      <c r="AO139" s="315"/>
      <c r="AP139" s="315"/>
      <c r="AQ139" s="315"/>
      <c r="AR139" s="315"/>
      <c r="AS139" s="315"/>
      <c r="AT139" s="315"/>
      <c r="AU139" s="315"/>
    </row>
    <row r="140" spans="20:47" x14ac:dyDescent="0.35">
      <c r="T140" s="315"/>
      <c r="U140" s="315"/>
      <c r="V140" s="315"/>
      <c r="W140" s="315"/>
      <c r="X140" s="315"/>
      <c r="Y140" s="315"/>
      <c r="Z140" s="315"/>
      <c r="AA140" s="315"/>
      <c r="AH140" s="315"/>
      <c r="AI140" s="315"/>
      <c r="AJ140" s="315"/>
      <c r="AK140" s="315"/>
      <c r="AL140" s="315"/>
      <c r="AM140" s="315"/>
      <c r="AN140" s="315"/>
      <c r="AO140" s="315"/>
      <c r="AP140" s="315"/>
      <c r="AQ140" s="315"/>
      <c r="AR140" s="315"/>
      <c r="AS140" s="315"/>
      <c r="AT140" s="315"/>
      <c r="AU140" s="315"/>
    </row>
    <row r="141" spans="20:47" x14ac:dyDescent="0.35">
      <c r="T141" s="315"/>
      <c r="U141" s="315"/>
      <c r="V141" s="315"/>
      <c r="W141" s="315"/>
      <c r="X141" s="315"/>
      <c r="Y141" s="315"/>
      <c r="Z141" s="315"/>
      <c r="AA141" s="315"/>
      <c r="AH141" s="315"/>
      <c r="AI141" s="315"/>
      <c r="AJ141" s="315"/>
      <c r="AK141" s="315"/>
      <c r="AL141" s="315"/>
      <c r="AM141" s="315"/>
      <c r="AN141" s="315"/>
      <c r="AO141" s="315"/>
      <c r="AP141" s="315"/>
      <c r="AQ141" s="315"/>
      <c r="AR141" s="315"/>
      <c r="AS141" s="315"/>
      <c r="AT141" s="315"/>
      <c r="AU141" s="315"/>
    </row>
    <row r="142" spans="20:47" x14ac:dyDescent="0.35">
      <c r="T142" s="315"/>
      <c r="U142" s="315"/>
      <c r="V142" s="315"/>
      <c r="W142" s="315"/>
      <c r="X142" s="315"/>
      <c r="Y142" s="315"/>
      <c r="Z142" s="315"/>
      <c r="AA142" s="315"/>
      <c r="AH142" s="315"/>
      <c r="AI142" s="315"/>
      <c r="AJ142" s="315"/>
      <c r="AK142" s="315"/>
      <c r="AL142" s="315"/>
      <c r="AM142" s="315"/>
      <c r="AN142" s="315"/>
      <c r="AO142" s="315"/>
      <c r="AP142" s="315"/>
      <c r="AQ142" s="315"/>
      <c r="AR142" s="315"/>
      <c r="AS142" s="315"/>
      <c r="AT142" s="315"/>
      <c r="AU142" s="315"/>
    </row>
    <row r="143" spans="20:47" x14ac:dyDescent="0.35">
      <c r="T143" s="315"/>
      <c r="U143" s="315"/>
      <c r="V143" s="315"/>
      <c r="W143" s="315"/>
      <c r="X143" s="315"/>
      <c r="Y143" s="315"/>
      <c r="Z143" s="315"/>
      <c r="AA143" s="315"/>
      <c r="AH143" s="315"/>
      <c r="AI143" s="315"/>
      <c r="AJ143" s="315"/>
      <c r="AK143" s="315"/>
      <c r="AL143" s="315"/>
      <c r="AM143" s="315"/>
      <c r="AN143" s="315"/>
      <c r="AO143" s="315"/>
      <c r="AP143" s="315"/>
      <c r="AQ143" s="315"/>
      <c r="AR143" s="315"/>
      <c r="AS143" s="315"/>
      <c r="AT143" s="315"/>
      <c r="AU143" s="315"/>
    </row>
    <row r="144" spans="20:47" x14ac:dyDescent="0.35">
      <c r="AH144" s="315"/>
      <c r="AI144" s="315"/>
      <c r="AJ144" s="315"/>
      <c r="AK144" s="315"/>
      <c r="AL144" s="315"/>
      <c r="AM144" s="315"/>
      <c r="AN144" s="315"/>
      <c r="AO144" s="315"/>
      <c r="AP144" s="315"/>
      <c r="AQ144" s="315"/>
      <c r="AR144" s="315"/>
      <c r="AS144" s="315"/>
    </row>
    <row r="145" spans="34:45" x14ac:dyDescent="0.35">
      <c r="AH145" s="315"/>
      <c r="AI145" s="315"/>
      <c r="AJ145" s="315"/>
      <c r="AK145" s="315"/>
      <c r="AL145" s="315"/>
      <c r="AM145" s="315"/>
      <c r="AN145" s="315"/>
      <c r="AO145" s="315"/>
      <c r="AP145" s="315"/>
      <c r="AQ145" s="315"/>
      <c r="AR145" s="315"/>
      <c r="AS145" s="315"/>
    </row>
    <row r="146" spans="34:45" x14ac:dyDescent="0.35">
      <c r="AH146" s="315"/>
      <c r="AI146" s="315"/>
      <c r="AJ146" s="315"/>
      <c r="AK146" s="315"/>
      <c r="AL146" s="315"/>
      <c r="AM146" s="315"/>
      <c r="AN146" s="315"/>
      <c r="AO146" s="315"/>
      <c r="AP146" s="315"/>
      <c r="AQ146" s="315"/>
      <c r="AR146" s="315"/>
      <c r="AS146" s="315"/>
    </row>
    <row r="147" spans="34:45" x14ac:dyDescent="0.35">
      <c r="AH147" s="315"/>
      <c r="AI147" s="315"/>
      <c r="AJ147" s="315"/>
      <c r="AK147" s="315"/>
      <c r="AL147" s="315"/>
      <c r="AM147" s="315"/>
      <c r="AN147" s="315"/>
      <c r="AO147" s="315"/>
      <c r="AP147" s="315"/>
      <c r="AQ147" s="315"/>
      <c r="AR147" s="315"/>
      <c r="AS147" s="315"/>
    </row>
    <row r="148" spans="34:45" x14ac:dyDescent="0.35">
      <c r="AH148" s="315"/>
      <c r="AI148" s="315"/>
      <c r="AJ148" s="315"/>
      <c r="AK148" s="315"/>
      <c r="AL148" s="315"/>
      <c r="AM148" s="315"/>
      <c r="AN148" s="315"/>
      <c r="AO148" s="315"/>
      <c r="AP148" s="315"/>
      <c r="AQ148" s="315"/>
      <c r="AR148" s="315"/>
      <c r="AS148" s="315"/>
    </row>
    <row r="149" spans="34:45" x14ac:dyDescent="0.35">
      <c r="AH149" s="315"/>
      <c r="AI149" s="315"/>
      <c r="AJ149" s="315"/>
      <c r="AK149" s="315"/>
      <c r="AL149" s="315"/>
      <c r="AM149" s="315"/>
      <c r="AN149" s="315"/>
      <c r="AO149" s="315"/>
      <c r="AP149" s="315"/>
      <c r="AQ149" s="315"/>
      <c r="AR149" s="315"/>
      <c r="AS149" s="315"/>
    </row>
    <row r="150" spans="34:45" x14ac:dyDescent="0.35">
      <c r="AH150" s="315"/>
      <c r="AI150" s="315"/>
      <c r="AJ150" s="315"/>
      <c r="AK150" s="315"/>
      <c r="AL150" s="315"/>
      <c r="AM150" s="315"/>
      <c r="AN150" s="315"/>
      <c r="AO150" s="315"/>
      <c r="AP150" s="315"/>
      <c r="AQ150" s="315"/>
      <c r="AR150" s="315"/>
      <c r="AS150" s="315"/>
    </row>
    <row r="151" spans="34:45" x14ac:dyDescent="0.35">
      <c r="AH151" s="315"/>
      <c r="AI151" s="315"/>
      <c r="AJ151" s="315"/>
      <c r="AK151" s="315"/>
      <c r="AL151" s="315"/>
      <c r="AM151" s="315"/>
      <c r="AN151" s="315"/>
      <c r="AO151" s="315"/>
      <c r="AP151" s="315"/>
      <c r="AQ151" s="315"/>
      <c r="AR151" s="315"/>
      <c r="AS151" s="315"/>
    </row>
    <row r="152" spans="34:45" x14ac:dyDescent="0.35">
      <c r="AH152" s="315"/>
      <c r="AI152" s="315"/>
      <c r="AJ152" s="315"/>
      <c r="AK152" s="315"/>
      <c r="AL152" s="315"/>
      <c r="AM152" s="315"/>
      <c r="AN152" s="315"/>
      <c r="AO152" s="315"/>
      <c r="AP152" s="315"/>
      <c r="AQ152" s="315"/>
      <c r="AR152" s="315"/>
      <c r="AS152" s="315"/>
    </row>
    <row r="153" spans="34:45" x14ac:dyDescent="0.35">
      <c r="AH153" s="315"/>
      <c r="AI153" s="315"/>
      <c r="AJ153" s="315"/>
      <c r="AK153" s="315"/>
      <c r="AL153" s="315"/>
      <c r="AM153" s="315"/>
      <c r="AN153" s="315"/>
      <c r="AO153" s="315"/>
      <c r="AP153" s="315"/>
      <c r="AQ153" s="315"/>
      <c r="AR153" s="315"/>
      <c r="AS153" s="315"/>
    </row>
    <row r="154" spans="34:45" x14ac:dyDescent="0.35">
      <c r="AH154" s="315"/>
      <c r="AI154" s="315"/>
      <c r="AJ154" s="315"/>
      <c r="AK154" s="315"/>
      <c r="AL154" s="315"/>
      <c r="AM154" s="315"/>
      <c r="AN154" s="315"/>
      <c r="AO154" s="315"/>
      <c r="AP154" s="315"/>
      <c r="AQ154" s="315"/>
      <c r="AR154" s="315"/>
      <c r="AS154" s="315"/>
    </row>
    <row r="155" spans="34:45" x14ac:dyDescent="0.35">
      <c r="AH155" s="315"/>
      <c r="AI155" s="315"/>
      <c r="AJ155" s="315"/>
      <c r="AK155" s="315"/>
      <c r="AL155" s="315"/>
      <c r="AM155" s="315"/>
      <c r="AN155" s="315"/>
      <c r="AO155" s="315"/>
      <c r="AP155" s="315"/>
      <c r="AQ155" s="315"/>
      <c r="AR155" s="315"/>
      <c r="AS155" s="315"/>
    </row>
    <row r="156" spans="34:45" x14ac:dyDescent="0.35">
      <c r="AH156" s="315"/>
      <c r="AI156" s="315"/>
      <c r="AJ156" s="315"/>
      <c r="AK156" s="315"/>
      <c r="AL156" s="315"/>
      <c r="AM156" s="315"/>
      <c r="AN156" s="315"/>
      <c r="AO156" s="315"/>
      <c r="AP156" s="315"/>
      <c r="AQ156" s="315"/>
      <c r="AR156" s="315"/>
      <c r="AS156" s="315"/>
    </row>
    <row r="157" spans="34:45" x14ac:dyDescent="0.35">
      <c r="AH157" s="315"/>
      <c r="AI157" s="315"/>
      <c r="AJ157" s="315"/>
      <c r="AK157" s="315"/>
      <c r="AL157" s="315"/>
      <c r="AM157" s="315"/>
      <c r="AN157" s="315"/>
      <c r="AO157" s="315"/>
      <c r="AP157" s="315"/>
      <c r="AQ157" s="315"/>
      <c r="AR157" s="315"/>
      <c r="AS157" s="315"/>
    </row>
    <row r="158" spans="34:45" x14ac:dyDescent="0.35">
      <c r="AH158" s="315"/>
      <c r="AI158" s="315"/>
      <c r="AJ158" s="315"/>
      <c r="AK158" s="315"/>
      <c r="AL158" s="315"/>
      <c r="AM158" s="315"/>
      <c r="AN158" s="315"/>
      <c r="AO158" s="315"/>
      <c r="AP158" s="315"/>
      <c r="AQ158" s="315"/>
      <c r="AR158" s="315"/>
      <c r="AS158" s="315"/>
    </row>
    <row r="159" spans="34:45" x14ac:dyDescent="0.35">
      <c r="AH159" s="315"/>
      <c r="AI159" s="315"/>
      <c r="AJ159" s="315"/>
      <c r="AK159" s="315"/>
      <c r="AL159" s="315"/>
      <c r="AM159" s="315"/>
      <c r="AN159" s="315"/>
      <c r="AO159" s="315"/>
      <c r="AP159" s="315"/>
      <c r="AQ159" s="315"/>
      <c r="AR159" s="315"/>
      <c r="AS159" s="315"/>
    </row>
    <row r="160" spans="34:45" x14ac:dyDescent="0.35">
      <c r="AH160" s="315"/>
      <c r="AI160" s="315"/>
      <c r="AJ160" s="315"/>
      <c r="AK160" s="315"/>
      <c r="AL160" s="315"/>
      <c r="AM160" s="315"/>
      <c r="AN160" s="315"/>
      <c r="AO160" s="315"/>
      <c r="AP160" s="315"/>
      <c r="AQ160" s="315"/>
      <c r="AR160" s="315"/>
      <c r="AS160" s="315"/>
    </row>
    <row r="161" spans="34:45" x14ac:dyDescent="0.35">
      <c r="AH161" s="315"/>
      <c r="AI161" s="315"/>
      <c r="AJ161" s="315"/>
      <c r="AK161" s="315"/>
      <c r="AL161" s="315"/>
      <c r="AM161" s="315"/>
      <c r="AN161" s="315"/>
      <c r="AO161" s="315"/>
      <c r="AP161" s="315"/>
      <c r="AQ161" s="315"/>
      <c r="AR161" s="315"/>
      <c r="AS161" s="315"/>
    </row>
    <row r="162" spans="34:45" x14ac:dyDescent="0.35">
      <c r="AH162" s="315"/>
      <c r="AI162" s="315"/>
      <c r="AJ162" s="315"/>
      <c r="AK162" s="315"/>
      <c r="AL162" s="315"/>
      <c r="AM162" s="315"/>
      <c r="AN162" s="315"/>
      <c r="AO162" s="315"/>
      <c r="AP162" s="315"/>
      <c r="AQ162" s="315"/>
      <c r="AR162" s="315"/>
      <c r="AS162" s="315"/>
    </row>
    <row r="163" spans="34:45" x14ac:dyDescent="0.35">
      <c r="AH163" s="315"/>
      <c r="AI163" s="315"/>
      <c r="AJ163" s="315"/>
      <c r="AK163" s="315"/>
      <c r="AL163" s="315"/>
      <c r="AM163" s="315"/>
      <c r="AN163" s="315"/>
      <c r="AO163" s="315"/>
      <c r="AP163" s="315"/>
      <c r="AQ163" s="315"/>
      <c r="AR163" s="315"/>
      <c r="AS163" s="315"/>
    </row>
    <row r="164" spans="34:45" x14ac:dyDescent="0.35">
      <c r="AH164" s="315"/>
      <c r="AI164" s="315"/>
      <c r="AJ164" s="315"/>
      <c r="AK164" s="315"/>
      <c r="AL164" s="315"/>
      <c r="AM164" s="315"/>
      <c r="AN164" s="315"/>
      <c r="AO164" s="315"/>
      <c r="AP164" s="315"/>
      <c r="AQ164" s="315"/>
      <c r="AR164" s="315"/>
      <c r="AS164" s="315"/>
    </row>
    <row r="165" spans="34:45" x14ac:dyDescent="0.35">
      <c r="AH165" s="315"/>
      <c r="AI165" s="315"/>
      <c r="AJ165" s="315"/>
      <c r="AK165" s="315"/>
      <c r="AL165" s="315"/>
      <c r="AM165" s="315"/>
      <c r="AN165" s="315"/>
      <c r="AO165" s="315"/>
      <c r="AP165" s="315"/>
      <c r="AQ165" s="315"/>
      <c r="AR165" s="315"/>
      <c r="AS165" s="315"/>
    </row>
    <row r="166" spans="34:45" x14ac:dyDescent="0.35">
      <c r="AH166" s="315"/>
      <c r="AI166" s="315"/>
      <c r="AJ166" s="315"/>
      <c r="AK166" s="315"/>
      <c r="AL166" s="315"/>
      <c r="AM166" s="315"/>
      <c r="AN166" s="315"/>
      <c r="AO166" s="315"/>
      <c r="AP166" s="315"/>
      <c r="AQ166" s="315"/>
      <c r="AR166" s="315"/>
      <c r="AS166" s="315"/>
    </row>
    <row r="167" spans="34:45" x14ac:dyDescent="0.35">
      <c r="AH167" s="315"/>
      <c r="AI167" s="315"/>
      <c r="AJ167" s="315"/>
      <c r="AK167" s="315"/>
      <c r="AL167" s="315"/>
      <c r="AM167" s="315"/>
      <c r="AN167" s="315"/>
      <c r="AO167" s="315"/>
      <c r="AP167" s="315"/>
      <c r="AQ167" s="315"/>
      <c r="AR167" s="315"/>
      <c r="AS167" s="315"/>
    </row>
    <row r="168" spans="34:45" x14ac:dyDescent="0.35">
      <c r="AH168" s="315"/>
      <c r="AI168" s="315"/>
      <c r="AJ168" s="315"/>
      <c r="AK168" s="315"/>
      <c r="AL168" s="315"/>
      <c r="AM168" s="315"/>
      <c r="AN168" s="315"/>
      <c r="AO168" s="315"/>
      <c r="AP168" s="315"/>
      <c r="AQ168" s="315"/>
      <c r="AR168" s="315"/>
      <c r="AS168" s="315"/>
    </row>
    <row r="169" spans="34:45" x14ac:dyDescent="0.35">
      <c r="AH169" s="315"/>
      <c r="AI169" s="315"/>
      <c r="AJ169" s="315"/>
      <c r="AK169" s="315"/>
      <c r="AL169" s="315"/>
      <c r="AM169" s="315"/>
      <c r="AN169" s="315"/>
      <c r="AO169" s="315"/>
      <c r="AP169" s="315"/>
      <c r="AQ169" s="315"/>
      <c r="AR169" s="315"/>
      <c r="AS169" s="315"/>
    </row>
    <row r="170" spans="34:45" x14ac:dyDescent="0.35">
      <c r="AH170" s="315"/>
      <c r="AI170" s="315"/>
      <c r="AJ170" s="315"/>
      <c r="AK170" s="315"/>
      <c r="AL170" s="315"/>
      <c r="AM170" s="315"/>
      <c r="AN170" s="315"/>
      <c r="AO170" s="315"/>
      <c r="AP170" s="315"/>
      <c r="AQ170" s="315"/>
      <c r="AR170" s="315"/>
      <c r="AS170" s="315"/>
    </row>
  </sheetData>
  <sheetProtection sheet="1" objects="1" scenarios="1" formatCells="0" formatColumns="0" formatRows="0"/>
  <mergeCells count="12">
    <mergeCell ref="B13:D13"/>
    <mergeCell ref="B17:D17"/>
    <mergeCell ref="B26:D26"/>
    <mergeCell ref="N2:S2"/>
    <mergeCell ref="A3:A4"/>
    <mergeCell ref="A1:G2"/>
    <mergeCell ref="B3:G3"/>
    <mergeCell ref="T2:U2"/>
    <mergeCell ref="Z2:AA2"/>
    <mergeCell ref="AB2:AF2"/>
    <mergeCell ref="V2:W2"/>
    <mergeCell ref="X2:Y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312C6-E035-4E46-92B0-E49662169D27}">
  <sheetPr>
    <tabColor rgb="FF00B050"/>
  </sheetPr>
  <dimension ref="A1:BF169"/>
  <sheetViews>
    <sheetView zoomScale="80" zoomScaleNormal="80" workbookViewId="0">
      <selection sqref="A1:G2"/>
    </sheetView>
  </sheetViews>
  <sheetFormatPr defaultColWidth="9.453125" defaultRowHeight="15.5" x14ac:dyDescent="0.35"/>
  <cols>
    <col min="1" max="1" width="21.453125" style="205" customWidth="1"/>
    <col min="2" max="2" width="16.90625" style="205" customWidth="1"/>
    <col min="3" max="3" width="26.453125" style="205" customWidth="1"/>
    <col min="4" max="4" width="19.54296875" style="205" customWidth="1"/>
    <col min="5" max="5" width="22.54296875" style="205" customWidth="1"/>
    <col min="6" max="6" width="23.54296875" style="206" customWidth="1"/>
    <col min="7" max="7" width="22.453125" style="205" customWidth="1"/>
    <col min="8" max="8" width="43.54296875" style="206" customWidth="1"/>
    <col min="9" max="10" width="12.54296875" style="206" customWidth="1"/>
    <col min="11" max="12" width="12.54296875" style="205" customWidth="1"/>
    <col min="13" max="13" width="11" style="205" customWidth="1"/>
    <col min="14" max="14" width="8.453125" style="205" customWidth="1"/>
    <col min="15" max="15" width="7.453125" style="205" customWidth="1"/>
    <col min="16" max="17" width="10.54296875" style="205" customWidth="1"/>
    <col min="18" max="19" width="9.54296875" style="205" customWidth="1"/>
    <col min="20" max="23" width="17.54296875" style="205" customWidth="1"/>
    <col min="24" max="24" width="16.453125" style="205" customWidth="1"/>
    <col min="25" max="25" width="18.453125" style="205" customWidth="1"/>
    <col min="26" max="26" width="16.453125" style="205" customWidth="1"/>
    <col min="27" max="29" width="18.453125" style="205" customWidth="1"/>
    <col min="30" max="31" width="15.453125" style="205" customWidth="1"/>
    <col min="32" max="33" width="32.453125" style="205" customWidth="1"/>
    <col min="34" max="54" width="15.54296875" style="136" customWidth="1"/>
    <col min="55" max="56" width="9.453125" style="136"/>
    <col min="57" max="57" width="18.453125" style="136" customWidth="1"/>
    <col min="58" max="58" width="14.453125" style="136" bestFit="1" customWidth="1"/>
    <col min="59" max="16384" width="9.453125" style="136"/>
  </cols>
  <sheetData>
    <row r="1" spans="1:58" x14ac:dyDescent="0.35">
      <c r="A1" s="427" t="s">
        <v>633</v>
      </c>
      <c r="B1" s="427"/>
      <c r="C1" s="427"/>
      <c r="D1" s="427"/>
      <c r="E1" s="427"/>
      <c r="F1" s="427"/>
      <c r="G1" s="427"/>
      <c r="AH1" s="205"/>
      <c r="AI1" s="205"/>
      <c r="AJ1" s="205"/>
      <c r="AK1" s="205"/>
      <c r="AL1" s="205"/>
      <c r="AM1" s="205"/>
      <c r="AN1" s="205"/>
      <c r="AO1" s="205"/>
      <c r="AP1" s="205"/>
      <c r="AQ1" s="205"/>
      <c r="AR1" s="205"/>
      <c r="AS1" s="205"/>
      <c r="AT1" s="205"/>
      <c r="AU1" s="205"/>
      <c r="AV1" s="205"/>
      <c r="AW1" s="205"/>
      <c r="AX1" s="205"/>
      <c r="AY1" s="205"/>
      <c r="AZ1" s="205"/>
      <c r="BA1" s="205"/>
      <c r="BB1" s="205"/>
    </row>
    <row r="2" spans="1:58" x14ac:dyDescent="0.35">
      <c r="A2" s="428"/>
      <c r="B2" s="428"/>
      <c r="C2" s="428"/>
      <c r="D2" s="428"/>
      <c r="E2" s="428"/>
      <c r="F2" s="428"/>
      <c r="G2" s="428"/>
      <c r="H2" s="310"/>
      <c r="I2" s="310"/>
      <c r="J2" s="310"/>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AS2" s="309"/>
      <c r="AT2" s="205"/>
      <c r="AU2" s="205"/>
      <c r="AV2" s="205"/>
      <c r="AW2" s="205"/>
      <c r="AX2" s="205"/>
      <c r="AY2" s="205"/>
      <c r="AZ2" s="205"/>
      <c r="BA2" s="205"/>
      <c r="BB2" s="205"/>
    </row>
    <row r="3" spans="1:58" x14ac:dyDescent="0.35">
      <c r="A3" s="509" t="s">
        <v>981</v>
      </c>
      <c r="B3" s="514" t="s">
        <v>979</v>
      </c>
      <c r="C3" s="515"/>
      <c r="D3" s="515"/>
      <c r="E3" s="515"/>
      <c r="F3" s="515"/>
      <c r="G3" s="516"/>
      <c r="H3" s="100"/>
      <c r="I3" s="100"/>
      <c r="J3" s="100"/>
      <c r="K3" s="133"/>
      <c r="L3" s="100"/>
      <c r="M3" s="100"/>
      <c r="N3" s="100"/>
      <c r="O3" s="100"/>
      <c r="P3" s="100"/>
      <c r="Q3" s="351"/>
      <c r="R3" s="352"/>
      <c r="S3" s="100"/>
      <c r="T3" s="315"/>
      <c r="U3" s="315"/>
      <c r="V3" s="315"/>
      <c r="W3" s="315"/>
      <c r="X3" s="315"/>
      <c r="Y3" s="315"/>
      <c r="Z3" s="315"/>
      <c r="AA3" s="315"/>
      <c r="AB3" s="128"/>
      <c r="AC3" s="128"/>
      <c r="AD3" s="133"/>
      <c r="AE3" s="133"/>
      <c r="AF3" s="315"/>
      <c r="AG3" s="315"/>
      <c r="AH3" s="315"/>
      <c r="AI3" s="315"/>
      <c r="AJ3" s="315"/>
      <c r="AK3" s="315"/>
      <c r="AL3" s="315"/>
      <c r="AM3" s="315"/>
      <c r="AN3" s="315"/>
      <c r="AO3" s="315"/>
      <c r="AP3" s="315"/>
      <c r="AQ3" s="315"/>
      <c r="AR3" s="315"/>
      <c r="AS3" s="315"/>
      <c r="AT3" s="315"/>
      <c r="AU3" s="315"/>
      <c r="AW3" s="224"/>
    </row>
    <row r="4" spans="1:58" s="189" customFormat="1" ht="42.5" thickBot="1" x14ac:dyDescent="0.4">
      <c r="A4" s="510"/>
      <c r="B4" s="339" t="s">
        <v>634</v>
      </c>
      <c r="C4" s="339" t="s">
        <v>137</v>
      </c>
      <c r="D4" s="339" t="s">
        <v>635</v>
      </c>
      <c r="E4" s="339" t="s">
        <v>636</v>
      </c>
      <c r="F4" s="339" t="s">
        <v>637</v>
      </c>
      <c r="G4" s="339" t="s">
        <v>638</v>
      </c>
      <c r="H4" s="109"/>
      <c r="I4" s="109"/>
      <c r="J4" s="109"/>
      <c r="K4" s="131"/>
      <c r="L4" s="109"/>
      <c r="M4" s="109"/>
      <c r="N4" s="109"/>
      <c r="O4" s="109"/>
      <c r="P4" s="109"/>
      <c r="Q4" s="109"/>
      <c r="R4" s="109"/>
      <c r="S4" s="109"/>
      <c r="T4" s="368"/>
      <c r="U4" s="368"/>
      <c r="V4" s="368"/>
      <c r="W4" s="368"/>
      <c r="X4" s="368"/>
      <c r="Y4" s="368"/>
      <c r="Z4" s="368"/>
      <c r="AA4" s="368"/>
      <c r="AB4" s="131"/>
      <c r="AC4" s="131"/>
      <c r="AD4" s="131"/>
      <c r="AE4" s="131"/>
      <c r="AF4" s="368"/>
      <c r="AG4" s="368"/>
      <c r="AH4" s="368"/>
      <c r="AI4" s="368"/>
      <c r="AJ4" s="368"/>
      <c r="AK4" s="368"/>
      <c r="AL4" s="368"/>
      <c r="AM4" s="368"/>
      <c r="AN4" s="368"/>
      <c r="AO4" s="368"/>
      <c r="AP4" s="368"/>
      <c r="AQ4" s="368"/>
      <c r="AR4" s="368"/>
      <c r="AS4" s="368"/>
      <c r="AT4" s="368"/>
      <c r="AU4" s="368"/>
      <c r="BE4" s="369"/>
    </row>
    <row r="5" spans="1:58" ht="16" thickTop="1" x14ac:dyDescent="0.35">
      <c r="A5" s="353" t="s">
        <v>639</v>
      </c>
      <c r="B5" s="338">
        <v>12</v>
      </c>
      <c r="C5" s="264">
        <v>0.1778699686816666</v>
      </c>
      <c r="D5" s="264">
        <v>0.18149996804251692</v>
      </c>
      <c r="E5" s="264">
        <v>0.13309997656451242</v>
      </c>
      <c r="F5" s="264">
        <v>0.12431504660446363</v>
      </c>
      <c r="G5" s="264">
        <v>5.7866341468776096E-2</v>
      </c>
      <c r="H5" s="100"/>
      <c r="I5" s="100"/>
      <c r="J5" s="100"/>
      <c r="K5" s="133"/>
      <c r="L5" s="100"/>
      <c r="M5" s="100"/>
      <c r="N5" s="100"/>
      <c r="O5" s="100"/>
      <c r="P5" s="100"/>
      <c r="Q5" s="100"/>
      <c r="R5" s="100"/>
      <c r="S5" s="100"/>
      <c r="T5" s="315"/>
      <c r="U5" s="315"/>
      <c r="V5" s="315"/>
      <c r="W5" s="315"/>
      <c r="X5" s="315"/>
      <c r="Y5" s="315"/>
      <c r="Z5" s="315"/>
      <c r="AA5" s="315"/>
      <c r="AB5" s="128"/>
      <c r="AC5" s="128"/>
      <c r="AD5" s="133"/>
      <c r="AE5" s="133"/>
      <c r="AF5" s="315"/>
      <c r="AG5" s="315"/>
      <c r="AH5" s="315"/>
      <c r="AI5" s="315"/>
      <c r="AJ5" s="315"/>
      <c r="AK5" s="315"/>
      <c r="AL5" s="315"/>
      <c r="AM5" s="315"/>
      <c r="AN5" s="315"/>
      <c r="AO5" s="315"/>
      <c r="AP5" s="315"/>
      <c r="AQ5" s="315"/>
      <c r="AR5" s="315"/>
      <c r="AS5" s="315"/>
      <c r="AT5" s="315"/>
      <c r="AU5" s="315"/>
      <c r="AX5" s="354"/>
      <c r="AY5" s="354"/>
      <c r="AZ5" s="354"/>
      <c r="BA5" s="354"/>
      <c r="BB5" s="354"/>
      <c r="BC5" s="354"/>
      <c r="BD5" s="354"/>
    </row>
    <row r="6" spans="1:58" x14ac:dyDescent="0.35">
      <c r="A6" s="353" t="s">
        <v>640</v>
      </c>
      <c r="B6" s="323">
        <v>12</v>
      </c>
      <c r="C6" s="260">
        <v>2.8595687221995191E-2</v>
      </c>
      <c r="D6" s="260">
        <v>2.9179272675505297E-2</v>
      </c>
      <c r="E6" s="260">
        <v>2.1398133295370551E-2</v>
      </c>
      <c r="F6" s="260">
        <v>1.7375341040469717E-2</v>
      </c>
      <c r="G6" s="260">
        <v>7.0723744747497302E-3</v>
      </c>
      <c r="H6" s="100"/>
      <c r="I6" s="100"/>
      <c r="J6" s="100"/>
      <c r="K6" s="133"/>
      <c r="L6" s="100"/>
      <c r="M6" s="100"/>
      <c r="N6" s="100"/>
      <c r="O6" s="100"/>
      <c r="P6" s="100"/>
      <c r="Q6" s="100"/>
      <c r="R6" s="100"/>
      <c r="S6" s="100"/>
      <c r="T6" s="315"/>
      <c r="U6" s="315"/>
      <c r="V6" s="315"/>
      <c r="W6" s="315"/>
      <c r="X6" s="315"/>
      <c r="Y6" s="315"/>
      <c r="Z6" s="315"/>
      <c r="AA6" s="315"/>
      <c r="AB6" s="128"/>
      <c r="AC6" s="128"/>
      <c r="AD6" s="133"/>
      <c r="AE6" s="133"/>
      <c r="AF6" s="315"/>
      <c r="AG6" s="315"/>
      <c r="AH6" s="315"/>
      <c r="AI6" s="315"/>
      <c r="AJ6" s="315"/>
      <c r="AK6" s="315"/>
      <c r="AL6" s="315"/>
      <c r="AM6" s="315"/>
      <c r="AN6" s="315"/>
      <c r="AO6" s="315"/>
      <c r="AP6" s="315"/>
      <c r="AQ6" s="315"/>
      <c r="AR6" s="315"/>
      <c r="AS6" s="315"/>
      <c r="AT6" s="315"/>
      <c r="AU6" s="315"/>
      <c r="AX6" s="204"/>
      <c r="AY6" s="204"/>
      <c r="AZ6" s="204"/>
      <c r="BA6" s="204"/>
      <c r="BB6" s="204"/>
      <c r="BC6" s="204"/>
      <c r="BD6" s="204"/>
    </row>
    <row r="7" spans="1:58" x14ac:dyDescent="0.35">
      <c r="A7" s="353" t="s">
        <v>641</v>
      </c>
      <c r="B7" s="323">
        <v>12</v>
      </c>
      <c r="C7" s="260">
        <v>1.6225680289999635E-2</v>
      </c>
      <c r="D7" s="260">
        <v>1.6556816622448605E-2</v>
      </c>
      <c r="E7" s="260">
        <v>1.2141665523128979E-2</v>
      </c>
      <c r="F7" s="260">
        <v>9.4802045360139354E-3</v>
      </c>
      <c r="G7" s="260">
        <v>3.7745713659602122E-3</v>
      </c>
      <c r="H7" s="100"/>
      <c r="I7" s="100"/>
      <c r="J7" s="100"/>
      <c r="K7" s="133"/>
      <c r="L7" s="100"/>
      <c r="M7" s="100"/>
      <c r="N7" s="100"/>
      <c r="O7" s="100"/>
      <c r="P7" s="100"/>
      <c r="Q7" s="100"/>
      <c r="R7" s="100"/>
      <c r="S7" s="100"/>
      <c r="T7" s="315"/>
      <c r="U7" s="315"/>
      <c r="V7" s="315"/>
      <c r="W7" s="315"/>
      <c r="X7" s="315"/>
      <c r="Y7" s="315"/>
      <c r="Z7" s="315"/>
      <c r="AA7" s="315"/>
      <c r="AB7" s="128"/>
      <c r="AC7" s="128"/>
      <c r="AD7" s="133"/>
      <c r="AE7" s="133"/>
      <c r="AF7" s="315"/>
      <c r="AG7" s="315"/>
      <c r="AH7" s="315"/>
      <c r="AI7" s="315"/>
      <c r="AJ7" s="315"/>
      <c r="AK7" s="315"/>
      <c r="AL7" s="315"/>
      <c r="AM7" s="315"/>
      <c r="AN7" s="315"/>
      <c r="AO7" s="315"/>
      <c r="AP7" s="315"/>
      <c r="AQ7" s="315"/>
      <c r="AR7" s="315"/>
      <c r="AS7" s="315"/>
      <c r="AT7" s="315"/>
      <c r="AU7" s="315"/>
    </row>
    <row r="8" spans="1:58" x14ac:dyDescent="0.35">
      <c r="A8" s="353" t="s">
        <v>642</v>
      </c>
      <c r="B8" s="323">
        <v>12</v>
      </c>
      <c r="C8" s="260">
        <v>4.4044676160041414E-3</v>
      </c>
      <c r="D8" s="260">
        <v>4.494354710208307E-3</v>
      </c>
      <c r="E8" s="260">
        <v>3.2958601208194255E-3</v>
      </c>
      <c r="F8" s="260">
        <v>2.4036996917824812E-3</v>
      </c>
      <c r="G8" s="260">
        <v>9.0619182353785996E-4</v>
      </c>
      <c r="H8" s="100"/>
      <c r="I8" s="100"/>
      <c r="J8" s="100"/>
      <c r="K8" s="133"/>
      <c r="L8" s="100"/>
      <c r="M8" s="100"/>
      <c r="N8" s="100"/>
      <c r="O8" s="100"/>
      <c r="P8" s="100"/>
      <c r="Q8" s="100"/>
      <c r="R8" s="100"/>
      <c r="S8" s="100"/>
      <c r="T8" s="315"/>
      <c r="U8" s="315"/>
      <c r="V8" s="315"/>
      <c r="W8" s="315"/>
      <c r="X8" s="315"/>
      <c r="Y8" s="315"/>
      <c r="Z8" s="315"/>
      <c r="AA8" s="315"/>
      <c r="AB8" s="128"/>
      <c r="AC8" s="128"/>
      <c r="AD8" s="133"/>
      <c r="AE8" s="133"/>
      <c r="AF8" s="315"/>
      <c r="AG8" s="315"/>
      <c r="AH8" s="315"/>
      <c r="AI8" s="315"/>
      <c r="AJ8" s="315"/>
      <c r="AK8" s="315"/>
      <c r="AL8" s="315"/>
      <c r="AM8" s="315"/>
      <c r="AN8" s="315"/>
      <c r="AO8" s="315"/>
      <c r="AP8" s="315"/>
      <c r="AQ8" s="315"/>
      <c r="AR8" s="315"/>
      <c r="AS8" s="315"/>
      <c r="AT8" s="315"/>
      <c r="AU8" s="315"/>
    </row>
    <row r="9" spans="1:58" x14ac:dyDescent="0.35">
      <c r="A9" s="353" t="s">
        <v>643</v>
      </c>
      <c r="B9" s="323">
        <v>12</v>
      </c>
      <c r="C9" s="260">
        <v>1.4812269097812393E-3</v>
      </c>
      <c r="D9" s="260">
        <v>1.5114560303890196E-3</v>
      </c>
      <c r="E9" s="260">
        <v>1.1084010889519478E-3</v>
      </c>
      <c r="F9" s="260">
        <v>6.3820067701556688E-4</v>
      </c>
      <c r="G9" s="260">
        <v>2.184353617881837E-4</v>
      </c>
      <c r="H9" s="100"/>
      <c r="I9" s="128"/>
      <c r="J9" s="100"/>
      <c r="K9" s="133"/>
      <c r="L9" s="133"/>
      <c r="M9" s="100"/>
      <c r="N9" s="128"/>
      <c r="O9" s="128"/>
      <c r="P9" s="128"/>
      <c r="Q9" s="128"/>
      <c r="R9" s="128"/>
      <c r="S9" s="100"/>
      <c r="T9" s="315"/>
      <c r="U9" s="315"/>
      <c r="V9" s="315"/>
      <c r="W9" s="315"/>
      <c r="X9" s="315"/>
      <c r="Y9" s="315"/>
      <c r="Z9" s="315"/>
      <c r="AA9" s="315"/>
      <c r="AB9" s="317"/>
      <c r="AC9" s="318"/>
      <c r="AD9" s="128"/>
      <c r="AE9" s="128"/>
      <c r="AF9" s="315"/>
      <c r="AG9" s="100"/>
      <c r="AH9" s="315"/>
      <c r="AI9" s="315"/>
      <c r="AJ9" s="315"/>
      <c r="AK9" s="315"/>
      <c r="AL9" s="315"/>
      <c r="AM9" s="315"/>
      <c r="AN9" s="315"/>
      <c r="AO9" s="315"/>
      <c r="AP9" s="315"/>
      <c r="AQ9" s="315"/>
      <c r="AR9" s="315"/>
      <c r="AS9" s="315"/>
      <c r="AT9" s="315"/>
      <c r="AU9" s="315"/>
      <c r="AV9" s="100"/>
      <c r="AW9" s="100"/>
      <c r="AX9" s="100"/>
      <c r="AY9" s="100"/>
      <c r="AZ9" s="100"/>
      <c r="BA9" s="100"/>
      <c r="BB9" s="100"/>
      <c r="BC9" s="100"/>
      <c r="BD9" s="100"/>
      <c r="BE9" s="100"/>
      <c r="BF9" s="100"/>
    </row>
    <row r="10" spans="1:58" x14ac:dyDescent="0.35">
      <c r="A10" s="353" t="s">
        <v>644</v>
      </c>
      <c r="B10" s="323">
        <v>12</v>
      </c>
      <c r="C10" s="260">
        <v>3.2397939112262188E-4</v>
      </c>
      <c r="D10" s="260">
        <v>3.3059121543124677E-4</v>
      </c>
      <c r="E10" s="260">
        <v>2.4243355798291431E-4</v>
      </c>
      <c r="F10" s="260">
        <v>4.9934738594865857E-5</v>
      </c>
      <c r="G10" s="260">
        <v>1.5729496658089527E-5</v>
      </c>
      <c r="H10" s="100"/>
      <c r="I10" s="128"/>
      <c r="J10" s="100"/>
      <c r="K10" s="133"/>
      <c r="L10" s="133"/>
      <c r="M10" s="133"/>
      <c r="N10" s="128"/>
      <c r="O10" s="128"/>
      <c r="P10" s="128"/>
      <c r="Q10" s="128"/>
      <c r="R10" s="128"/>
      <c r="S10" s="100"/>
      <c r="T10" s="315"/>
      <c r="U10" s="315"/>
      <c r="V10" s="315"/>
      <c r="W10" s="315"/>
      <c r="X10" s="315"/>
      <c r="Y10" s="315"/>
      <c r="Z10" s="315"/>
      <c r="AA10" s="315"/>
      <c r="AB10" s="317"/>
      <c r="AC10" s="318"/>
      <c r="AD10" s="128"/>
      <c r="AE10" s="128"/>
      <c r="AF10" s="315"/>
      <c r="AG10" s="100"/>
      <c r="AH10" s="315"/>
      <c r="AI10" s="315"/>
      <c r="AJ10" s="315"/>
      <c r="AK10" s="315"/>
      <c r="AL10" s="315"/>
      <c r="AM10" s="315"/>
      <c r="AN10" s="315"/>
      <c r="AO10" s="315"/>
      <c r="AP10" s="315"/>
      <c r="AQ10" s="315"/>
      <c r="AR10" s="315"/>
      <c r="AS10" s="315"/>
      <c r="AT10" s="315"/>
      <c r="AU10" s="315"/>
      <c r="AV10" s="100"/>
      <c r="AW10" s="100"/>
      <c r="AX10" s="100"/>
      <c r="AY10" s="100"/>
      <c r="AZ10" s="100"/>
      <c r="BA10" s="100"/>
      <c r="BB10" s="100"/>
      <c r="BC10" s="100"/>
      <c r="BD10" s="100"/>
      <c r="BE10" s="100"/>
      <c r="BF10" s="100"/>
    </row>
    <row r="11" spans="1:58" x14ac:dyDescent="0.35">
      <c r="A11" s="353" t="s">
        <v>575</v>
      </c>
      <c r="B11" s="323">
        <v>12</v>
      </c>
      <c r="C11" s="260">
        <v>6.0832956811890868E-3</v>
      </c>
      <c r="D11" s="260">
        <v>6.2074445726420053E-3</v>
      </c>
      <c r="E11" s="260">
        <v>4.5521046321943546E-3</v>
      </c>
      <c r="F11" s="260">
        <v>3.4163485802492692E-3</v>
      </c>
      <c r="G11" s="260">
        <v>1.321183161482441E-3</v>
      </c>
      <c r="H11" s="100"/>
      <c r="I11" s="128"/>
      <c r="J11" s="128"/>
      <c r="K11" s="100"/>
      <c r="L11" s="133"/>
      <c r="M11" s="128"/>
      <c r="N11" s="128"/>
      <c r="O11" s="128"/>
      <c r="P11" s="128"/>
      <c r="Q11" s="128"/>
      <c r="R11" s="128"/>
      <c r="S11" s="100"/>
      <c r="T11" s="315"/>
      <c r="U11" s="315"/>
      <c r="V11" s="315"/>
      <c r="W11" s="315"/>
      <c r="X11" s="315"/>
      <c r="Y11" s="315"/>
      <c r="Z11" s="315"/>
      <c r="AA11" s="315"/>
      <c r="AB11" s="317"/>
      <c r="AC11" s="318"/>
      <c r="AD11" s="128"/>
      <c r="AE11" s="128"/>
      <c r="AF11" s="315"/>
      <c r="AG11" s="100"/>
      <c r="AH11" s="315"/>
      <c r="AI11" s="315"/>
      <c r="AJ11" s="315"/>
      <c r="AK11" s="315"/>
      <c r="AL11" s="315"/>
      <c r="AM11" s="315"/>
      <c r="AN11" s="315"/>
      <c r="AO11" s="315"/>
      <c r="AP11" s="315"/>
      <c r="AQ11" s="315"/>
      <c r="AR11" s="315"/>
      <c r="AS11" s="315"/>
      <c r="AT11" s="315"/>
      <c r="AU11" s="315"/>
      <c r="BE11" s="100"/>
      <c r="BF11" s="100"/>
    </row>
    <row r="12" spans="1:58" x14ac:dyDescent="0.35">
      <c r="A12" s="359" t="s">
        <v>678</v>
      </c>
      <c r="B12" s="360" t="s">
        <v>678</v>
      </c>
      <c r="C12" s="360" t="s">
        <v>678</v>
      </c>
      <c r="D12" s="360" t="s">
        <v>678</v>
      </c>
      <c r="E12" s="355"/>
      <c r="F12" s="355"/>
      <c r="G12" s="355"/>
      <c r="H12" s="100"/>
      <c r="I12" s="128"/>
      <c r="J12" s="128"/>
      <c r="K12" s="100"/>
      <c r="L12" s="133"/>
      <c r="M12" s="128"/>
      <c r="N12" s="128"/>
      <c r="O12" s="128"/>
      <c r="P12" s="128"/>
      <c r="Q12" s="128"/>
      <c r="R12" s="128"/>
      <c r="S12" s="100"/>
      <c r="T12" s="315"/>
      <c r="U12" s="315"/>
      <c r="V12" s="315"/>
      <c r="W12" s="315"/>
      <c r="X12" s="315"/>
      <c r="Y12" s="315"/>
      <c r="Z12" s="315"/>
      <c r="AA12" s="315"/>
      <c r="AB12" s="317"/>
      <c r="AC12" s="318"/>
      <c r="AD12" s="128"/>
      <c r="AE12" s="128"/>
      <c r="AF12" s="315"/>
      <c r="AG12" s="100"/>
      <c r="AH12" s="315"/>
      <c r="AI12" s="315"/>
      <c r="AJ12" s="315"/>
      <c r="AK12" s="315"/>
      <c r="AL12" s="315"/>
      <c r="AM12" s="315"/>
      <c r="AN12" s="315"/>
      <c r="AO12" s="315"/>
      <c r="AP12" s="315"/>
      <c r="AQ12" s="315"/>
      <c r="AR12" s="315"/>
      <c r="AS12" s="315"/>
      <c r="AT12" s="315"/>
      <c r="AU12" s="315"/>
      <c r="BE12" s="100"/>
      <c r="BF12" s="100"/>
    </row>
    <row r="13" spans="1:58" ht="16" thickBot="1" x14ac:dyDescent="0.4">
      <c r="A13" s="370" t="s">
        <v>678</v>
      </c>
      <c r="B13" s="517" t="s">
        <v>645</v>
      </c>
      <c r="C13" s="518"/>
      <c r="D13" s="519"/>
      <c r="E13" s="356" t="s">
        <v>678</v>
      </c>
      <c r="F13" s="357"/>
      <c r="G13" s="357"/>
      <c r="H13" s="100"/>
      <c r="I13" s="128"/>
      <c r="J13" s="128"/>
      <c r="K13" s="100"/>
      <c r="L13" s="133"/>
      <c r="M13" s="128"/>
      <c r="N13" s="128"/>
      <c r="O13" s="128"/>
      <c r="P13" s="128"/>
      <c r="Q13" s="128"/>
      <c r="R13" s="128"/>
      <c r="S13" s="100"/>
      <c r="T13" s="315"/>
      <c r="U13" s="315"/>
      <c r="V13" s="315"/>
      <c r="W13" s="315"/>
      <c r="X13" s="315"/>
      <c r="Y13" s="315"/>
      <c r="Z13" s="315"/>
      <c r="AA13" s="315"/>
      <c r="AB13" s="317"/>
      <c r="AC13" s="318"/>
      <c r="AD13" s="128"/>
      <c r="AE13" s="128"/>
      <c r="AF13" s="315"/>
      <c r="AG13" s="100"/>
      <c r="AH13" s="315"/>
      <c r="AI13" s="315"/>
      <c r="AJ13" s="315"/>
      <c r="AK13" s="315"/>
      <c r="AL13" s="315"/>
      <c r="AM13" s="315"/>
      <c r="AN13" s="315"/>
      <c r="AO13" s="315"/>
      <c r="AP13" s="315"/>
      <c r="AQ13" s="315"/>
      <c r="AR13" s="315"/>
      <c r="AS13" s="315"/>
      <c r="AT13" s="315"/>
      <c r="AU13" s="315"/>
      <c r="BE13" s="100"/>
      <c r="BF13" s="100"/>
    </row>
    <row r="14" spans="1:58" ht="28.5" thickTop="1" x14ac:dyDescent="0.35">
      <c r="A14" s="371" t="s">
        <v>646</v>
      </c>
      <c r="B14" s="326" t="s">
        <v>679</v>
      </c>
      <c r="C14" s="327" t="s">
        <v>680</v>
      </c>
      <c r="D14" s="328" t="s">
        <v>681</v>
      </c>
      <c r="E14" s="358" t="s">
        <v>678</v>
      </c>
      <c r="F14" s="355"/>
      <c r="G14" s="355"/>
      <c r="H14" s="100"/>
      <c r="I14" s="128"/>
      <c r="J14" s="128"/>
      <c r="K14" s="100"/>
      <c r="L14" s="133"/>
      <c r="M14" s="128"/>
      <c r="N14" s="128"/>
      <c r="O14" s="128"/>
      <c r="P14" s="128"/>
      <c r="Q14" s="128"/>
      <c r="R14" s="128"/>
      <c r="S14" s="100"/>
      <c r="T14" s="315"/>
      <c r="U14" s="315"/>
      <c r="V14" s="315"/>
      <c r="W14" s="315"/>
      <c r="X14" s="315"/>
      <c r="Y14" s="315"/>
      <c r="Z14" s="315"/>
      <c r="AA14" s="315"/>
      <c r="AB14" s="317"/>
      <c r="AC14" s="318"/>
      <c r="AD14" s="128"/>
      <c r="AE14" s="128"/>
      <c r="AF14" s="315"/>
      <c r="AG14" s="100"/>
      <c r="AH14" s="315"/>
      <c r="AI14" s="315"/>
      <c r="AJ14" s="315"/>
      <c r="AK14" s="315"/>
      <c r="AL14" s="315"/>
      <c r="AM14" s="315"/>
      <c r="AN14" s="315"/>
      <c r="AO14" s="315"/>
      <c r="AP14" s="315"/>
      <c r="AQ14" s="315"/>
      <c r="AR14" s="315"/>
      <c r="AS14" s="315"/>
      <c r="AT14" s="315"/>
      <c r="AU14" s="315"/>
      <c r="BE14" s="100"/>
      <c r="BF14" s="100"/>
    </row>
    <row r="15" spans="1:58" x14ac:dyDescent="0.35">
      <c r="A15" s="371" t="s">
        <v>651</v>
      </c>
      <c r="B15" s="326" t="s">
        <v>321</v>
      </c>
      <c r="C15" s="326" t="s">
        <v>321</v>
      </c>
      <c r="D15" s="326" t="s">
        <v>321</v>
      </c>
      <c r="E15" s="358" t="s">
        <v>678</v>
      </c>
      <c r="F15" s="355"/>
      <c r="G15" s="355"/>
      <c r="H15" s="100"/>
      <c r="I15" s="128"/>
      <c r="J15" s="128"/>
      <c r="K15" s="100"/>
      <c r="L15" s="133"/>
      <c r="M15" s="128"/>
      <c r="N15" s="128"/>
      <c r="O15" s="128"/>
      <c r="P15" s="128"/>
      <c r="Q15" s="128"/>
      <c r="R15" s="128"/>
      <c r="S15" s="100"/>
      <c r="T15" s="315"/>
      <c r="U15" s="315"/>
      <c r="V15" s="315"/>
      <c r="W15" s="315"/>
      <c r="X15" s="315"/>
      <c r="Y15" s="315"/>
      <c r="Z15" s="315"/>
      <c r="AA15" s="315"/>
      <c r="AB15" s="317"/>
      <c r="AC15" s="318"/>
      <c r="AD15" s="128"/>
      <c r="AE15" s="128"/>
      <c r="AF15" s="315"/>
      <c r="AG15" s="100"/>
      <c r="AH15" s="315"/>
      <c r="AI15" s="315"/>
      <c r="AJ15" s="315"/>
      <c r="AK15" s="315"/>
      <c r="AL15" s="315"/>
      <c r="AM15" s="315"/>
      <c r="AN15" s="315"/>
      <c r="AO15" s="315"/>
      <c r="AP15" s="315"/>
      <c r="AQ15" s="315"/>
      <c r="AR15" s="315"/>
      <c r="AS15" s="315"/>
      <c r="AT15" s="315"/>
      <c r="AU15" s="315"/>
      <c r="BE15" s="100"/>
      <c r="BF15" s="100"/>
    </row>
    <row r="16" spans="1:58" x14ac:dyDescent="0.35">
      <c r="A16" s="359" t="s">
        <v>678</v>
      </c>
      <c r="B16" s="360" t="s">
        <v>678</v>
      </c>
      <c r="C16" s="360" t="s">
        <v>678</v>
      </c>
      <c r="D16" s="360" t="s">
        <v>678</v>
      </c>
      <c r="E16" s="361" t="s">
        <v>678</v>
      </c>
      <c r="F16" s="362"/>
      <c r="G16" s="362"/>
      <c r="H16" s="100"/>
      <c r="I16" s="128"/>
      <c r="J16" s="128"/>
      <c r="K16" s="100"/>
      <c r="L16" s="133"/>
      <c r="M16" s="128"/>
      <c r="N16" s="128"/>
      <c r="O16" s="128"/>
      <c r="P16" s="128"/>
      <c r="Q16" s="128"/>
      <c r="R16" s="128"/>
      <c r="S16" s="100"/>
      <c r="T16" s="315"/>
      <c r="U16" s="315"/>
      <c r="V16" s="315"/>
      <c r="W16" s="315"/>
      <c r="X16" s="315"/>
      <c r="Y16" s="315"/>
      <c r="Z16" s="315"/>
      <c r="AA16" s="315"/>
      <c r="AB16" s="317"/>
      <c r="AC16" s="318"/>
      <c r="AD16" s="128"/>
      <c r="AE16" s="128"/>
      <c r="AF16" s="315"/>
      <c r="AG16" s="100"/>
      <c r="AH16" s="315"/>
      <c r="AI16" s="315"/>
      <c r="AJ16" s="315"/>
      <c r="AK16" s="315"/>
      <c r="AL16" s="315"/>
      <c r="AM16" s="315"/>
      <c r="AN16" s="315"/>
      <c r="AO16" s="315"/>
      <c r="AP16" s="315"/>
      <c r="AQ16" s="315"/>
      <c r="AR16" s="315"/>
      <c r="AS16" s="315"/>
      <c r="AT16" s="315"/>
      <c r="AU16" s="315"/>
      <c r="BE16" s="100"/>
      <c r="BF16" s="100"/>
    </row>
    <row r="17" spans="1:58" x14ac:dyDescent="0.35">
      <c r="A17" s="373" t="s">
        <v>900</v>
      </c>
      <c r="B17" s="515" t="s">
        <v>980</v>
      </c>
      <c r="C17" s="515"/>
      <c r="D17" s="520"/>
      <c r="E17" s="363" t="s">
        <v>678</v>
      </c>
      <c r="F17" s="364"/>
      <c r="G17" s="364"/>
      <c r="H17" s="100"/>
      <c r="I17" s="128"/>
      <c r="J17" s="128"/>
      <c r="K17" s="100"/>
      <c r="L17" s="133"/>
      <c r="M17" s="128"/>
      <c r="N17" s="128"/>
      <c r="O17" s="128"/>
      <c r="P17" s="128"/>
      <c r="Q17" s="128"/>
      <c r="R17" s="128"/>
      <c r="S17" s="100"/>
      <c r="T17" s="315"/>
      <c r="U17" s="315"/>
      <c r="V17" s="315"/>
      <c r="W17" s="315"/>
      <c r="X17" s="315"/>
      <c r="Y17" s="315"/>
      <c r="Z17" s="315"/>
      <c r="AA17" s="315"/>
      <c r="AB17" s="317"/>
      <c r="AC17" s="318"/>
      <c r="AD17" s="128"/>
      <c r="AE17" s="128"/>
      <c r="AF17" s="315"/>
      <c r="AG17" s="100"/>
      <c r="AH17" s="315"/>
      <c r="AI17" s="315"/>
      <c r="AJ17" s="315"/>
      <c r="AK17" s="315"/>
      <c r="AL17" s="315"/>
      <c r="AM17" s="315"/>
      <c r="AN17" s="315"/>
      <c r="AO17" s="315"/>
      <c r="AP17" s="315"/>
      <c r="AQ17" s="315"/>
      <c r="AR17" s="315"/>
      <c r="AS17" s="315"/>
      <c r="AT17" s="315"/>
      <c r="AU17" s="315"/>
      <c r="BE17" s="100"/>
      <c r="BF17" s="100"/>
    </row>
    <row r="18" spans="1:58" x14ac:dyDescent="0.35">
      <c r="A18" s="365" t="s">
        <v>639</v>
      </c>
      <c r="B18" s="259">
        <v>3.6962738412766628E-2</v>
      </c>
      <c r="C18" s="259">
        <v>3.6962738412766628E-2</v>
      </c>
      <c r="D18" s="259">
        <v>0.1778699686816666</v>
      </c>
      <c r="E18" s="358" t="s">
        <v>678</v>
      </c>
      <c r="F18" s="355"/>
      <c r="G18" s="355"/>
      <c r="H18" s="100"/>
      <c r="I18" s="128"/>
      <c r="J18" s="128"/>
      <c r="K18" s="100"/>
      <c r="L18" s="133"/>
      <c r="M18" s="128"/>
      <c r="N18" s="128"/>
      <c r="O18" s="128"/>
      <c r="P18" s="128"/>
      <c r="Q18" s="128"/>
      <c r="R18" s="128"/>
      <c r="S18" s="100"/>
      <c r="T18" s="315"/>
      <c r="U18" s="315"/>
      <c r="V18" s="315"/>
      <c r="W18" s="315"/>
      <c r="X18" s="315"/>
      <c r="Y18" s="315"/>
      <c r="Z18" s="315"/>
      <c r="AA18" s="315"/>
      <c r="AB18" s="317"/>
      <c r="AC18" s="318"/>
      <c r="AD18" s="128"/>
      <c r="AE18" s="128"/>
      <c r="AF18" s="315"/>
      <c r="AG18" s="100"/>
      <c r="AH18" s="315"/>
      <c r="AI18" s="315"/>
      <c r="AJ18" s="315"/>
      <c r="AK18" s="315"/>
      <c r="AL18" s="315"/>
      <c r="AM18" s="315"/>
      <c r="AN18" s="315"/>
      <c r="AO18" s="315"/>
      <c r="AP18" s="315"/>
      <c r="AQ18" s="315"/>
      <c r="AR18" s="315"/>
      <c r="AS18" s="315"/>
      <c r="AT18" s="315"/>
      <c r="AU18" s="315"/>
      <c r="BE18" s="100"/>
      <c r="BF18" s="100"/>
    </row>
    <row r="19" spans="1:58" x14ac:dyDescent="0.35">
      <c r="A19" s="365" t="s">
        <v>640</v>
      </c>
      <c r="B19" s="259">
        <v>5.4799147862035404E-3</v>
      </c>
      <c r="C19" s="259">
        <v>5.4799147862035404E-3</v>
      </c>
      <c r="D19" s="259">
        <v>2.8595687221995191E-2</v>
      </c>
      <c r="E19" s="358" t="s">
        <v>678</v>
      </c>
      <c r="F19" s="355"/>
      <c r="G19" s="355"/>
      <c r="H19" s="100"/>
      <c r="I19" s="128"/>
      <c r="J19" s="128"/>
      <c r="K19" s="100"/>
      <c r="L19" s="133"/>
      <c r="M19" s="128"/>
      <c r="N19" s="128"/>
      <c r="O19" s="128"/>
      <c r="P19" s="128"/>
      <c r="Q19" s="128"/>
      <c r="R19" s="128"/>
      <c r="S19" s="100"/>
      <c r="T19" s="315"/>
      <c r="U19" s="315"/>
      <c r="V19" s="315"/>
      <c r="W19" s="315"/>
      <c r="X19" s="315"/>
      <c r="Y19" s="315"/>
      <c r="Z19" s="315"/>
      <c r="AA19" s="315"/>
      <c r="AB19" s="317"/>
      <c r="AC19" s="318"/>
      <c r="AD19" s="128"/>
      <c r="AE19" s="128"/>
      <c r="AF19" s="315"/>
      <c r="AG19" s="100"/>
      <c r="AH19" s="315"/>
      <c r="AI19" s="315"/>
      <c r="AJ19" s="315"/>
      <c r="AK19" s="315"/>
      <c r="AL19" s="315"/>
      <c r="AM19" s="315"/>
      <c r="AN19" s="315"/>
      <c r="AO19" s="315"/>
      <c r="AP19" s="315"/>
      <c r="AQ19" s="315"/>
      <c r="AR19" s="315"/>
      <c r="AS19" s="315"/>
      <c r="AT19" s="315"/>
      <c r="AU19" s="315"/>
      <c r="BE19" s="100"/>
      <c r="BF19" s="100"/>
    </row>
    <row r="20" spans="1:58" x14ac:dyDescent="0.35">
      <c r="A20" s="365" t="s">
        <v>641</v>
      </c>
      <c r="B20" s="259">
        <v>2.8506408120701362E-3</v>
      </c>
      <c r="C20" s="259">
        <v>2.8506408120701362E-3</v>
      </c>
      <c r="D20" s="259">
        <v>1.6225680289999635E-2</v>
      </c>
      <c r="E20" s="358" t="s">
        <v>678</v>
      </c>
      <c r="F20" s="355"/>
      <c r="G20" s="355"/>
      <c r="H20" s="100"/>
      <c r="I20" s="128"/>
      <c r="J20" s="128"/>
      <c r="K20" s="100"/>
      <c r="L20" s="133"/>
      <c r="M20" s="128"/>
      <c r="N20" s="128"/>
      <c r="O20" s="128"/>
      <c r="P20" s="128"/>
      <c r="Q20" s="128"/>
      <c r="R20" s="128"/>
      <c r="S20" s="100"/>
      <c r="T20" s="315"/>
      <c r="U20" s="315"/>
      <c r="V20" s="315"/>
      <c r="W20" s="315"/>
      <c r="X20" s="315"/>
      <c r="Y20" s="315"/>
      <c r="Z20" s="315"/>
      <c r="AA20" s="315"/>
      <c r="AB20" s="317"/>
      <c r="AC20" s="318"/>
      <c r="AD20" s="128"/>
      <c r="AE20" s="128"/>
      <c r="AF20" s="315"/>
      <c r="AG20" s="100"/>
      <c r="AH20" s="315"/>
      <c r="AI20" s="315"/>
      <c r="AJ20" s="315"/>
      <c r="AK20" s="315"/>
      <c r="AL20" s="315"/>
      <c r="AM20" s="315"/>
      <c r="AN20" s="315"/>
      <c r="AO20" s="315"/>
      <c r="AP20" s="315"/>
      <c r="AQ20" s="315"/>
      <c r="AR20" s="315"/>
      <c r="AS20" s="315"/>
      <c r="AT20" s="315"/>
      <c r="AU20" s="315"/>
      <c r="BE20" s="100"/>
      <c r="BF20" s="100"/>
    </row>
    <row r="21" spans="1:58" x14ac:dyDescent="0.35">
      <c r="A21" s="365" t="s">
        <v>642</v>
      </c>
      <c r="B21" s="259">
        <v>6.3486165129199475E-4</v>
      </c>
      <c r="C21" s="259">
        <v>6.3486165129199475E-4</v>
      </c>
      <c r="D21" s="259">
        <v>4.4044676160041414E-3</v>
      </c>
      <c r="E21" s="358" t="s">
        <v>678</v>
      </c>
      <c r="F21" s="355"/>
      <c r="G21" s="355"/>
      <c r="H21" s="100"/>
      <c r="I21" s="128"/>
      <c r="J21" s="128"/>
      <c r="K21" s="100"/>
      <c r="L21" s="133"/>
      <c r="M21" s="128"/>
      <c r="N21" s="128"/>
      <c r="O21" s="128"/>
      <c r="P21" s="128"/>
      <c r="Q21" s="128"/>
      <c r="R21" s="128"/>
      <c r="S21" s="100"/>
      <c r="T21" s="315"/>
      <c r="U21" s="315"/>
      <c r="V21" s="315"/>
      <c r="W21" s="315"/>
      <c r="X21" s="315"/>
      <c r="Y21" s="315"/>
      <c r="Z21" s="315"/>
      <c r="AA21" s="315"/>
      <c r="AB21" s="317"/>
      <c r="AC21" s="318"/>
      <c r="AD21" s="128"/>
      <c r="AE21" s="128"/>
      <c r="AF21" s="315"/>
      <c r="AG21" s="100"/>
      <c r="AH21" s="315"/>
      <c r="AI21" s="315"/>
      <c r="AJ21" s="315"/>
      <c r="AK21" s="315"/>
      <c r="AL21" s="315"/>
      <c r="AM21" s="315"/>
      <c r="AN21" s="315"/>
      <c r="AO21" s="315"/>
      <c r="AP21" s="315"/>
      <c r="AQ21" s="315"/>
      <c r="AR21" s="315"/>
      <c r="AS21" s="315"/>
      <c r="AT21" s="315"/>
      <c r="AU21" s="315"/>
      <c r="BE21" s="100"/>
      <c r="BF21" s="100"/>
    </row>
    <row r="22" spans="1:58" x14ac:dyDescent="0.35">
      <c r="A22" s="365" t="s">
        <v>643</v>
      </c>
      <c r="B22" s="259">
        <v>1.6017916250625903E-4</v>
      </c>
      <c r="C22" s="259">
        <v>1.6017916250625903E-4</v>
      </c>
      <c r="D22" s="259">
        <v>1.4812269097812393E-3</v>
      </c>
      <c r="E22" s="358" t="s">
        <v>678</v>
      </c>
      <c r="F22" s="355"/>
      <c r="G22" s="355"/>
      <c r="H22" s="100"/>
      <c r="I22" s="128"/>
      <c r="J22" s="128"/>
      <c r="K22" s="100"/>
      <c r="L22" s="133"/>
      <c r="M22" s="128"/>
      <c r="N22" s="128"/>
      <c r="O22" s="128"/>
      <c r="P22" s="128"/>
      <c r="Q22" s="128"/>
      <c r="R22" s="128"/>
      <c r="S22" s="100"/>
      <c r="T22" s="315"/>
      <c r="U22" s="315"/>
      <c r="V22" s="315"/>
      <c r="W22" s="315"/>
      <c r="X22" s="315"/>
      <c r="Y22" s="315"/>
      <c r="Z22" s="315"/>
      <c r="AA22" s="315"/>
      <c r="AB22" s="317"/>
      <c r="AC22" s="318"/>
      <c r="AD22" s="128"/>
      <c r="AE22" s="128"/>
      <c r="AF22" s="315"/>
      <c r="AG22" s="100"/>
      <c r="AH22" s="315"/>
      <c r="AI22" s="315"/>
      <c r="AJ22" s="315"/>
      <c r="AK22" s="315"/>
      <c r="AL22" s="315"/>
      <c r="AM22" s="315"/>
      <c r="AN22" s="315"/>
      <c r="AO22" s="315"/>
      <c r="AP22" s="315"/>
      <c r="AQ22" s="315"/>
      <c r="AR22" s="315"/>
      <c r="AS22" s="315"/>
      <c r="AT22" s="315"/>
      <c r="AU22" s="315"/>
      <c r="BE22" s="100"/>
      <c r="BF22" s="100"/>
    </row>
    <row r="23" spans="1:58" x14ac:dyDescent="0.35">
      <c r="A23" s="365" t="s">
        <v>644</v>
      </c>
      <c r="B23" s="259">
        <v>2.4626980828766582E-5</v>
      </c>
      <c r="C23" s="259">
        <v>2.4626980828766582E-5</v>
      </c>
      <c r="D23" s="259">
        <v>3.2397939112262188E-4</v>
      </c>
      <c r="E23" s="358" t="s">
        <v>678</v>
      </c>
      <c r="F23" s="355"/>
      <c r="G23" s="355"/>
      <c r="H23" s="100"/>
      <c r="I23" s="128"/>
      <c r="J23" s="128"/>
      <c r="K23" s="100"/>
      <c r="L23" s="133"/>
      <c r="M23" s="128"/>
      <c r="N23" s="128"/>
      <c r="O23" s="128"/>
      <c r="P23" s="128"/>
      <c r="Q23" s="128"/>
      <c r="R23" s="128"/>
      <c r="S23" s="100"/>
      <c r="T23" s="315"/>
      <c r="U23" s="315"/>
      <c r="V23" s="315"/>
      <c r="W23" s="315"/>
      <c r="X23" s="315"/>
      <c r="Y23" s="315"/>
      <c r="Z23" s="315"/>
      <c r="AA23" s="315"/>
      <c r="AB23" s="317"/>
      <c r="AC23" s="318"/>
      <c r="AD23" s="128"/>
      <c r="AE23" s="128"/>
      <c r="AF23" s="315"/>
      <c r="AG23" s="100"/>
      <c r="AH23" s="315"/>
      <c r="AI23" s="315"/>
      <c r="AJ23" s="315"/>
      <c r="AK23" s="315"/>
      <c r="AL23" s="315"/>
      <c r="AM23" s="315"/>
      <c r="AN23" s="315"/>
      <c r="AO23" s="315"/>
      <c r="AP23" s="315"/>
      <c r="AQ23" s="315"/>
      <c r="AR23" s="315"/>
      <c r="AS23" s="315"/>
      <c r="AT23" s="315"/>
      <c r="AU23" s="315"/>
      <c r="BE23" s="100"/>
      <c r="BF23" s="100"/>
    </row>
    <row r="24" spans="1:58" x14ac:dyDescent="0.35">
      <c r="A24" s="365" t="s">
        <v>575</v>
      </c>
      <c r="B24" s="259">
        <v>9.6925235726552086E-4</v>
      </c>
      <c r="C24" s="259">
        <v>9.6925235726552086E-4</v>
      </c>
      <c r="D24" s="259">
        <v>6.0832956811890868E-3</v>
      </c>
      <c r="E24" s="358" t="s">
        <v>678</v>
      </c>
      <c r="F24" s="355"/>
      <c r="G24" s="355"/>
      <c r="H24" s="100"/>
      <c r="I24" s="128"/>
      <c r="J24" s="128"/>
      <c r="K24" s="100"/>
      <c r="L24" s="133"/>
      <c r="M24" s="128"/>
      <c r="N24" s="128"/>
      <c r="O24" s="128"/>
      <c r="P24" s="128"/>
      <c r="Q24" s="128"/>
      <c r="R24" s="128"/>
      <c r="S24" s="100"/>
      <c r="T24" s="315"/>
      <c r="U24" s="315"/>
      <c r="V24" s="315"/>
      <c r="W24" s="315"/>
      <c r="X24" s="315"/>
      <c r="Y24" s="315"/>
      <c r="Z24" s="315"/>
      <c r="AA24" s="315"/>
      <c r="AB24" s="317"/>
      <c r="AC24" s="318"/>
      <c r="AD24" s="128"/>
      <c r="AE24" s="128"/>
      <c r="AF24" s="315"/>
      <c r="AG24" s="100"/>
      <c r="AH24" s="315"/>
      <c r="AI24" s="315"/>
      <c r="AJ24" s="315"/>
      <c r="AK24" s="315"/>
      <c r="AL24" s="315"/>
      <c r="AM24" s="315"/>
      <c r="AN24" s="315"/>
      <c r="AO24" s="315"/>
      <c r="AP24" s="315"/>
      <c r="AQ24" s="315"/>
      <c r="AR24" s="315"/>
      <c r="AS24" s="315"/>
      <c r="AT24" s="315"/>
      <c r="AU24" s="315"/>
      <c r="BE24" s="100"/>
      <c r="BF24" s="100"/>
    </row>
    <row r="25" spans="1:58" x14ac:dyDescent="0.35">
      <c r="A25" s="359" t="s">
        <v>678</v>
      </c>
      <c r="B25" s="372" t="s">
        <v>678</v>
      </c>
      <c r="C25" s="372" t="s">
        <v>678</v>
      </c>
      <c r="D25" s="372" t="s">
        <v>678</v>
      </c>
      <c r="E25" s="361" t="s">
        <v>678</v>
      </c>
      <c r="F25" s="362"/>
      <c r="G25" s="362"/>
      <c r="H25" s="100"/>
      <c r="I25" s="128"/>
      <c r="J25" s="128"/>
      <c r="K25" s="100"/>
      <c r="L25" s="133"/>
      <c r="M25" s="128"/>
      <c r="N25" s="128"/>
      <c r="O25" s="128"/>
      <c r="P25" s="128"/>
      <c r="Q25" s="128"/>
      <c r="R25" s="128"/>
      <c r="S25" s="100"/>
      <c r="T25" s="315"/>
      <c r="U25" s="315"/>
      <c r="V25" s="315"/>
      <c r="W25" s="315"/>
      <c r="X25" s="315"/>
      <c r="Y25" s="315"/>
      <c r="Z25" s="315"/>
      <c r="AA25" s="315"/>
      <c r="AB25" s="317"/>
      <c r="AC25" s="318"/>
      <c r="AD25" s="128"/>
      <c r="AE25" s="128"/>
      <c r="AF25" s="315"/>
      <c r="AG25" s="100"/>
      <c r="AH25" s="315"/>
      <c r="AI25" s="315"/>
      <c r="AJ25" s="315"/>
      <c r="AK25" s="315"/>
      <c r="AL25" s="315"/>
      <c r="AM25" s="315"/>
      <c r="AN25" s="315"/>
      <c r="AO25" s="315"/>
      <c r="AP25" s="315"/>
      <c r="AQ25" s="315"/>
      <c r="AR25" s="315"/>
      <c r="AS25" s="315"/>
      <c r="AT25" s="315"/>
      <c r="AU25" s="315"/>
      <c r="BE25" s="100"/>
      <c r="BF25" s="100"/>
    </row>
    <row r="26" spans="1:58" x14ac:dyDescent="0.35">
      <c r="A26" s="373" t="s">
        <v>900</v>
      </c>
      <c r="B26" s="515" t="s">
        <v>652</v>
      </c>
      <c r="C26" s="515"/>
      <c r="D26" s="520"/>
      <c r="E26" s="363" t="s">
        <v>678</v>
      </c>
      <c r="F26" s="364"/>
      <c r="G26" s="364"/>
      <c r="H26" s="100"/>
      <c r="I26" s="128"/>
      <c r="J26" s="128"/>
      <c r="K26" s="100"/>
      <c r="L26" s="133"/>
      <c r="M26" s="128"/>
      <c r="N26" s="128"/>
      <c r="O26" s="128"/>
      <c r="P26" s="128"/>
      <c r="Q26" s="128"/>
      <c r="R26" s="128"/>
      <c r="S26" s="100"/>
      <c r="T26" s="315"/>
      <c r="U26" s="315"/>
      <c r="V26" s="315"/>
      <c r="W26" s="315"/>
      <c r="X26" s="315"/>
      <c r="Y26" s="315"/>
      <c r="Z26" s="315"/>
      <c r="AA26" s="315"/>
      <c r="AB26" s="317"/>
      <c r="AC26" s="318"/>
      <c r="AD26" s="128"/>
      <c r="AE26" s="128"/>
      <c r="AF26" s="315"/>
      <c r="AG26" s="100"/>
      <c r="AH26" s="315"/>
      <c r="AI26" s="315"/>
      <c r="AJ26" s="315"/>
      <c r="AK26" s="315"/>
      <c r="AL26" s="315"/>
      <c r="AM26" s="315"/>
      <c r="AN26" s="315"/>
      <c r="AO26" s="315"/>
      <c r="AP26" s="315"/>
      <c r="AQ26" s="315"/>
      <c r="AR26" s="315"/>
      <c r="AS26" s="315"/>
      <c r="AT26" s="315"/>
      <c r="AU26" s="315"/>
      <c r="BE26" s="100"/>
      <c r="BF26" s="100"/>
    </row>
    <row r="27" spans="1:58" x14ac:dyDescent="0.35">
      <c r="A27" s="365" t="s">
        <v>639</v>
      </c>
      <c r="B27" s="259">
        <v>3.046893072358127E-3</v>
      </c>
      <c r="C27" s="259">
        <v>3.046893072358127E-3</v>
      </c>
      <c r="D27" s="259">
        <v>1.4662083996718749E-2</v>
      </c>
      <c r="E27" s="358" t="s">
        <v>678</v>
      </c>
      <c r="F27" s="355"/>
      <c r="G27" s="355"/>
      <c r="H27" s="100"/>
      <c r="I27" s="128"/>
      <c r="J27" s="128"/>
      <c r="K27" s="100"/>
      <c r="L27" s="319"/>
      <c r="M27" s="128"/>
      <c r="N27" s="128"/>
      <c r="O27" s="128"/>
      <c r="P27" s="128"/>
      <c r="Q27" s="128"/>
      <c r="R27" s="128"/>
      <c r="S27" s="100"/>
      <c r="T27" s="315"/>
      <c r="U27" s="315"/>
      <c r="V27" s="315"/>
      <c r="W27" s="315"/>
      <c r="X27" s="315"/>
      <c r="Y27" s="315"/>
      <c r="Z27" s="315"/>
      <c r="AA27" s="315"/>
      <c r="AB27" s="317"/>
      <c r="AC27" s="318"/>
      <c r="AD27" s="128"/>
      <c r="AE27" s="128"/>
      <c r="AF27" s="315"/>
      <c r="AG27" s="100"/>
      <c r="AH27" s="315"/>
      <c r="AI27" s="315"/>
      <c r="AJ27" s="315"/>
      <c r="AK27" s="315"/>
      <c r="AL27" s="315"/>
      <c r="AM27" s="315"/>
      <c r="AN27" s="315"/>
      <c r="AO27" s="315"/>
      <c r="AP27" s="315"/>
      <c r="AQ27" s="315"/>
      <c r="AR27" s="315"/>
      <c r="AS27" s="315"/>
      <c r="AT27" s="315"/>
      <c r="AU27" s="315"/>
      <c r="BE27" s="100"/>
      <c r="BF27" s="100"/>
    </row>
    <row r="28" spans="1:58" x14ac:dyDescent="0.35">
      <c r="A28" s="365" t="s">
        <v>640</v>
      </c>
      <c r="B28" s="259">
        <v>4.5171746240071654E-4</v>
      </c>
      <c r="C28" s="259">
        <v>4.5171746240071654E-4</v>
      </c>
      <c r="D28" s="259">
        <v>2.3571846956534923E-3</v>
      </c>
      <c r="E28" s="358" t="s">
        <v>678</v>
      </c>
      <c r="F28" s="355"/>
      <c r="G28" s="355"/>
      <c r="H28" s="100"/>
      <c r="I28" s="128"/>
      <c r="J28" s="128"/>
      <c r="K28" s="100"/>
      <c r="L28" s="319"/>
      <c r="M28" s="128"/>
      <c r="N28" s="128"/>
      <c r="O28" s="128"/>
      <c r="P28" s="128"/>
      <c r="Q28" s="128"/>
      <c r="R28" s="128"/>
      <c r="S28" s="100"/>
      <c r="T28" s="315"/>
      <c r="U28" s="315"/>
      <c r="V28" s="315"/>
      <c r="W28" s="315"/>
      <c r="X28" s="315"/>
      <c r="Y28" s="315"/>
      <c r="Z28" s="315"/>
      <c r="AA28" s="315"/>
      <c r="AB28" s="317"/>
      <c r="AC28" s="318"/>
      <c r="AD28" s="128"/>
      <c r="AE28" s="128"/>
      <c r="AF28" s="315"/>
      <c r="AG28" s="100"/>
      <c r="AH28" s="315"/>
      <c r="AI28" s="315"/>
      <c r="AJ28" s="315"/>
      <c r="AK28" s="315"/>
      <c r="AL28" s="315"/>
      <c r="AM28" s="315"/>
      <c r="AN28" s="315"/>
      <c r="AO28" s="315"/>
      <c r="AP28" s="315"/>
      <c r="AQ28" s="315"/>
      <c r="AR28" s="315"/>
      <c r="AS28" s="315"/>
      <c r="AT28" s="315"/>
      <c r="AU28" s="315"/>
      <c r="BE28" s="100"/>
      <c r="BF28" s="100"/>
    </row>
    <row r="29" spans="1:58" x14ac:dyDescent="0.35">
      <c r="A29" s="365" t="s">
        <v>641</v>
      </c>
      <c r="B29" s="259">
        <v>2.3498252875868927E-4</v>
      </c>
      <c r="C29" s="259">
        <v>2.3498252875868927E-4</v>
      </c>
      <c r="D29" s="259">
        <v>1.3375067701375241E-3</v>
      </c>
      <c r="E29" s="358" t="s">
        <v>678</v>
      </c>
      <c r="F29" s="355"/>
      <c r="G29" s="355"/>
      <c r="H29" s="100"/>
      <c r="I29" s="128"/>
      <c r="J29" s="128"/>
      <c r="K29" s="100"/>
      <c r="L29" s="319"/>
      <c r="M29" s="128"/>
      <c r="N29" s="128"/>
      <c r="O29" s="128"/>
      <c r="P29" s="128"/>
      <c r="Q29" s="128"/>
      <c r="R29" s="128"/>
      <c r="S29" s="100"/>
      <c r="T29" s="315"/>
      <c r="U29" s="315"/>
      <c r="V29" s="315"/>
      <c r="W29" s="315"/>
      <c r="X29" s="315"/>
      <c r="Y29" s="315"/>
      <c r="Z29" s="315"/>
      <c r="AA29" s="315"/>
      <c r="AB29" s="317"/>
      <c r="AC29" s="318"/>
      <c r="AD29" s="128"/>
      <c r="AE29" s="128"/>
      <c r="AF29" s="315"/>
      <c r="AG29" s="100"/>
      <c r="AH29" s="315"/>
      <c r="AI29" s="315"/>
      <c r="AJ29" s="315"/>
      <c r="AK29" s="315"/>
      <c r="AL29" s="315"/>
      <c r="AM29" s="315"/>
      <c r="AN29" s="315"/>
      <c r="AO29" s="315"/>
      <c r="AP29" s="315"/>
      <c r="AQ29" s="315"/>
      <c r="AR29" s="315"/>
      <c r="AS29" s="315"/>
      <c r="AT29" s="315"/>
      <c r="AU29" s="315"/>
      <c r="BE29" s="100"/>
      <c r="BF29" s="100"/>
    </row>
    <row r="30" spans="1:58" x14ac:dyDescent="0.35">
      <c r="A30" s="365" t="s">
        <v>642</v>
      </c>
      <c r="B30" s="259">
        <v>5.2332582765548268E-5</v>
      </c>
      <c r="C30" s="259">
        <v>5.2332582765548268E-5</v>
      </c>
      <c r="D30" s="259">
        <v>3.6306676515053857E-4</v>
      </c>
      <c r="E30" s="358" t="s">
        <v>678</v>
      </c>
      <c r="F30" s="355"/>
      <c r="G30" s="355"/>
      <c r="H30" s="100"/>
      <c r="I30" s="128"/>
      <c r="J30" s="128"/>
      <c r="K30" s="100"/>
      <c r="L30" s="319"/>
      <c r="M30" s="128"/>
      <c r="N30" s="128"/>
      <c r="O30" s="128"/>
      <c r="P30" s="128"/>
      <c r="Q30" s="128"/>
      <c r="R30" s="128"/>
      <c r="S30" s="100"/>
      <c r="T30" s="315"/>
      <c r="U30" s="315"/>
      <c r="V30" s="315"/>
      <c r="W30" s="315"/>
      <c r="X30" s="315"/>
      <c r="Y30" s="315"/>
      <c r="Z30" s="315"/>
      <c r="AA30" s="315"/>
      <c r="AB30" s="317"/>
      <c r="AC30" s="318"/>
      <c r="AD30" s="128"/>
      <c r="AE30" s="128"/>
      <c r="AF30" s="315"/>
      <c r="AG30" s="100"/>
      <c r="AH30" s="315"/>
      <c r="AI30" s="315"/>
      <c r="AJ30" s="315"/>
      <c r="AK30" s="315"/>
      <c r="AL30" s="315"/>
      <c r="AM30" s="315"/>
      <c r="AN30" s="315"/>
      <c r="AO30" s="315"/>
      <c r="AP30" s="315"/>
      <c r="AQ30" s="315"/>
      <c r="AR30" s="315"/>
      <c r="AS30" s="315"/>
      <c r="AT30" s="315"/>
      <c r="AU30" s="315"/>
      <c r="BE30" s="100"/>
      <c r="BF30" s="100"/>
    </row>
    <row r="31" spans="1:58" x14ac:dyDescent="0.35">
      <c r="A31" s="365" t="s">
        <v>643</v>
      </c>
      <c r="B31" s="259">
        <v>1.320380473779722E-5</v>
      </c>
      <c r="C31" s="259">
        <v>1.320380473779722E-5</v>
      </c>
      <c r="D31" s="259">
        <v>1.2209971998297864E-4</v>
      </c>
      <c r="E31" s="358" t="s">
        <v>678</v>
      </c>
      <c r="F31" s="355"/>
      <c r="G31" s="355"/>
      <c r="H31" s="100"/>
      <c r="I31" s="128"/>
      <c r="J31" s="128"/>
      <c r="K31" s="100"/>
      <c r="L31" s="319"/>
      <c r="M31" s="128"/>
      <c r="N31" s="128"/>
      <c r="O31" s="128"/>
      <c r="P31" s="128"/>
      <c r="Q31" s="128"/>
      <c r="R31" s="128"/>
      <c r="S31" s="100"/>
      <c r="T31" s="315"/>
      <c r="U31" s="315"/>
      <c r="V31" s="315"/>
      <c r="W31" s="315"/>
      <c r="X31" s="315"/>
      <c r="Y31" s="315"/>
      <c r="Z31" s="315"/>
      <c r="AA31" s="315"/>
      <c r="AB31" s="317"/>
      <c r="AC31" s="318"/>
      <c r="AD31" s="128"/>
      <c r="AE31" s="128"/>
      <c r="AF31" s="315"/>
      <c r="AG31" s="100"/>
      <c r="AH31" s="315"/>
      <c r="AI31" s="315"/>
      <c r="AJ31" s="315"/>
      <c r="AK31" s="315"/>
      <c r="AL31" s="315"/>
      <c r="AM31" s="315"/>
      <c r="AN31" s="315"/>
      <c r="AO31" s="315"/>
      <c r="AP31" s="315"/>
      <c r="AQ31" s="315"/>
      <c r="AR31" s="315"/>
      <c r="AS31" s="315"/>
      <c r="AT31" s="315"/>
      <c r="AU31" s="315"/>
      <c r="BE31" s="100"/>
      <c r="BF31" s="100"/>
    </row>
    <row r="32" spans="1:58" x14ac:dyDescent="0.35">
      <c r="A32" s="365" t="s">
        <v>644</v>
      </c>
      <c r="B32" s="259">
        <v>2.0300383711383395E-6</v>
      </c>
      <c r="C32" s="259">
        <v>2.0300383711383395E-6</v>
      </c>
      <c r="D32" s="259">
        <v>2.6706099298567498E-5</v>
      </c>
      <c r="E32" s="358" t="s">
        <v>678</v>
      </c>
      <c r="F32" s="355"/>
      <c r="G32" s="355"/>
      <c r="H32" s="100"/>
      <c r="I32" s="128"/>
      <c r="J32" s="128"/>
      <c r="K32" s="100"/>
      <c r="L32" s="319"/>
      <c r="M32" s="128"/>
      <c r="N32" s="128"/>
      <c r="O32" s="128"/>
      <c r="P32" s="128"/>
      <c r="Q32" s="128"/>
      <c r="R32" s="128"/>
      <c r="S32" s="100"/>
      <c r="T32" s="315"/>
      <c r="U32" s="315"/>
      <c r="V32" s="315"/>
      <c r="W32" s="315"/>
      <c r="X32" s="315"/>
      <c r="Y32" s="315"/>
      <c r="Z32" s="315"/>
      <c r="AA32" s="315"/>
      <c r="AB32" s="317"/>
      <c r="AC32" s="318"/>
      <c r="AD32" s="128"/>
      <c r="AE32" s="128"/>
      <c r="AF32" s="315"/>
      <c r="AG32" s="100"/>
      <c r="AH32" s="315"/>
      <c r="AI32" s="315"/>
      <c r="AJ32" s="315"/>
      <c r="AK32" s="315"/>
      <c r="AL32" s="315"/>
      <c r="AM32" s="315"/>
      <c r="AN32" s="315"/>
      <c r="AO32" s="315"/>
      <c r="AP32" s="315"/>
      <c r="AQ32" s="315"/>
      <c r="AR32" s="315"/>
      <c r="AS32" s="315"/>
      <c r="AT32" s="315"/>
      <c r="AU32" s="315"/>
      <c r="BE32" s="100"/>
      <c r="BF32" s="100"/>
    </row>
    <row r="33" spans="1:58" x14ac:dyDescent="0.35">
      <c r="A33" s="365" t="s">
        <v>575</v>
      </c>
      <c r="B33" s="259">
        <v>7.9896902110994258E-5</v>
      </c>
      <c r="C33" s="259">
        <v>7.9896902110994258E-5</v>
      </c>
      <c r="D33" s="259">
        <v>5.0145503996856409E-4</v>
      </c>
      <c r="E33" s="358" t="s">
        <v>678</v>
      </c>
      <c r="F33" s="355"/>
      <c r="G33" s="355"/>
      <c r="H33" s="100"/>
      <c r="I33" s="128"/>
      <c r="J33" s="128"/>
      <c r="K33" s="315"/>
      <c r="L33" s="319"/>
      <c r="M33" s="309"/>
      <c r="N33" s="309"/>
      <c r="O33" s="309"/>
      <c r="P33" s="309"/>
      <c r="Q33" s="309"/>
      <c r="R33" s="309"/>
      <c r="S33" s="315"/>
      <c r="T33" s="315"/>
      <c r="U33" s="315"/>
      <c r="V33" s="315"/>
      <c r="W33" s="315"/>
      <c r="X33" s="315"/>
      <c r="Y33" s="315"/>
      <c r="Z33" s="315"/>
      <c r="AA33" s="315"/>
      <c r="AB33" s="317"/>
      <c r="AC33" s="318"/>
      <c r="AD33" s="128"/>
      <c r="AE33" s="128"/>
      <c r="AF33" s="315"/>
      <c r="AG33" s="315"/>
      <c r="AH33" s="315"/>
      <c r="AI33" s="315"/>
      <c r="AJ33" s="315"/>
      <c r="AK33" s="315"/>
      <c r="AL33" s="315"/>
      <c r="AM33" s="315"/>
      <c r="AN33" s="315"/>
      <c r="AO33" s="315"/>
      <c r="AP33" s="315"/>
      <c r="AQ33" s="315"/>
      <c r="AR33" s="315"/>
      <c r="AS33" s="315"/>
      <c r="AT33" s="315"/>
      <c r="AU33" s="315"/>
    </row>
    <row r="34" spans="1:58" x14ac:dyDescent="0.35">
      <c r="A34" s="128"/>
      <c r="B34" s="128"/>
      <c r="C34" s="128"/>
      <c r="D34" s="128"/>
      <c r="E34" s="128"/>
      <c r="F34" s="100"/>
      <c r="G34" s="133"/>
      <c r="H34" s="100"/>
      <c r="I34" s="128"/>
      <c r="J34" s="128"/>
      <c r="K34" s="315"/>
      <c r="L34" s="319"/>
      <c r="M34" s="309"/>
      <c r="N34" s="309"/>
      <c r="O34" s="309"/>
      <c r="P34" s="309"/>
      <c r="Q34" s="309"/>
      <c r="R34" s="309"/>
      <c r="S34" s="315"/>
      <c r="T34" s="315"/>
      <c r="U34" s="315"/>
      <c r="V34" s="315"/>
      <c r="W34" s="315"/>
      <c r="X34" s="315"/>
      <c r="Y34" s="315"/>
      <c r="Z34" s="315"/>
      <c r="AA34" s="315"/>
      <c r="AB34" s="317"/>
      <c r="AC34" s="318"/>
      <c r="AD34" s="128"/>
      <c r="AE34" s="128"/>
      <c r="AF34" s="315"/>
      <c r="AG34" s="315"/>
      <c r="AH34" s="315"/>
      <c r="AI34" s="315"/>
      <c r="AJ34" s="315"/>
      <c r="AK34" s="315"/>
      <c r="AL34" s="315"/>
      <c r="AM34" s="315"/>
      <c r="AN34" s="315"/>
      <c r="AO34" s="315"/>
      <c r="AP34" s="315"/>
      <c r="AQ34" s="315"/>
      <c r="AR34" s="315"/>
      <c r="AS34" s="315"/>
      <c r="AT34" s="315"/>
      <c r="AU34" s="315"/>
    </row>
    <row r="35" spans="1:58" x14ac:dyDescent="0.35">
      <c r="A35" s="128"/>
      <c r="B35" s="128"/>
      <c r="C35" s="128"/>
      <c r="D35" s="128"/>
      <c r="E35" s="128"/>
      <c r="F35" s="100"/>
      <c r="G35" s="133"/>
      <c r="H35" s="100"/>
      <c r="I35" s="309"/>
      <c r="J35" s="128"/>
      <c r="K35" s="315"/>
      <c r="L35" s="319"/>
      <c r="M35" s="309"/>
      <c r="N35" s="309"/>
      <c r="O35" s="309"/>
      <c r="P35" s="309"/>
      <c r="Q35" s="309"/>
      <c r="R35" s="309"/>
      <c r="S35" s="315"/>
      <c r="T35" s="315"/>
      <c r="U35" s="315"/>
      <c r="V35" s="315"/>
      <c r="W35" s="315"/>
      <c r="X35" s="315"/>
      <c r="Y35" s="315"/>
      <c r="Z35" s="315"/>
      <c r="AA35" s="315"/>
      <c r="AB35" s="317"/>
      <c r="AC35" s="318"/>
      <c r="AD35" s="128"/>
      <c r="AE35" s="128"/>
      <c r="AF35" s="315"/>
      <c r="AG35" s="315"/>
      <c r="AH35" s="315"/>
      <c r="AI35" s="315"/>
      <c r="AJ35" s="315"/>
      <c r="AK35" s="315"/>
      <c r="AL35" s="315"/>
      <c r="AM35" s="315"/>
      <c r="AN35" s="315"/>
      <c r="AO35" s="315"/>
      <c r="AP35" s="315"/>
      <c r="AQ35" s="315"/>
      <c r="AR35" s="315"/>
      <c r="AS35" s="315"/>
      <c r="AT35" s="315"/>
      <c r="AU35" s="315"/>
    </row>
    <row r="36" spans="1:58" x14ac:dyDescent="0.35">
      <c r="A36" s="128"/>
      <c r="B36" s="128"/>
      <c r="C36" s="128"/>
      <c r="D36" s="128"/>
      <c r="E36" s="128"/>
      <c r="F36" s="100"/>
      <c r="G36" s="133"/>
      <c r="H36" s="100"/>
      <c r="I36" s="309"/>
      <c r="J36" s="128"/>
      <c r="K36" s="315"/>
      <c r="L36" s="319"/>
      <c r="M36" s="309"/>
      <c r="N36" s="309"/>
      <c r="O36" s="309"/>
      <c r="P36" s="309"/>
      <c r="Q36" s="309"/>
      <c r="R36" s="309"/>
      <c r="S36" s="315"/>
      <c r="T36" s="315"/>
      <c r="U36" s="315"/>
      <c r="V36" s="315"/>
      <c r="W36" s="315"/>
      <c r="X36" s="315"/>
      <c r="Y36" s="315"/>
      <c r="Z36" s="315"/>
      <c r="AA36" s="315"/>
      <c r="AB36" s="317"/>
      <c r="AC36" s="318"/>
      <c r="AD36" s="128"/>
      <c r="AE36" s="128"/>
      <c r="AF36" s="315"/>
      <c r="AG36" s="315"/>
      <c r="AH36" s="315"/>
      <c r="AI36" s="315"/>
      <c r="AJ36" s="315"/>
      <c r="AK36" s="315"/>
      <c r="AL36" s="315"/>
      <c r="AM36" s="315"/>
      <c r="AN36" s="315"/>
      <c r="AO36" s="315"/>
      <c r="AP36" s="315"/>
      <c r="AQ36" s="315"/>
      <c r="AR36" s="315"/>
      <c r="AS36" s="315"/>
      <c r="AT36" s="315"/>
      <c r="AU36" s="315"/>
    </row>
    <row r="37" spans="1:58" x14ac:dyDescent="0.35">
      <c r="A37" s="128"/>
      <c r="B37" s="128"/>
      <c r="C37" s="128"/>
      <c r="D37" s="128"/>
      <c r="E37" s="128"/>
      <c r="F37" s="100"/>
      <c r="G37" s="133"/>
      <c r="H37" s="100"/>
      <c r="I37" s="309"/>
      <c r="J37" s="128"/>
      <c r="K37" s="315"/>
      <c r="L37" s="319"/>
      <c r="M37" s="309"/>
      <c r="N37" s="309"/>
      <c r="O37" s="309"/>
      <c r="P37" s="309"/>
      <c r="Q37" s="309"/>
      <c r="R37" s="309"/>
      <c r="S37" s="315"/>
      <c r="T37" s="315"/>
      <c r="U37" s="315"/>
      <c r="V37" s="315"/>
      <c r="W37" s="315"/>
      <c r="X37" s="315"/>
      <c r="Y37" s="315"/>
      <c r="Z37" s="315"/>
      <c r="AA37" s="315"/>
      <c r="AB37" s="317"/>
      <c r="AC37" s="318"/>
      <c r="AD37" s="309"/>
      <c r="AE37" s="128"/>
      <c r="AF37" s="315"/>
      <c r="AG37" s="315"/>
      <c r="AH37" s="315"/>
      <c r="AI37" s="315"/>
      <c r="AJ37" s="315"/>
      <c r="AK37" s="315"/>
      <c r="AL37" s="315"/>
      <c r="AM37" s="315"/>
      <c r="AN37" s="315"/>
      <c r="AO37" s="315"/>
      <c r="AP37" s="315"/>
      <c r="AQ37" s="315"/>
      <c r="AR37" s="315"/>
      <c r="AS37" s="315"/>
      <c r="AT37" s="315"/>
      <c r="AU37" s="315"/>
    </row>
    <row r="38" spans="1:58" x14ac:dyDescent="0.35">
      <c r="A38" s="128"/>
      <c r="B38" s="128"/>
      <c r="C38" s="128"/>
      <c r="D38" s="128"/>
      <c r="E38" s="128"/>
      <c r="F38" s="100"/>
      <c r="G38" s="133"/>
      <c r="H38" s="100"/>
      <c r="I38" s="309"/>
      <c r="J38" s="128"/>
      <c r="K38" s="315"/>
      <c r="L38" s="133"/>
      <c r="M38" s="309"/>
      <c r="N38" s="309"/>
      <c r="O38" s="309"/>
      <c r="P38" s="309"/>
      <c r="Q38" s="309"/>
      <c r="R38" s="309"/>
      <c r="S38" s="315"/>
      <c r="T38" s="315"/>
      <c r="U38" s="315"/>
      <c r="V38" s="315"/>
      <c r="W38" s="315"/>
      <c r="X38" s="315"/>
      <c r="Y38" s="315"/>
      <c r="Z38" s="315"/>
      <c r="AA38" s="315"/>
      <c r="AB38" s="317"/>
      <c r="AC38" s="318"/>
      <c r="AD38" s="309"/>
      <c r="AE38" s="128"/>
      <c r="AF38" s="315"/>
      <c r="AG38" s="315"/>
      <c r="AH38" s="315"/>
      <c r="AI38" s="315"/>
      <c r="AJ38" s="315"/>
      <c r="AK38" s="315"/>
      <c r="AL38" s="315"/>
      <c r="AM38" s="315"/>
      <c r="AN38" s="315"/>
      <c r="AO38" s="315"/>
      <c r="AP38" s="315"/>
      <c r="AQ38" s="315"/>
      <c r="AR38" s="315"/>
      <c r="AS38" s="315"/>
      <c r="AT38" s="315"/>
      <c r="AU38" s="315"/>
    </row>
    <row r="39" spans="1:58" x14ac:dyDescent="0.35">
      <c r="A39" s="128"/>
      <c r="B39" s="128"/>
      <c r="C39" s="128"/>
      <c r="D39" s="128"/>
      <c r="E39" s="128"/>
      <c r="F39" s="100"/>
      <c r="G39" s="133"/>
      <c r="H39" s="100"/>
      <c r="I39" s="309"/>
      <c r="J39" s="128"/>
      <c r="K39" s="315"/>
      <c r="L39" s="133"/>
      <c r="M39" s="309"/>
      <c r="N39" s="309"/>
      <c r="O39" s="309"/>
      <c r="P39" s="309"/>
      <c r="Q39" s="309"/>
      <c r="R39" s="309"/>
      <c r="S39" s="315"/>
      <c r="T39" s="315"/>
      <c r="U39" s="315"/>
      <c r="V39" s="315"/>
      <c r="W39" s="315"/>
      <c r="X39" s="315"/>
      <c r="Y39" s="315"/>
      <c r="Z39" s="315"/>
      <c r="AA39" s="315"/>
      <c r="AB39" s="317"/>
      <c r="AC39" s="318"/>
      <c r="AD39" s="309"/>
      <c r="AE39" s="128"/>
      <c r="AF39" s="315"/>
      <c r="AG39" s="315"/>
      <c r="AH39" s="315"/>
      <c r="AI39" s="315"/>
      <c r="AJ39" s="315"/>
      <c r="AK39" s="315"/>
      <c r="AL39" s="315"/>
      <c r="AM39" s="315"/>
      <c r="AN39" s="315"/>
      <c r="AO39" s="315"/>
      <c r="AP39" s="315"/>
      <c r="AQ39" s="315"/>
      <c r="AR39" s="315"/>
      <c r="AS39" s="315"/>
      <c r="AT39" s="315"/>
      <c r="AU39" s="315"/>
    </row>
    <row r="40" spans="1:58" x14ac:dyDescent="0.35">
      <c r="A40" s="128"/>
      <c r="B40" s="128"/>
      <c r="C40" s="128"/>
      <c r="D40" s="128"/>
      <c r="E40" s="128"/>
      <c r="F40" s="100"/>
      <c r="G40" s="133"/>
      <c r="H40" s="100"/>
      <c r="I40" s="309"/>
      <c r="J40" s="128"/>
      <c r="K40" s="315"/>
      <c r="L40" s="133"/>
      <c r="M40" s="309"/>
      <c r="N40" s="309"/>
      <c r="O40" s="309"/>
      <c r="P40" s="309"/>
      <c r="Q40" s="309"/>
      <c r="R40" s="309"/>
      <c r="S40" s="315"/>
      <c r="T40" s="315"/>
      <c r="U40" s="315"/>
      <c r="V40" s="315"/>
      <c r="W40" s="315"/>
      <c r="X40" s="315"/>
      <c r="Y40" s="315"/>
      <c r="Z40" s="315"/>
      <c r="AA40" s="315"/>
      <c r="AB40" s="317"/>
      <c r="AC40" s="318"/>
      <c r="AD40" s="309"/>
      <c r="AE40" s="128"/>
      <c r="AF40" s="315"/>
      <c r="AG40" s="315"/>
      <c r="AH40" s="315"/>
      <c r="AI40" s="315"/>
      <c r="AJ40" s="315"/>
      <c r="AK40" s="315"/>
      <c r="AL40" s="315"/>
      <c r="AM40" s="315"/>
      <c r="AN40" s="315"/>
      <c r="AO40" s="315"/>
      <c r="AP40" s="315"/>
      <c r="AQ40" s="315"/>
      <c r="AR40" s="315"/>
      <c r="AS40" s="315"/>
      <c r="AT40" s="315"/>
      <c r="AU40" s="315"/>
    </row>
    <row r="41" spans="1:58" x14ac:dyDescent="0.35">
      <c r="A41" s="128"/>
      <c r="B41" s="128"/>
      <c r="C41" s="128"/>
      <c r="D41" s="128"/>
      <c r="E41" s="128"/>
      <c r="F41" s="100"/>
      <c r="G41" s="133"/>
      <c r="H41" s="100"/>
      <c r="I41" s="309"/>
      <c r="J41" s="128"/>
      <c r="K41" s="315"/>
      <c r="L41" s="133"/>
      <c r="M41" s="309"/>
      <c r="N41" s="309"/>
      <c r="O41" s="309"/>
      <c r="P41" s="309"/>
      <c r="Q41" s="309"/>
      <c r="R41" s="309"/>
      <c r="S41" s="315"/>
      <c r="T41" s="315"/>
      <c r="U41" s="315"/>
      <c r="V41" s="315"/>
      <c r="W41" s="315"/>
      <c r="X41" s="315"/>
      <c r="Y41" s="315"/>
      <c r="Z41" s="315"/>
      <c r="AA41" s="315"/>
      <c r="AB41" s="317"/>
      <c r="AC41" s="318"/>
      <c r="AD41" s="309"/>
      <c r="AE41" s="128"/>
      <c r="AF41" s="315"/>
      <c r="AG41" s="315"/>
      <c r="AH41" s="315"/>
      <c r="AI41" s="315"/>
      <c r="AJ41" s="315"/>
      <c r="AK41" s="315"/>
      <c r="AL41" s="315"/>
      <c r="AM41" s="315"/>
      <c r="AN41" s="315"/>
      <c r="AO41" s="315"/>
      <c r="AP41" s="315"/>
      <c r="AQ41" s="315"/>
      <c r="AR41" s="315"/>
      <c r="AS41" s="315"/>
      <c r="AT41" s="315"/>
      <c r="AU41" s="315"/>
    </row>
    <row r="42" spans="1:58" x14ac:dyDescent="0.35">
      <c r="A42" s="128"/>
      <c r="B42" s="128"/>
      <c r="C42" s="128"/>
      <c r="D42" s="128"/>
      <c r="E42" s="128"/>
      <c r="F42" s="100"/>
      <c r="G42" s="133"/>
      <c r="H42" s="100"/>
      <c r="I42" s="309"/>
      <c r="J42" s="128"/>
      <c r="K42" s="315"/>
      <c r="L42" s="133"/>
      <c r="M42" s="309"/>
      <c r="N42" s="309"/>
      <c r="O42" s="309"/>
      <c r="P42" s="309"/>
      <c r="Q42" s="309"/>
      <c r="R42" s="309"/>
      <c r="S42" s="315"/>
      <c r="T42" s="315"/>
      <c r="U42" s="315"/>
      <c r="V42" s="315"/>
      <c r="W42" s="315"/>
      <c r="X42" s="315"/>
      <c r="Y42" s="315"/>
      <c r="Z42" s="315"/>
      <c r="AA42" s="315"/>
      <c r="AB42" s="317"/>
      <c r="AC42" s="318"/>
      <c r="AD42" s="309"/>
      <c r="AE42" s="128"/>
      <c r="AF42" s="315"/>
      <c r="AG42" s="315"/>
      <c r="AH42" s="315"/>
      <c r="AI42" s="315"/>
      <c r="AJ42" s="315"/>
      <c r="AK42" s="315"/>
      <c r="AL42" s="315"/>
      <c r="AM42" s="315"/>
      <c r="AN42" s="315"/>
      <c r="AO42" s="315"/>
      <c r="AP42" s="315"/>
      <c r="AQ42" s="315"/>
      <c r="AR42" s="315"/>
      <c r="AS42" s="315"/>
      <c r="AT42" s="315"/>
      <c r="AU42" s="315"/>
    </row>
    <row r="43" spans="1:58" s="100" customFormat="1" x14ac:dyDescent="0.35">
      <c r="A43" s="128"/>
      <c r="B43" s="128"/>
      <c r="C43" s="128"/>
      <c r="D43" s="128"/>
      <c r="E43" s="128"/>
      <c r="G43" s="133"/>
      <c r="I43" s="309"/>
      <c r="J43" s="128"/>
      <c r="K43" s="315"/>
      <c r="L43" s="133"/>
      <c r="M43" s="309"/>
      <c r="N43" s="309"/>
      <c r="O43" s="309"/>
      <c r="P43" s="309"/>
      <c r="Q43" s="309"/>
      <c r="R43" s="309"/>
      <c r="S43" s="315"/>
      <c r="T43" s="315"/>
      <c r="U43" s="315"/>
      <c r="V43" s="315"/>
      <c r="W43" s="315"/>
      <c r="X43" s="315"/>
      <c r="Y43" s="315"/>
      <c r="Z43" s="315"/>
      <c r="AA43" s="315"/>
      <c r="AB43" s="317"/>
      <c r="AC43" s="318"/>
      <c r="AD43" s="309"/>
      <c r="AE43" s="128"/>
      <c r="AF43" s="315"/>
      <c r="AG43" s="315"/>
      <c r="AH43" s="315"/>
      <c r="AI43" s="315"/>
      <c r="AJ43" s="315"/>
      <c r="AK43" s="315"/>
      <c r="AL43" s="315"/>
      <c r="AM43" s="315"/>
      <c r="AN43" s="315"/>
      <c r="AO43" s="315"/>
      <c r="AP43" s="315"/>
      <c r="AQ43" s="315"/>
      <c r="AR43" s="315"/>
      <c r="AS43" s="315"/>
      <c r="AT43" s="315"/>
      <c r="AU43" s="315"/>
      <c r="AV43" s="136"/>
      <c r="AW43" s="136"/>
      <c r="AX43" s="136"/>
      <c r="AY43" s="136"/>
      <c r="AZ43" s="136"/>
      <c r="BA43" s="136"/>
      <c r="BB43" s="136"/>
      <c r="BC43" s="136"/>
      <c r="BD43" s="136"/>
      <c r="BE43" s="136"/>
      <c r="BF43" s="136"/>
    </row>
    <row r="44" spans="1:58" s="100" customFormat="1" x14ac:dyDescent="0.35">
      <c r="A44" s="128"/>
      <c r="B44" s="128"/>
      <c r="C44" s="128"/>
      <c r="D44" s="128"/>
      <c r="E44" s="128"/>
      <c r="G44" s="133"/>
      <c r="I44" s="309"/>
      <c r="J44" s="128"/>
      <c r="K44" s="315"/>
      <c r="L44" s="133"/>
      <c r="M44" s="309"/>
      <c r="N44" s="309"/>
      <c r="O44" s="309"/>
      <c r="P44" s="309"/>
      <c r="Q44" s="309"/>
      <c r="R44" s="309"/>
      <c r="S44" s="315"/>
      <c r="T44" s="315"/>
      <c r="U44" s="315"/>
      <c r="V44" s="315"/>
      <c r="W44" s="315"/>
      <c r="X44" s="315"/>
      <c r="Y44" s="315"/>
      <c r="Z44" s="315"/>
      <c r="AA44" s="315"/>
      <c r="AB44" s="317"/>
      <c r="AC44" s="318"/>
      <c r="AD44" s="309"/>
      <c r="AE44" s="128"/>
      <c r="AF44" s="315"/>
      <c r="AG44" s="315"/>
      <c r="AH44" s="315"/>
      <c r="AI44" s="315"/>
      <c r="AJ44" s="315"/>
      <c r="AK44" s="315"/>
      <c r="AL44" s="315"/>
      <c r="AM44" s="315"/>
      <c r="AN44" s="315"/>
      <c r="AO44" s="315"/>
      <c r="AP44" s="315"/>
      <c r="AQ44" s="315"/>
      <c r="AR44" s="315"/>
      <c r="AS44" s="315"/>
      <c r="AT44" s="315"/>
      <c r="AU44" s="315"/>
      <c r="AV44" s="136"/>
      <c r="AW44" s="136"/>
      <c r="AX44" s="136"/>
      <c r="AY44" s="136"/>
      <c r="AZ44" s="136"/>
      <c r="BA44" s="136"/>
      <c r="BB44" s="136"/>
      <c r="BC44" s="136"/>
      <c r="BD44" s="136"/>
      <c r="BE44" s="136"/>
      <c r="BF44" s="136"/>
    </row>
    <row r="45" spans="1:58" s="100" customFormat="1" x14ac:dyDescent="0.35">
      <c r="A45" s="128"/>
      <c r="B45" s="128"/>
      <c r="C45" s="128"/>
      <c r="D45" s="128"/>
      <c r="E45" s="128"/>
      <c r="G45" s="133"/>
      <c r="I45" s="309"/>
      <c r="J45" s="128"/>
      <c r="K45" s="315"/>
      <c r="L45" s="133"/>
      <c r="M45" s="309"/>
      <c r="N45" s="309"/>
      <c r="O45" s="309"/>
      <c r="P45" s="309"/>
      <c r="Q45" s="309"/>
      <c r="R45" s="309"/>
      <c r="S45" s="315"/>
      <c r="T45" s="315"/>
      <c r="U45" s="315"/>
      <c r="V45" s="315"/>
      <c r="W45" s="315"/>
      <c r="X45" s="315"/>
      <c r="Y45" s="315"/>
      <c r="Z45" s="315"/>
      <c r="AA45" s="315"/>
      <c r="AB45" s="317"/>
      <c r="AC45" s="318"/>
      <c r="AD45" s="309"/>
      <c r="AE45" s="128"/>
      <c r="AF45" s="315"/>
      <c r="AG45" s="315"/>
      <c r="AH45" s="315"/>
      <c r="AI45" s="315"/>
      <c r="AJ45" s="315"/>
      <c r="AK45" s="315"/>
      <c r="AL45" s="315"/>
      <c r="AM45" s="315"/>
      <c r="AN45" s="315"/>
      <c r="AO45" s="315"/>
      <c r="AP45" s="315"/>
      <c r="AQ45" s="315"/>
      <c r="AR45" s="315"/>
      <c r="AS45" s="315"/>
      <c r="AT45" s="315"/>
      <c r="AU45" s="315"/>
      <c r="AV45" s="136"/>
      <c r="AW45" s="136"/>
      <c r="AX45" s="136"/>
      <c r="AY45" s="136"/>
      <c r="AZ45" s="136"/>
      <c r="BA45" s="136"/>
      <c r="BB45" s="136"/>
      <c r="BC45" s="136"/>
      <c r="BD45" s="136"/>
      <c r="BE45" s="136"/>
      <c r="BF45" s="136"/>
    </row>
    <row r="46" spans="1:58" s="100" customFormat="1" x14ac:dyDescent="0.35">
      <c r="A46" s="128"/>
      <c r="B46" s="128"/>
      <c r="C46" s="128"/>
      <c r="D46" s="128"/>
      <c r="E46" s="128"/>
      <c r="G46" s="133"/>
      <c r="I46" s="309"/>
      <c r="J46" s="128"/>
      <c r="K46" s="315"/>
      <c r="L46" s="133"/>
      <c r="M46" s="309"/>
      <c r="N46" s="309"/>
      <c r="O46" s="309"/>
      <c r="P46" s="309"/>
      <c r="Q46" s="309"/>
      <c r="R46" s="309"/>
      <c r="S46" s="315"/>
      <c r="T46" s="315"/>
      <c r="U46" s="315"/>
      <c r="V46" s="315"/>
      <c r="W46" s="315"/>
      <c r="X46" s="315"/>
      <c r="Y46" s="315"/>
      <c r="Z46" s="315"/>
      <c r="AA46" s="315"/>
      <c r="AB46" s="317"/>
      <c r="AC46" s="318"/>
      <c r="AD46" s="309"/>
      <c r="AE46" s="128"/>
      <c r="AF46" s="315"/>
      <c r="AG46" s="315"/>
      <c r="AH46" s="315"/>
      <c r="AI46" s="315"/>
      <c r="AJ46" s="315"/>
      <c r="AK46" s="315"/>
      <c r="AL46" s="315"/>
      <c r="AM46" s="315"/>
      <c r="AN46" s="315"/>
      <c r="AO46" s="315"/>
      <c r="AP46" s="315"/>
      <c r="AQ46" s="315"/>
      <c r="AR46" s="315"/>
      <c r="AS46" s="315"/>
      <c r="AT46" s="315"/>
      <c r="AU46" s="315"/>
      <c r="AV46" s="136"/>
      <c r="AW46" s="136"/>
      <c r="AX46" s="136"/>
      <c r="AY46" s="136"/>
      <c r="AZ46" s="136"/>
      <c r="BA46" s="136"/>
      <c r="BB46" s="136"/>
      <c r="BC46" s="136"/>
      <c r="BD46" s="136"/>
      <c r="BE46" s="136"/>
      <c r="BF46" s="136"/>
    </row>
    <row r="47" spans="1:58" s="100" customFormat="1" x14ac:dyDescent="0.35">
      <c r="A47" s="128"/>
      <c r="B47" s="128"/>
      <c r="C47" s="128"/>
      <c r="D47" s="128"/>
      <c r="E47" s="128"/>
      <c r="G47" s="133"/>
      <c r="I47" s="309"/>
      <c r="J47" s="128"/>
      <c r="K47" s="315"/>
      <c r="L47" s="133"/>
      <c r="M47" s="309"/>
      <c r="N47" s="309"/>
      <c r="O47" s="309"/>
      <c r="P47" s="309"/>
      <c r="Q47" s="309"/>
      <c r="R47" s="309"/>
      <c r="S47" s="315"/>
      <c r="T47" s="315"/>
      <c r="U47" s="315"/>
      <c r="V47" s="315"/>
      <c r="W47" s="315"/>
      <c r="X47" s="315"/>
      <c r="Y47" s="315"/>
      <c r="Z47" s="315"/>
      <c r="AA47" s="315"/>
      <c r="AB47" s="317"/>
      <c r="AC47" s="318"/>
      <c r="AD47" s="309"/>
      <c r="AE47" s="128"/>
      <c r="AF47" s="315"/>
      <c r="AG47" s="315"/>
      <c r="AH47" s="315"/>
      <c r="AI47" s="315"/>
      <c r="AJ47" s="315"/>
      <c r="AK47" s="315"/>
      <c r="AL47" s="315"/>
      <c r="AM47" s="315"/>
      <c r="AN47" s="315"/>
      <c r="AO47" s="315"/>
      <c r="AP47" s="315"/>
      <c r="AQ47" s="315"/>
      <c r="AR47" s="315"/>
      <c r="AS47" s="315"/>
      <c r="AT47" s="315"/>
      <c r="AU47" s="315"/>
      <c r="AV47" s="136"/>
      <c r="AW47" s="136"/>
      <c r="AX47" s="136"/>
      <c r="AY47" s="136"/>
      <c r="AZ47" s="136"/>
      <c r="BA47" s="136"/>
      <c r="BB47" s="136"/>
      <c r="BC47" s="136"/>
      <c r="BD47" s="136"/>
      <c r="BE47" s="136"/>
      <c r="BF47" s="136"/>
    </row>
    <row r="48" spans="1:58" s="100" customFormat="1" x14ac:dyDescent="0.35">
      <c r="A48" s="128"/>
      <c r="B48" s="128"/>
      <c r="C48" s="128"/>
      <c r="D48" s="128"/>
      <c r="E48" s="128"/>
      <c r="G48" s="133"/>
      <c r="I48" s="309"/>
      <c r="J48" s="128"/>
      <c r="K48" s="315"/>
      <c r="L48" s="133"/>
      <c r="M48" s="309"/>
      <c r="N48" s="309"/>
      <c r="O48" s="309"/>
      <c r="P48" s="309"/>
      <c r="Q48" s="309"/>
      <c r="R48" s="309"/>
      <c r="S48" s="315"/>
      <c r="T48" s="315"/>
      <c r="U48" s="315"/>
      <c r="V48" s="315"/>
      <c r="W48" s="315"/>
      <c r="X48" s="315"/>
      <c r="Y48" s="315"/>
      <c r="Z48" s="315"/>
      <c r="AA48" s="315"/>
      <c r="AB48" s="317"/>
      <c r="AC48" s="318"/>
      <c r="AD48" s="309"/>
      <c r="AE48" s="128"/>
      <c r="AF48" s="315"/>
      <c r="AG48" s="315"/>
      <c r="AH48" s="315"/>
      <c r="AI48" s="315"/>
      <c r="AJ48" s="315"/>
      <c r="AK48" s="315"/>
      <c r="AL48" s="315"/>
      <c r="AM48" s="315"/>
      <c r="AN48" s="315"/>
      <c r="AO48" s="315"/>
      <c r="AP48" s="315"/>
      <c r="AQ48" s="315"/>
      <c r="AR48" s="315"/>
      <c r="AS48" s="315"/>
      <c r="AT48" s="315"/>
      <c r="AU48" s="315"/>
      <c r="AV48" s="136"/>
      <c r="AW48" s="136"/>
      <c r="AX48" s="136"/>
      <c r="AY48" s="136"/>
      <c r="AZ48" s="136"/>
      <c r="BA48" s="136"/>
      <c r="BB48" s="136"/>
      <c r="BC48" s="136"/>
      <c r="BD48" s="136"/>
      <c r="BE48" s="136"/>
      <c r="BF48" s="136"/>
    </row>
    <row r="49" spans="1:58" s="100" customFormat="1" x14ac:dyDescent="0.35">
      <c r="A49" s="128"/>
      <c r="B49" s="128"/>
      <c r="C49" s="128"/>
      <c r="D49" s="128"/>
      <c r="E49" s="128"/>
      <c r="G49" s="133"/>
      <c r="I49" s="309"/>
      <c r="J49" s="128"/>
      <c r="K49" s="315"/>
      <c r="L49" s="133"/>
      <c r="M49" s="309"/>
      <c r="N49" s="309"/>
      <c r="O49" s="309"/>
      <c r="P49" s="309"/>
      <c r="Q49" s="309"/>
      <c r="R49" s="309"/>
      <c r="S49" s="315"/>
      <c r="T49" s="315"/>
      <c r="U49" s="315"/>
      <c r="V49" s="315"/>
      <c r="W49" s="315"/>
      <c r="X49" s="315"/>
      <c r="Y49" s="315"/>
      <c r="Z49" s="315"/>
      <c r="AA49" s="315"/>
      <c r="AB49" s="317"/>
      <c r="AC49" s="318"/>
      <c r="AD49" s="309"/>
      <c r="AE49" s="128"/>
      <c r="AF49" s="315"/>
      <c r="AG49" s="315"/>
      <c r="AH49" s="315"/>
      <c r="AI49" s="315"/>
      <c r="AJ49" s="315"/>
      <c r="AK49" s="315"/>
      <c r="AL49" s="315"/>
      <c r="AM49" s="315"/>
      <c r="AN49" s="315"/>
      <c r="AO49" s="315"/>
      <c r="AP49" s="315"/>
      <c r="AQ49" s="315"/>
      <c r="AR49" s="315"/>
      <c r="AS49" s="315"/>
      <c r="AT49" s="315"/>
      <c r="AU49" s="315"/>
      <c r="AV49" s="136"/>
      <c r="AW49" s="136"/>
      <c r="AX49" s="136"/>
      <c r="AY49" s="136"/>
      <c r="AZ49" s="136"/>
      <c r="BA49" s="136"/>
      <c r="BB49" s="136"/>
      <c r="BC49" s="136"/>
      <c r="BD49" s="136"/>
      <c r="BE49" s="136"/>
      <c r="BF49" s="136"/>
    </row>
    <row r="50" spans="1:58" s="100" customFormat="1" x14ac:dyDescent="0.35">
      <c r="A50" s="128"/>
      <c r="B50" s="128"/>
      <c r="C50" s="128"/>
      <c r="D50" s="128"/>
      <c r="E50" s="128"/>
      <c r="G50" s="133"/>
      <c r="I50" s="309"/>
      <c r="J50" s="128"/>
      <c r="K50" s="315"/>
      <c r="L50" s="133"/>
      <c r="M50" s="309"/>
      <c r="N50" s="309"/>
      <c r="O50" s="309"/>
      <c r="P50" s="309"/>
      <c r="Q50" s="309"/>
      <c r="R50" s="309"/>
      <c r="S50" s="315"/>
      <c r="T50" s="315"/>
      <c r="U50" s="315"/>
      <c r="V50" s="315"/>
      <c r="W50" s="315"/>
      <c r="X50" s="315"/>
      <c r="Y50" s="315"/>
      <c r="Z50" s="315"/>
      <c r="AA50" s="315"/>
      <c r="AB50" s="317"/>
      <c r="AC50" s="318"/>
      <c r="AD50" s="309"/>
      <c r="AE50" s="128"/>
      <c r="AF50" s="315"/>
      <c r="AG50" s="315"/>
      <c r="AH50" s="315"/>
      <c r="AI50" s="315"/>
      <c r="AJ50" s="315"/>
      <c r="AK50" s="315"/>
      <c r="AL50" s="315"/>
      <c r="AM50" s="315"/>
      <c r="AN50" s="315"/>
      <c r="AO50" s="315"/>
      <c r="AP50" s="315"/>
      <c r="AQ50" s="315"/>
      <c r="AR50" s="315"/>
      <c r="AS50" s="315"/>
      <c r="AT50" s="315"/>
      <c r="AU50" s="315"/>
      <c r="AV50" s="136"/>
      <c r="AW50" s="136"/>
      <c r="AX50" s="136"/>
      <c r="AY50" s="136"/>
      <c r="AZ50" s="136"/>
      <c r="BA50" s="136"/>
      <c r="BB50" s="136"/>
      <c r="BC50" s="136"/>
      <c r="BD50" s="136"/>
      <c r="BE50" s="136"/>
      <c r="BF50" s="136"/>
    </row>
    <row r="51" spans="1:58" s="100" customFormat="1" x14ac:dyDescent="0.35">
      <c r="A51" s="128"/>
      <c r="B51" s="128"/>
      <c r="C51" s="128"/>
      <c r="D51" s="128"/>
      <c r="E51" s="128"/>
      <c r="G51" s="133"/>
      <c r="I51" s="309"/>
      <c r="J51" s="128"/>
      <c r="K51" s="315"/>
      <c r="L51" s="133"/>
      <c r="M51" s="309"/>
      <c r="N51" s="309"/>
      <c r="O51" s="309"/>
      <c r="P51" s="309"/>
      <c r="Q51" s="309"/>
      <c r="R51" s="309"/>
      <c r="S51" s="315"/>
      <c r="T51" s="315"/>
      <c r="U51" s="315"/>
      <c r="V51" s="315"/>
      <c r="W51" s="315"/>
      <c r="X51" s="315"/>
      <c r="Y51" s="315"/>
      <c r="Z51" s="315"/>
      <c r="AA51" s="315"/>
      <c r="AB51" s="317"/>
      <c r="AC51" s="318"/>
      <c r="AD51" s="309"/>
      <c r="AE51" s="128"/>
      <c r="AF51" s="315"/>
      <c r="AG51" s="315"/>
      <c r="AH51" s="315"/>
      <c r="AI51" s="315"/>
      <c r="AJ51" s="315"/>
      <c r="AK51" s="315"/>
      <c r="AL51" s="315"/>
      <c r="AM51" s="315"/>
      <c r="AN51" s="315"/>
      <c r="AO51" s="315"/>
      <c r="AP51" s="315"/>
      <c r="AQ51" s="315"/>
      <c r="AR51" s="315"/>
      <c r="AS51" s="315"/>
      <c r="AT51" s="315"/>
      <c r="AU51" s="315"/>
      <c r="AV51" s="136"/>
      <c r="AW51" s="136"/>
      <c r="AX51" s="136"/>
      <c r="AY51" s="136"/>
      <c r="AZ51" s="136"/>
      <c r="BA51" s="136"/>
      <c r="BB51" s="136"/>
      <c r="BC51" s="136"/>
      <c r="BD51" s="136"/>
      <c r="BE51" s="136"/>
      <c r="BF51" s="136"/>
    </row>
    <row r="52" spans="1:58" s="100" customFormat="1" x14ac:dyDescent="0.35">
      <c r="A52" s="128"/>
      <c r="B52" s="128"/>
      <c r="C52" s="128"/>
      <c r="D52" s="128"/>
      <c r="E52" s="128"/>
      <c r="G52" s="133"/>
      <c r="I52" s="309"/>
      <c r="J52" s="128"/>
      <c r="K52" s="315"/>
      <c r="L52" s="133"/>
      <c r="M52" s="309"/>
      <c r="N52" s="309"/>
      <c r="O52" s="309"/>
      <c r="P52" s="309"/>
      <c r="Q52" s="309"/>
      <c r="R52" s="309"/>
      <c r="S52" s="315"/>
      <c r="T52" s="315"/>
      <c r="U52" s="315"/>
      <c r="V52" s="315"/>
      <c r="W52" s="315"/>
      <c r="X52" s="315"/>
      <c r="Y52" s="315"/>
      <c r="Z52" s="315"/>
      <c r="AA52" s="315"/>
      <c r="AB52" s="317"/>
      <c r="AC52" s="318"/>
      <c r="AD52" s="309"/>
      <c r="AE52" s="128"/>
      <c r="AF52" s="315"/>
      <c r="AG52" s="315"/>
      <c r="AH52" s="315"/>
      <c r="AI52" s="315"/>
      <c r="AJ52" s="315"/>
      <c r="AK52" s="315"/>
      <c r="AL52" s="315"/>
      <c r="AM52" s="315"/>
      <c r="AN52" s="315"/>
      <c r="AO52" s="315"/>
      <c r="AP52" s="315"/>
      <c r="AQ52" s="315"/>
      <c r="AR52" s="315"/>
      <c r="AS52" s="315"/>
      <c r="AT52" s="315"/>
      <c r="AU52" s="315"/>
      <c r="AV52" s="136"/>
      <c r="AW52" s="136"/>
      <c r="AX52" s="136"/>
      <c r="AY52" s="136"/>
      <c r="AZ52" s="136"/>
      <c r="BA52" s="136"/>
      <c r="BB52" s="136"/>
      <c r="BC52" s="136"/>
      <c r="BD52" s="136"/>
      <c r="BE52" s="136"/>
      <c r="BF52" s="136"/>
    </row>
    <row r="53" spans="1:58" s="100" customFormat="1" x14ac:dyDescent="0.35">
      <c r="F53" s="133"/>
      <c r="G53" s="133"/>
      <c r="Q53" s="351"/>
      <c r="R53" s="351"/>
      <c r="S53" s="309"/>
      <c r="T53" s="315"/>
      <c r="U53" s="315"/>
      <c r="V53" s="315"/>
      <c r="W53" s="315"/>
      <c r="X53" s="315"/>
      <c r="Y53" s="315"/>
      <c r="Z53" s="315"/>
      <c r="AA53" s="315"/>
      <c r="AD53" s="133"/>
      <c r="AE53" s="133"/>
      <c r="AF53" s="315"/>
      <c r="AG53" s="315"/>
      <c r="AH53" s="315"/>
      <c r="AI53" s="315"/>
      <c r="AJ53" s="315"/>
      <c r="AK53" s="315"/>
      <c r="AL53" s="315"/>
      <c r="AM53" s="315"/>
      <c r="AN53" s="315"/>
      <c r="AO53" s="315"/>
      <c r="AP53" s="315"/>
      <c r="AQ53" s="315"/>
      <c r="AR53" s="315"/>
      <c r="AS53" s="315"/>
      <c r="AT53" s="315"/>
      <c r="AU53" s="315"/>
      <c r="AV53" s="136"/>
      <c r="AW53" s="136"/>
      <c r="AX53" s="136"/>
      <c r="AY53" s="136"/>
      <c r="AZ53" s="136"/>
      <c r="BA53" s="136"/>
      <c r="BB53" s="136"/>
      <c r="BC53" s="136"/>
      <c r="BD53" s="136"/>
      <c r="BE53" s="136"/>
      <c r="BF53" s="136"/>
    </row>
    <row r="54" spans="1:58" s="100" customFormat="1" x14ac:dyDescent="0.35">
      <c r="B54" s="128"/>
      <c r="C54" s="102"/>
      <c r="D54" s="128"/>
      <c r="E54" s="128"/>
      <c r="G54" s="133"/>
      <c r="L54" s="351"/>
      <c r="Q54" s="351"/>
      <c r="R54" s="352"/>
      <c r="S54" s="309"/>
      <c r="T54" s="315"/>
      <c r="U54" s="315"/>
      <c r="V54" s="315"/>
      <c r="W54" s="315"/>
      <c r="X54" s="315"/>
      <c r="Y54" s="315"/>
      <c r="Z54" s="315"/>
      <c r="AA54" s="315"/>
      <c r="AB54" s="128"/>
      <c r="AC54" s="128"/>
      <c r="AD54" s="133"/>
      <c r="AE54" s="133"/>
      <c r="AF54" s="315"/>
      <c r="AG54" s="315"/>
      <c r="AH54" s="315"/>
      <c r="AI54" s="315"/>
      <c r="AJ54" s="315"/>
      <c r="AK54" s="315"/>
      <c r="AL54" s="315"/>
      <c r="AM54" s="315"/>
      <c r="AN54" s="315"/>
      <c r="AO54" s="315"/>
      <c r="AP54" s="315"/>
      <c r="AQ54" s="315"/>
      <c r="AR54" s="315"/>
      <c r="AS54" s="315"/>
      <c r="AT54" s="315"/>
      <c r="AU54" s="315"/>
      <c r="AV54" s="136"/>
      <c r="AW54" s="136"/>
      <c r="AX54" s="136"/>
      <c r="AY54" s="136"/>
      <c r="AZ54" s="136"/>
      <c r="BA54" s="136"/>
      <c r="BB54" s="136"/>
      <c r="BC54" s="136"/>
      <c r="BD54" s="136"/>
      <c r="BE54" s="136"/>
      <c r="BF54" s="136"/>
    </row>
    <row r="55" spans="1:58" s="100" customFormat="1" x14ac:dyDescent="0.35">
      <c r="B55" s="128"/>
      <c r="C55" s="102"/>
      <c r="D55" s="128"/>
      <c r="E55" s="128"/>
      <c r="G55" s="133"/>
      <c r="L55" s="351"/>
      <c r="Q55" s="351"/>
      <c r="R55" s="352"/>
      <c r="S55" s="309"/>
      <c r="T55" s="315"/>
      <c r="U55" s="315"/>
      <c r="V55" s="315"/>
      <c r="W55" s="315"/>
      <c r="X55" s="315"/>
      <c r="Y55" s="315"/>
      <c r="Z55" s="315"/>
      <c r="AA55" s="315"/>
      <c r="AB55" s="128"/>
      <c r="AC55" s="128"/>
      <c r="AD55" s="133"/>
      <c r="AE55" s="133"/>
      <c r="AF55" s="315"/>
      <c r="AG55" s="315"/>
      <c r="AH55" s="315"/>
      <c r="AI55" s="315"/>
      <c r="AJ55" s="315"/>
      <c r="AK55" s="315"/>
      <c r="AL55" s="315"/>
      <c r="AM55" s="315"/>
      <c r="AN55" s="315"/>
      <c r="AO55" s="315"/>
      <c r="AP55" s="315"/>
      <c r="AQ55" s="315"/>
      <c r="AR55" s="315"/>
      <c r="AS55" s="315"/>
      <c r="AT55" s="315"/>
      <c r="AU55" s="315"/>
      <c r="AV55" s="136"/>
      <c r="AW55" s="136"/>
      <c r="AX55" s="136"/>
      <c r="AY55" s="136"/>
      <c r="AZ55" s="136"/>
      <c r="BA55" s="136"/>
      <c r="BB55" s="136"/>
      <c r="BC55" s="136"/>
      <c r="BD55" s="136"/>
      <c r="BE55" s="136"/>
      <c r="BF55" s="136"/>
    </row>
    <row r="56" spans="1:58" s="100" customFormat="1" x14ac:dyDescent="0.35">
      <c r="B56" s="128"/>
      <c r="C56" s="102"/>
      <c r="D56" s="128"/>
      <c r="E56" s="128"/>
      <c r="G56" s="133"/>
      <c r="L56" s="351"/>
      <c r="N56" s="352"/>
      <c r="O56" s="352"/>
      <c r="Q56" s="351"/>
      <c r="R56" s="352"/>
      <c r="S56" s="309"/>
      <c r="T56" s="315"/>
      <c r="U56" s="315"/>
      <c r="V56" s="315"/>
      <c r="W56" s="315"/>
      <c r="X56" s="315"/>
      <c r="Y56" s="315"/>
      <c r="Z56" s="315"/>
      <c r="AA56" s="315"/>
      <c r="AB56" s="128"/>
      <c r="AC56" s="128"/>
      <c r="AD56" s="133"/>
      <c r="AE56" s="133"/>
      <c r="AF56" s="315"/>
      <c r="AG56" s="315"/>
      <c r="AH56" s="315"/>
      <c r="AI56" s="315"/>
      <c r="AJ56" s="315"/>
      <c r="AK56" s="315"/>
      <c r="AL56" s="315"/>
      <c r="AM56" s="315"/>
      <c r="AN56" s="315"/>
      <c r="AO56" s="315"/>
      <c r="AP56" s="315"/>
      <c r="AQ56" s="315"/>
      <c r="AR56" s="315"/>
      <c r="AS56" s="315"/>
      <c r="AT56" s="315"/>
      <c r="AU56" s="315"/>
      <c r="AV56" s="136"/>
      <c r="AW56" s="136"/>
      <c r="AX56" s="136"/>
      <c r="AY56" s="136"/>
      <c r="AZ56" s="136"/>
      <c r="BA56" s="136"/>
      <c r="BB56" s="136"/>
      <c r="BC56" s="136"/>
      <c r="BD56" s="136"/>
      <c r="BE56" s="136"/>
      <c r="BF56" s="136"/>
    </row>
    <row r="57" spans="1:58" s="100" customFormat="1" x14ac:dyDescent="0.35">
      <c r="B57" s="128"/>
      <c r="C57" s="102"/>
      <c r="D57" s="128"/>
      <c r="E57" s="128"/>
      <c r="G57" s="133"/>
      <c r="L57" s="351"/>
      <c r="Q57" s="351"/>
      <c r="R57" s="352"/>
      <c r="S57" s="366"/>
      <c r="T57" s="315"/>
      <c r="U57" s="315"/>
      <c r="V57" s="315"/>
      <c r="W57" s="315"/>
      <c r="X57" s="315"/>
      <c r="Y57" s="315"/>
      <c r="Z57" s="315"/>
      <c r="AA57" s="315"/>
      <c r="AB57" s="128"/>
      <c r="AC57" s="128"/>
      <c r="AD57" s="133"/>
      <c r="AE57" s="133"/>
      <c r="AF57" s="315"/>
      <c r="AG57" s="315"/>
      <c r="AH57" s="315"/>
      <c r="AI57" s="315"/>
      <c r="AJ57" s="315"/>
      <c r="AK57" s="315"/>
      <c r="AL57" s="315"/>
      <c r="AM57" s="315"/>
      <c r="AN57" s="315"/>
      <c r="AO57" s="315"/>
      <c r="AP57" s="315"/>
      <c r="AQ57" s="315"/>
      <c r="AR57" s="315"/>
      <c r="AS57" s="315"/>
      <c r="AT57" s="315"/>
      <c r="AU57" s="315"/>
      <c r="AV57" s="136"/>
      <c r="AW57" s="136"/>
      <c r="AX57" s="136"/>
      <c r="AY57" s="136"/>
      <c r="AZ57" s="136"/>
      <c r="BA57" s="136"/>
      <c r="BB57" s="136"/>
      <c r="BC57" s="136"/>
      <c r="BD57" s="136"/>
      <c r="BE57" s="136"/>
      <c r="BF57" s="136"/>
    </row>
    <row r="58" spans="1:58" s="100" customFormat="1" x14ac:dyDescent="0.35">
      <c r="B58" s="128"/>
      <c r="C58" s="102"/>
      <c r="D58" s="128"/>
      <c r="E58" s="128"/>
      <c r="G58" s="133"/>
      <c r="L58" s="351"/>
      <c r="N58" s="352"/>
      <c r="P58" s="352"/>
      <c r="R58" s="352"/>
      <c r="S58" s="309"/>
      <c r="T58" s="315"/>
      <c r="U58" s="315"/>
      <c r="V58" s="315"/>
      <c r="W58" s="315"/>
      <c r="X58" s="315"/>
      <c r="Y58" s="315"/>
      <c r="Z58" s="315"/>
      <c r="AA58" s="315"/>
      <c r="AD58" s="133"/>
      <c r="AE58" s="133"/>
      <c r="AF58" s="315"/>
      <c r="AG58" s="315"/>
      <c r="AH58" s="315"/>
      <c r="AI58" s="315"/>
      <c r="AJ58" s="315"/>
      <c r="AK58" s="315"/>
      <c r="AL58" s="315"/>
      <c r="AM58" s="315"/>
      <c r="AN58" s="315"/>
      <c r="AO58" s="315"/>
      <c r="AP58" s="315"/>
      <c r="AQ58" s="315"/>
      <c r="AR58" s="315"/>
      <c r="AS58" s="315"/>
      <c r="AT58" s="315"/>
      <c r="AU58" s="315"/>
      <c r="AV58" s="136"/>
      <c r="AW58" s="136"/>
      <c r="AX58" s="136"/>
      <c r="AY58" s="136"/>
      <c r="AZ58" s="136"/>
      <c r="BA58" s="136"/>
      <c r="BB58" s="136"/>
      <c r="BC58" s="136"/>
      <c r="BD58" s="136"/>
      <c r="BE58" s="136"/>
      <c r="BF58" s="136"/>
    </row>
    <row r="59" spans="1:58" s="100" customFormat="1" x14ac:dyDescent="0.35">
      <c r="B59" s="128"/>
      <c r="C59" s="102"/>
      <c r="D59" s="128"/>
      <c r="E59" s="128"/>
      <c r="G59" s="133"/>
      <c r="L59" s="351"/>
      <c r="N59" s="352"/>
      <c r="P59" s="352"/>
      <c r="R59" s="352"/>
      <c r="S59" s="309"/>
      <c r="T59" s="315"/>
      <c r="U59" s="315"/>
      <c r="V59" s="315"/>
      <c r="W59" s="315"/>
      <c r="X59" s="315"/>
      <c r="Y59" s="315"/>
      <c r="Z59" s="315"/>
      <c r="AA59" s="315"/>
      <c r="AD59" s="133"/>
      <c r="AE59" s="133"/>
      <c r="AF59" s="315"/>
      <c r="AG59" s="315"/>
      <c r="AH59" s="315"/>
      <c r="AI59" s="315"/>
      <c r="AJ59" s="315"/>
      <c r="AK59" s="315"/>
      <c r="AL59" s="315"/>
      <c r="AM59" s="315"/>
      <c r="AN59" s="315"/>
      <c r="AO59" s="315"/>
      <c r="AP59" s="315"/>
      <c r="AQ59" s="315"/>
      <c r="AR59" s="315"/>
      <c r="AS59" s="315"/>
      <c r="AT59" s="315"/>
      <c r="AU59" s="315"/>
      <c r="AV59" s="136"/>
      <c r="AW59" s="136"/>
      <c r="AX59" s="136"/>
      <c r="AY59" s="136"/>
      <c r="AZ59" s="136"/>
      <c r="BA59" s="136"/>
      <c r="BB59" s="136"/>
      <c r="BC59" s="136"/>
      <c r="BD59" s="136"/>
      <c r="BE59" s="136"/>
      <c r="BF59" s="136"/>
    </row>
    <row r="60" spans="1:58" s="100" customFormat="1" x14ac:dyDescent="0.35">
      <c r="B60" s="128"/>
      <c r="C60" s="102"/>
      <c r="D60" s="128"/>
      <c r="E60" s="128"/>
      <c r="G60" s="133"/>
      <c r="L60" s="128"/>
      <c r="S60" s="309"/>
      <c r="T60" s="315"/>
      <c r="U60" s="315"/>
      <c r="V60" s="315"/>
      <c r="W60" s="315"/>
      <c r="X60" s="315"/>
      <c r="Y60" s="315"/>
      <c r="Z60" s="315"/>
      <c r="AA60" s="315"/>
      <c r="AB60" s="128"/>
      <c r="AC60" s="128"/>
      <c r="AD60" s="133"/>
      <c r="AE60" s="133"/>
      <c r="AF60" s="315"/>
      <c r="AG60" s="315"/>
      <c r="AH60" s="315"/>
      <c r="AI60" s="315"/>
      <c r="AJ60" s="315"/>
      <c r="AK60" s="315"/>
      <c r="AL60" s="315"/>
      <c r="AM60" s="315"/>
      <c r="AN60" s="315"/>
      <c r="AO60" s="315"/>
      <c r="AP60" s="315"/>
      <c r="AQ60" s="315"/>
      <c r="AR60" s="315"/>
      <c r="AS60" s="315"/>
      <c r="AT60" s="315"/>
      <c r="AU60" s="315"/>
      <c r="AV60" s="136"/>
      <c r="AW60" s="136"/>
      <c r="AX60" s="136"/>
      <c r="AY60" s="136"/>
      <c r="AZ60" s="136"/>
      <c r="BA60" s="136"/>
      <c r="BB60" s="136"/>
      <c r="BC60" s="136"/>
      <c r="BD60" s="136"/>
      <c r="BE60" s="136"/>
      <c r="BF60" s="136"/>
    </row>
    <row r="61" spans="1:58" s="100" customFormat="1" x14ac:dyDescent="0.35">
      <c r="B61" s="128"/>
      <c r="C61" s="102"/>
      <c r="D61" s="128"/>
      <c r="E61" s="128"/>
      <c r="G61" s="133"/>
      <c r="L61" s="128"/>
      <c r="S61" s="309"/>
      <c r="T61" s="315"/>
      <c r="U61" s="315"/>
      <c r="V61" s="315"/>
      <c r="W61" s="315"/>
      <c r="X61" s="315"/>
      <c r="Y61" s="315"/>
      <c r="Z61" s="315"/>
      <c r="AA61" s="315"/>
      <c r="AB61" s="128"/>
      <c r="AC61" s="128"/>
      <c r="AD61" s="133"/>
      <c r="AE61" s="133"/>
      <c r="AF61" s="315"/>
      <c r="AG61" s="315"/>
      <c r="AH61" s="315"/>
      <c r="AI61" s="315"/>
      <c r="AJ61" s="315"/>
      <c r="AK61" s="315"/>
      <c r="AL61" s="315"/>
      <c r="AM61" s="315"/>
      <c r="AN61" s="315"/>
      <c r="AO61" s="315"/>
      <c r="AP61" s="315"/>
      <c r="AQ61" s="315"/>
      <c r="AR61" s="315"/>
      <c r="AS61" s="315"/>
      <c r="AT61" s="315"/>
      <c r="AU61" s="315"/>
      <c r="AV61" s="136"/>
      <c r="AW61" s="136"/>
      <c r="AX61" s="136"/>
      <c r="AY61" s="136"/>
      <c r="AZ61" s="136"/>
      <c r="BA61" s="136"/>
      <c r="BB61" s="136"/>
      <c r="BC61" s="136"/>
      <c r="BD61" s="136"/>
      <c r="BE61" s="136"/>
      <c r="BF61" s="136"/>
    </row>
    <row r="62" spans="1:58" s="100" customFormat="1" x14ac:dyDescent="0.35">
      <c r="B62" s="128"/>
      <c r="D62" s="128"/>
      <c r="E62" s="128"/>
      <c r="G62" s="133"/>
      <c r="K62" s="321"/>
      <c r="S62" s="309"/>
      <c r="T62" s="315"/>
      <c r="U62" s="315"/>
      <c r="V62" s="315"/>
      <c r="W62" s="315"/>
      <c r="X62" s="315"/>
      <c r="Y62" s="315"/>
      <c r="Z62" s="315"/>
      <c r="AA62" s="315"/>
      <c r="AB62" s="128"/>
      <c r="AC62" s="128"/>
      <c r="AD62" s="133"/>
      <c r="AE62" s="133"/>
      <c r="AF62" s="315"/>
      <c r="AG62" s="315"/>
      <c r="AH62" s="315"/>
      <c r="AI62" s="315"/>
      <c r="AJ62" s="315"/>
      <c r="AK62" s="315"/>
      <c r="AL62" s="315"/>
      <c r="AM62" s="315"/>
      <c r="AN62" s="315"/>
      <c r="AO62" s="315"/>
      <c r="AP62" s="315"/>
      <c r="AQ62" s="315"/>
      <c r="AR62" s="315"/>
      <c r="AS62" s="315"/>
      <c r="AT62" s="315"/>
      <c r="AU62" s="315"/>
      <c r="AV62" s="136"/>
      <c r="AW62" s="136"/>
      <c r="AX62" s="136"/>
      <c r="AY62" s="136"/>
      <c r="AZ62" s="136"/>
      <c r="BA62" s="136"/>
      <c r="BB62" s="136"/>
      <c r="BC62" s="136"/>
      <c r="BD62" s="136"/>
      <c r="BE62" s="136"/>
      <c r="BF62" s="136"/>
    </row>
    <row r="63" spans="1:58" s="100" customFormat="1" x14ac:dyDescent="0.35">
      <c r="B63" s="128"/>
      <c r="D63" s="128"/>
      <c r="E63" s="128"/>
      <c r="G63" s="133"/>
      <c r="K63" s="321"/>
      <c r="S63" s="309"/>
      <c r="T63" s="315"/>
      <c r="U63" s="315"/>
      <c r="V63" s="315"/>
      <c r="W63" s="315"/>
      <c r="X63" s="315"/>
      <c r="Y63" s="315"/>
      <c r="Z63" s="315"/>
      <c r="AA63" s="315"/>
      <c r="AB63" s="128"/>
      <c r="AC63" s="128"/>
      <c r="AD63" s="133"/>
      <c r="AE63" s="133"/>
      <c r="AF63" s="315"/>
      <c r="AG63" s="315"/>
      <c r="AH63" s="315"/>
      <c r="AI63" s="315"/>
      <c r="AJ63" s="315"/>
      <c r="AK63" s="315"/>
      <c r="AL63" s="315"/>
      <c r="AM63" s="315"/>
      <c r="AN63" s="315"/>
      <c r="AO63" s="315"/>
      <c r="AP63" s="315"/>
      <c r="AQ63" s="315"/>
      <c r="AR63" s="315"/>
      <c r="AS63" s="315"/>
      <c r="AT63" s="315"/>
      <c r="AU63" s="315"/>
      <c r="AV63" s="136"/>
      <c r="AW63" s="136"/>
      <c r="AX63" s="136"/>
      <c r="AY63" s="136"/>
      <c r="AZ63" s="136"/>
      <c r="BA63" s="136"/>
      <c r="BB63" s="136"/>
      <c r="BC63" s="136"/>
      <c r="BD63" s="136"/>
      <c r="BE63" s="136"/>
      <c r="BF63" s="136"/>
    </row>
    <row r="64" spans="1:58" s="100" customFormat="1" x14ac:dyDescent="0.35">
      <c r="B64" s="128"/>
      <c r="D64" s="128"/>
      <c r="E64" s="128"/>
      <c r="G64" s="133"/>
      <c r="K64" s="321"/>
      <c r="S64" s="309"/>
      <c r="T64" s="315"/>
      <c r="U64" s="315"/>
      <c r="V64" s="315"/>
      <c r="W64" s="315"/>
      <c r="X64" s="315"/>
      <c r="Y64" s="315"/>
      <c r="Z64" s="315"/>
      <c r="AA64" s="315"/>
      <c r="AB64" s="128"/>
      <c r="AC64" s="128"/>
      <c r="AD64" s="133"/>
      <c r="AE64" s="133"/>
      <c r="AF64" s="315"/>
      <c r="AG64" s="315"/>
      <c r="AH64" s="315"/>
      <c r="AI64" s="315"/>
      <c r="AJ64" s="315"/>
      <c r="AK64" s="315"/>
      <c r="AL64" s="315"/>
      <c r="AM64" s="315"/>
      <c r="AN64" s="315"/>
      <c r="AO64" s="315"/>
      <c r="AP64" s="315"/>
      <c r="AQ64" s="315"/>
      <c r="AR64" s="315"/>
      <c r="AS64" s="315"/>
      <c r="AT64" s="315"/>
      <c r="AU64" s="315"/>
      <c r="AV64" s="136"/>
      <c r="AW64" s="136"/>
      <c r="AX64" s="136"/>
      <c r="AY64" s="136"/>
      <c r="AZ64" s="136"/>
      <c r="BA64" s="136"/>
      <c r="BB64" s="136"/>
      <c r="BC64" s="136"/>
      <c r="BD64" s="136"/>
      <c r="BE64" s="136"/>
      <c r="BF64" s="136"/>
    </row>
    <row r="65" spans="1:58" s="100" customFormat="1" x14ac:dyDescent="0.35">
      <c r="B65" s="128"/>
      <c r="D65" s="128"/>
      <c r="E65" s="128"/>
      <c r="G65" s="133"/>
      <c r="K65" s="321"/>
      <c r="S65" s="309"/>
      <c r="T65" s="315"/>
      <c r="U65" s="315"/>
      <c r="V65" s="315"/>
      <c r="W65" s="315"/>
      <c r="X65" s="315"/>
      <c r="Y65" s="315"/>
      <c r="Z65" s="315"/>
      <c r="AA65" s="315"/>
      <c r="AB65" s="128"/>
      <c r="AC65" s="128"/>
      <c r="AD65" s="133"/>
      <c r="AE65" s="133"/>
      <c r="AF65" s="315"/>
      <c r="AG65" s="315"/>
      <c r="AH65" s="315"/>
      <c r="AI65" s="315"/>
      <c r="AJ65" s="315"/>
      <c r="AK65" s="315"/>
      <c r="AL65" s="315"/>
      <c r="AM65" s="315"/>
      <c r="AN65" s="315"/>
      <c r="AO65" s="315"/>
      <c r="AP65" s="315"/>
      <c r="AQ65" s="315"/>
      <c r="AR65" s="315"/>
      <c r="AS65" s="315"/>
      <c r="AT65" s="315"/>
      <c r="AU65" s="315"/>
      <c r="AV65" s="136"/>
      <c r="AW65" s="136"/>
      <c r="AX65" s="136"/>
      <c r="AY65" s="136"/>
      <c r="AZ65" s="136"/>
      <c r="BA65" s="136"/>
      <c r="BB65" s="136"/>
      <c r="BC65" s="136"/>
      <c r="BD65" s="136"/>
      <c r="BE65" s="136"/>
      <c r="BF65" s="136"/>
    </row>
    <row r="66" spans="1:58" s="100" customFormat="1" x14ac:dyDescent="0.35">
      <c r="B66" s="128"/>
      <c r="D66" s="128"/>
      <c r="E66" s="128"/>
      <c r="G66" s="133"/>
      <c r="K66" s="321"/>
      <c r="S66" s="309"/>
      <c r="T66" s="315"/>
      <c r="U66" s="315"/>
      <c r="V66" s="315"/>
      <c r="W66" s="315"/>
      <c r="X66" s="315"/>
      <c r="Y66" s="315"/>
      <c r="Z66" s="315"/>
      <c r="AA66" s="315"/>
      <c r="AB66" s="128"/>
      <c r="AC66" s="128"/>
      <c r="AD66" s="133"/>
      <c r="AE66" s="133"/>
      <c r="AF66" s="315"/>
      <c r="AG66" s="315"/>
      <c r="AH66" s="315"/>
      <c r="AI66" s="315"/>
      <c r="AJ66" s="315"/>
      <c r="AK66" s="315"/>
      <c r="AL66" s="315"/>
      <c r="AM66" s="315"/>
      <c r="AN66" s="315"/>
      <c r="AO66" s="315"/>
      <c r="AP66" s="315"/>
      <c r="AQ66" s="315"/>
      <c r="AR66" s="315"/>
      <c r="AS66" s="315"/>
      <c r="AT66" s="315"/>
      <c r="AU66" s="315"/>
      <c r="AV66" s="136"/>
      <c r="AW66" s="136"/>
      <c r="AX66" s="136"/>
      <c r="AY66" s="136"/>
      <c r="AZ66" s="136"/>
      <c r="BA66" s="136"/>
      <c r="BB66" s="136"/>
      <c r="BC66" s="136"/>
      <c r="BD66" s="136"/>
      <c r="BE66" s="136"/>
      <c r="BF66" s="136"/>
    </row>
    <row r="67" spans="1:58" s="100" customFormat="1" x14ac:dyDescent="0.35">
      <c r="B67" s="128"/>
      <c r="D67" s="128"/>
      <c r="E67" s="128"/>
      <c r="G67" s="133"/>
      <c r="K67" s="321"/>
      <c r="S67" s="315"/>
      <c r="T67" s="315"/>
      <c r="U67" s="315"/>
      <c r="V67" s="315"/>
      <c r="W67" s="315"/>
      <c r="X67" s="315"/>
      <c r="Y67" s="315"/>
      <c r="Z67" s="315"/>
      <c r="AA67" s="315"/>
      <c r="AB67" s="128"/>
      <c r="AC67" s="128"/>
      <c r="AD67" s="133"/>
      <c r="AE67" s="133"/>
      <c r="AF67" s="315"/>
      <c r="AG67" s="315"/>
      <c r="AH67" s="315"/>
      <c r="AI67" s="315"/>
      <c r="AJ67" s="315"/>
      <c r="AK67" s="315"/>
      <c r="AL67" s="315"/>
      <c r="AM67" s="315"/>
      <c r="AN67" s="315"/>
      <c r="AO67" s="315"/>
      <c r="AP67" s="315"/>
      <c r="AQ67" s="315"/>
      <c r="AR67" s="315"/>
      <c r="AS67" s="315"/>
      <c r="AT67" s="315"/>
      <c r="AU67" s="315"/>
      <c r="AV67" s="136"/>
      <c r="AW67" s="136"/>
      <c r="AX67" s="136"/>
      <c r="AY67" s="136"/>
      <c r="AZ67" s="136"/>
      <c r="BA67" s="136"/>
      <c r="BB67" s="136"/>
      <c r="BC67" s="136"/>
      <c r="BD67" s="136"/>
      <c r="BE67" s="136"/>
      <c r="BF67" s="136"/>
    </row>
    <row r="68" spans="1:58" s="100" customFormat="1" x14ac:dyDescent="0.35">
      <c r="B68" s="128"/>
      <c r="D68" s="128"/>
      <c r="E68" s="128"/>
      <c r="G68" s="133"/>
      <c r="K68" s="321"/>
      <c r="S68" s="315"/>
      <c r="T68" s="315"/>
      <c r="U68" s="315"/>
      <c r="V68" s="315"/>
      <c r="W68" s="315"/>
      <c r="X68" s="315"/>
      <c r="Y68" s="315"/>
      <c r="Z68" s="315"/>
      <c r="AA68" s="315"/>
      <c r="AB68" s="128"/>
      <c r="AC68" s="128"/>
      <c r="AD68" s="133"/>
      <c r="AE68" s="133"/>
      <c r="AF68" s="315"/>
      <c r="AG68" s="315"/>
      <c r="AH68" s="315"/>
      <c r="AI68" s="315"/>
      <c r="AJ68" s="315"/>
      <c r="AK68" s="315"/>
      <c r="AL68" s="315"/>
      <c r="AM68" s="315"/>
      <c r="AN68" s="315"/>
      <c r="AO68" s="315"/>
      <c r="AP68" s="315"/>
      <c r="AQ68" s="315"/>
      <c r="AR68" s="315"/>
      <c r="AS68" s="315"/>
      <c r="AT68" s="315"/>
      <c r="AU68" s="315"/>
      <c r="AV68" s="136"/>
      <c r="AW68" s="136"/>
      <c r="AX68" s="136"/>
      <c r="AY68" s="136"/>
      <c r="AZ68" s="136"/>
      <c r="BA68" s="136"/>
      <c r="BB68" s="136"/>
      <c r="BC68" s="136"/>
      <c r="BD68" s="136"/>
      <c r="BE68" s="136"/>
      <c r="BF68" s="136"/>
    </row>
    <row r="69" spans="1:58" s="100" customFormat="1" x14ac:dyDescent="0.35">
      <c r="B69" s="128"/>
      <c r="D69" s="128"/>
      <c r="E69" s="128"/>
      <c r="G69" s="133"/>
      <c r="S69" s="315"/>
      <c r="T69" s="315"/>
      <c r="U69" s="315"/>
      <c r="V69" s="315"/>
      <c r="W69" s="315"/>
      <c r="X69" s="315"/>
      <c r="Y69" s="315"/>
      <c r="Z69" s="315"/>
      <c r="AA69" s="315"/>
      <c r="AB69" s="128"/>
      <c r="AC69" s="128"/>
      <c r="AD69" s="133"/>
      <c r="AE69" s="133"/>
      <c r="AF69" s="315"/>
      <c r="AG69" s="315"/>
      <c r="AH69" s="315"/>
      <c r="AI69" s="315"/>
      <c r="AJ69" s="315"/>
      <c r="AK69" s="315"/>
      <c r="AL69" s="315"/>
      <c r="AM69" s="315"/>
      <c r="AN69" s="315"/>
      <c r="AO69" s="315"/>
      <c r="AP69" s="315"/>
      <c r="AQ69" s="315"/>
      <c r="AR69" s="315"/>
      <c r="AS69" s="315"/>
      <c r="AT69" s="315"/>
      <c r="AU69" s="315"/>
      <c r="AV69" s="136"/>
      <c r="AW69" s="136"/>
      <c r="AX69" s="136"/>
      <c r="AY69" s="136"/>
      <c r="AZ69" s="136"/>
      <c r="BA69" s="136"/>
      <c r="BB69" s="136"/>
      <c r="BC69" s="136"/>
      <c r="BD69" s="136"/>
      <c r="BE69" s="136"/>
      <c r="BF69" s="136"/>
    </row>
    <row r="70" spans="1:58" s="100" customFormat="1" x14ac:dyDescent="0.35">
      <c r="B70" s="128"/>
      <c r="D70" s="128"/>
      <c r="E70" s="128"/>
      <c r="G70" s="133"/>
      <c r="S70" s="315"/>
      <c r="T70" s="315"/>
      <c r="U70" s="315"/>
      <c r="V70" s="315"/>
      <c r="W70" s="315"/>
      <c r="X70" s="315"/>
      <c r="Y70" s="315"/>
      <c r="Z70" s="315"/>
      <c r="AA70" s="315"/>
      <c r="AB70" s="128"/>
      <c r="AC70" s="128"/>
      <c r="AD70" s="133"/>
      <c r="AE70" s="133"/>
      <c r="AF70" s="315"/>
      <c r="AG70" s="315"/>
      <c r="AH70" s="315"/>
      <c r="AI70" s="315"/>
      <c r="AJ70" s="315"/>
      <c r="AK70" s="315"/>
      <c r="AL70" s="315"/>
      <c r="AM70" s="315"/>
      <c r="AN70" s="315"/>
      <c r="AO70" s="315"/>
      <c r="AP70" s="315"/>
      <c r="AQ70" s="315"/>
      <c r="AR70" s="315"/>
      <c r="AS70" s="315"/>
      <c r="AT70" s="315"/>
      <c r="AU70" s="315"/>
      <c r="AV70" s="136"/>
      <c r="AW70" s="136"/>
      <c r="AX70" s="136"/>
      <c r="AY70" s="136"/>
      <c r="AZ70" s="136"/>
      <c r="BA70" s="136"/>
      <c r="BB70" s="136"/>
      <c r="BC70" s="136"/>
      <c r="BD70" s="136"/>
      <c r="BE70" s="136"/>
      <c r="BF70" s="136"/>
    </row>
    <row r="71" spans="1:58" x14ac:dyDescent="0.35">
      <c r="A71" s="100"/>
      <c r="B71" s="128"/>
      <c r="C71" s="100"/>
      <c r="D71" s="128"/>
      <c r="E71" s="128"/>
      <c r="F71" s="100"/>
      <c r="G71" s="128"/>
      <c r="H71" s="100"/>
      <c r="I71" s="100"/>
      <c r="J71" s="100"/>
      <c r="K71" s="100"/>
      <c r="L71" s="100"/>
      <c r="M71" s="100"/>
      <c r="N71" s="100"/>
      <c r="O71" s="100"/>
      <c r="P71" s="100"/>
      <c r="Q71" s="100"/>
      <c r="R71" s="100"/>
      <c r="S71" s="315"/>
      <c r="T71" s="315"/>
      <c r="U71" s="315"/>
      <c r="V71" s="315"/>
      <c r="W71" s="315"/>
      <c r="X71" s="315"/>
      <c r="Y71" s="315"/>
      <c r="Z71" s="315"/>
      <c r="AA71" s="315"/>
      <c r="AB71" s="128"/>
      <c r="AC71" s="128"/>
      <c r="AD71" s="133"/>
      <c r="AE71" s="133"/>
      <c r="AF71" s="315"/>
      <c r="AG71" s="315"/>
      <c r="AH71" s="315"/>
      <c r="AI71" s="315"/>
      <c r="AJ71" s="315"/>
      <c r="AK71" s="315"/>
      <c r="AL71" s="315"/>
      <c r="AM71" s="315"/>
      <c r="AN71" s="315"/>
      <c r="AO71" s="315"/>
      <c r="AP71" s="315"/>
      <c r="AQ71" s="315"/>
      <c r="AR71" s="315"/>
      <c r="AS71" s="315"/>
      <c r="AT71" s="315"/>
      <c r="AU71" s="315"/>
    </row>
    <row r="72" spans="1:58" x14ac:dyDescent="0.35">
      <c r="A72" s="100"/>
      <c r="B72" s="128"/>
      <c r="C72" s="100"/>
      <c r="D72" s="128"/>
      <c r="E72" s="128"/>
      <c r="F72" s="100"/>
      <c r="G72" s="133"/>
      <c r="H72" s="100"/>
      <c r="I72" s="100"/>
      <c r="J72" s="100"/>
      <c r="K72" s="100"/>
      <c r="L72" s="100"/>
      <c r="M72" s="100"/>
      <c r="N72" s="100"/>
      <c r="O72" s="100"/>
      <c r="P72" s="100"/>
      <c r="Q72" s="100"/>
      <c r="R72" s="100"/>
      <c r="S72" s="315"/>
      <c r="T72" s="315"/>
      <c r="U72" s="315"/>
      <c r="V72" s="315"/>
      <c r="W72" s="315"/>
      <c r="X72" s="315"/>
      <c r="Y72" s="315"/>
      <c r="Z72" s="315"/>
      <c r="AA72" s="315"/>
      <c r="AB72" s="128"/>
      <c r="AC72" s="128"/>
      <c r="AD72" s="133"/>
      <c r="AE72" s="133"/>
      <c r="AF72" s="315"/>
      <c r="AG72" s="315"/>
      <c r="AH72" s="315"/>
      <c r="AI72" s="315"/>
      <c r="AJ72" s="315"/>
      <c r="AK72" s="315"/>
      <c r="AL72" s="315"/>
      <c r="AM72" s="315"/>
      <c r="AN72" s="315"/>
      <c r="AO72" s="315"/>
      <c r="AP72" s="315"/>
      <c r="AQ72" s="315"/>
      <c r="AR72" s="315"/>
      <c r="AS72" s="315"/>
      <c r="AT72" s="315"/>
      <c r="AU72" s="315"/>
    </row>
    <row r="73" spans="1:58" x14ac:dyDescent="0.35">
      <c r="A73" s="100"/>
      <c r="B73" s="128"/>
      <c r="C73" s="100"/>
      <c r="D73" s="128"/>
      <c r="E73" s="128"/>
      <c r="F73" s="100"/>
      <c r="G73" s="133"/>
      <c r="H73" s="100"/>
      <c r="I73" s="100"/>
      <c r="J73" s="100"/>
      <c r="K73" s="100"/>
      <c r="L73" s="100"/>
      <c r="M73" s="100"/>
      <c r="N73" s="100"/>
      <c r="O73" s="100"/>
      <c r="P73" s="100"/>
      <c r="Q73" s="100"/>
      <c r="R73" s="100"/>
      <c r="S73" s="315"/>
      <c r="T73" s="315"/>
      <c r="U73" s="315"/>
      <c r="V73" s="315"/>
      <c r="W73" s="315"/>
      <c r="X73" s="315"/>
      <c r="Y73" s="315"/>
      <c r="Z73" s="315"/>
      <c r="AA73" s="315"/>
      <c r="AB73" s="128"/>
      <c r="AC73" s="128"/>
      <c r="AD73" s="133"/>
      <c r="AE73" s="133"/>
      <c r="AF73" s="315"/>
      <c r="AG73" s="315"/>
      <c r="AH73" s="315"/>
      <c r="AI73" s="315"/>
      <c r="AJ73" s="315"/>
      <c r="AK73" s="315"/>
      <c r="AL73" s="315"/>
      <c r="AM73" s="315"/>
      <c r="AN73" s="315"/>
      <c r="AO73" s="315"/>
      <c r="AP73" s="315"/>
      <c r="AQ73" s="315"/>
      <c r="AR73" s="315"/>
      <c r="AS73" s="315"/>
      <c r="AT73" s="315"/>
      <c r="AU73" s="315"/>
    </row>
    <row r="74" spans="1:58" x14ac:dyDescent="0.35">
      <c r="A74" s="100"/>
      <c r="B74" s="128"/>
      <c r="C74" s="100"/>
      <c r="D74" s="128"/>
      <c r="E74" s="128"/>
      <c r="F74" s="100"/>
      <c r="G74" s="133"/>
      <c r="H74" s="100"/>
      <c r="I74" s="100"/>
      <c r="J74" s="100"/>
      <c r="K74" s="100"/>
      <c r="L74" s="100"/>
      <c r="M74" s="100"/>
      <c r="N74" s="100"/>
      <c r="O74" s="100"/>
      <c r="P74" s="100"/>
      <c r="Q74" s="100"/>
      <c r="R74" s="100"/>
      <c r="S74" s="315"/>
      <c r="T74" s="315"/>
      <c r="U74" s="315"/>
      <c r="V74" s="315"/>
      <c r="W74" s="315"/>
      <c r="X74" s="315"/>
      <c r="Y74" s="315"/>
      <c r="Z74" s="315"/>
      <c r="AA74" s="315"/>
      <c r="AB74" s="128"/>
      <c r="AC74" s="128"/>
      <c r="AD74" s="133"/>
      <c r="AE74" s="133"/>
      <c r="AF74" s="315"/>
      <c r="AG74" s="315"/>
      <c r="AH74" s="315"/>
      <c r="AI74" s="315"/>
      <c r="AJ74" s="315"/>
      <c r="AK74" s="315"/>
      <c r="AL74" s="315"/>
      <c r="AM74" s="315"/>
      <c r="AN74" s="315"/>
      <c r="AO74" s="315"/>
      <c r="AP74" s="315"/>
      <c r="AQ74" s="315"/>
      <c r="AR74" s="315"/>
      <c r="AS74" s="315"/>
      <c r="AT74" s="315"/>
      <c r="AU74" s="315"/>
    </row>
    <row r="75" spans="1:58" x14ac:dyDescent="0.35">
      <c r="A75" s="100"/>
      <c r="B75" s="128"/>
      <c r="C75" s="100"/>
      <c r="D75" s="128"/>
      <c r="E75" s="128"/>
      <c r="F75" s="100"/>
      <c r="G75" s="133"/>
      <c r="H75" s="100"/>
      <c r="I75" s="100"/>
      <c r="J75" s="100"/>
      <c r="K75" s="100"/>
      <c r="L75" s="100"/>
      <c r="M75" s="100"/>
      <c r="N75" s="100"/>
      <c r="O75" s="100"/>
      <c r="P75" s="100"/>
      <c r="Q75" s="100"/>
      <c r="R75" s="100"/>
      <c r="S75" s="315"/>
      <c r="T75" s="315"/>
      <c r="U75" s="315"/>
      <c r="V75" s="315"/>
      <c r="W75" s="315"/>
      <c r="X75" s="315"/>
      <c r="Y75" s="315"/>
      <c r="Z75" s="315"/>
      <c r="AA75" s="315"/>
      <c r="AB75" s="128"/>
      <c r="AC75" s="128"/>
      <c r="AD75" s="133"/>
      <c r="AE75" s="133"/>
      <c r="AF75" s="315"/>
      <c r="AG75" s="315"/>
      <c r="AH75" s="315"/>
      <c r="AI75" s="315"/>
      <c r="AJ75" s="315"/>
      <c r="AK75" s="315"/>
      <c r="AL75" s="315"/>
      <c r="AM75" s="315"/>
      <c r="AN75" s="315"/>
      <c r="AO75" s="315"/>
      <c r="AP75" s="315"/>
      <c r="AQ75" s="315"/>
      <c r="AR75" s="315"/>
      <c r="AS75" s="315"/>
      <c r="AT75" s="315"/>
      <c r="AU75" s="315"/>
    </row>
    <row r="76" spans="1:58" x14ac:dyDescent="0.35">
      <c r="A76" s="100"/>
      <c r="B76" s="128"/>
      <c r="C76" s="100"/>
      <c r="D76" s="128"/>
      <c r="E76" s="128"/>
      <c r="F76" s="100"/>
      <c r="G76" s="133"/>
      <c r="H76" s="100"/>
      <c r="I76" s="100"/>
      <c r="J76" s="100"/>
      <c r="K76" s="100"/>
      <c r="L76" s="100"/>
      <c r="M76" s="100"/>
      <c r="N76" s="100"/>
      <c r="O76" s="100"/>
      <c r="P76" s="100"/>
      <c r="Q76" s="100"/>
      <c r="R76" s="100"/>
      <c r="S76" s="315"/>
      <c r="T76" s="315"/>
      <c r="U76" s="315"/>
      <c r="V76" s="315"/>
      <c r="W76" s="315"/>
      <c r="X76" s="315"/>
      <c r="Y76" s="315"/>
      <c r="Z76" s="315"/>
      <c r="AA76" s="315"/>
      <c r="AB76" s="128"/>
      <c r="AC76" s="128"/>
      <c r="AD76" s="133"/>
      <c r="AE76" s="133"/>
      <c r="AF76" s="315"/>
      <c r="AG76" s="315"/>
      <c r="AH76" s="315"/>
      <c r="AI76" s="315"/>
      <c r="AJ76" s="315"/>
      <c r="AK76" s="315"/>
      <c r="AL76" s="315"/>
      <c r="AM76" s="315"/>
      <c r="AN76" s="315"/>
      <c r="AO76" s="315"/>
      <c r="AP76" s="315"/>
      <c r="AQ76" s="315"/>
      <c r="AR76" s="315"/>
      <c r="AS76" s="315"/>
      <c r="AT76" s="315"/>
      <c r="AU76" s="315"/>
    </row>
    <row r="77" spans="1:58" x14ac:dyDescent="0.35">
      <c r="A77" s="100"/>
      <c r="B77" s="128"/>
      <c r="C77" s="100"/>
      <c r="D77" s="128"/>
      <c r="E77" s="128"/>
      <c r="F77" s="100"/>
      <c r="G77" s="133"/>
      <c r="H77" s="100"/>
      <c r="I77" s="100"/>
      <c r="J77" s="100"/>
      <c r="K77" s="100"/>
      <c r="L77" s="100"/>
      <c r="M77" s="100"/>
      <c r="N77" s="100"/>
      <c r="O77" s="100"/>
      <c r="P77" s="100"/>
      <c r="Q77" s="100"/>
      <c r="R77" s="100"/>
      <c r="S77" s="315"/>
      <c r="T77" s="315"/>
      <c r="U77" s="315"/>
      <c r="V77" s="315"/>
      <c r="W77" s="315"/>
      <c r="X77" s="315"/>
      <c r="Y77" s="315"/>
      <c r="Z77" s="315"/>
      <c r="AA77" s="315"/>
      <c r="AB77" s="128"/>
      <c r="AC77" s="128"/>
      <c r="AD77" s="133"/>
      <c r="AE77" s="133"/>
      <c r="AF77" s="315"/>
      <c r="AG77" s="315"/>
      <c r="AH77" s="315"/>
      <c r="AI77" s="315"/>
      <c r="AJ77" s="315"/>
      <c r="AK77" s="315"/>
      <c r="AL77" s="315"/>
      <c r="AM77" s="315"/>
      <c r="AN77" s="315"/>
      <c r="AO77" s="315"/>
      <c r="AP77" s="315"/>
      <c r="AQ77" s="315"/>
      <c r="AR77" s="315"/>
      <c r="AS77" s="315"/>
      <c r="AT77" s="315"/>
      <c r="AU77" s="315"/>
    </row>
    <row r="78" spans="1:58" x14ac:dyDescent="0.35">
      <c r="A78" s="100"/>
      <c r="B78" s="128"/>
      <c r="C78" s="100"/>
      <c r="D78" s="128"/>
      <c r="E78" s="128"/>
      <c r="F78" s="100"/>
      <c r="G78" s="133"/>
      <c r="H78" s="100"/>
      <c r="I78" s="100"/>
      <c r="J78" s="100"/>
      <c r="K78" s="100"/>
      <c r="L78" s="100"/>
      <c r="M78" s="100"/>
      <c r="N78" s="100"/>
      <c r="O78" s="100"/>
      <c r="P78" s="100"/>
      <c r="Q78" s="100"/>
      <c r="R78" s="100"/>
      <c r="S78" s="315"/>
      <c r="T78" s="315"/>
      <c r="U78" s="315"/>
      <c r="V78" s="315"/>
      <c r="W78" s="315"/>
      <c r="X78" s="315"/>
      <c r="Y78" s="315"/>
      <c r="Z78" s="315"/>
      <c r="AA78" s="315"/>
      <c r="AB78" s="128"/>
      <c r="AC78" s="128"/>
      <c r="AD78" s="133"/>
      <c r="AE78" s="133"/>
      <c r="AF78" s="315"/>
      <c r="AG78" s="315"/>
      <c r="AH78" s="315"/>
      <c r="AI78" s="315"/>
      <c r="AJ78" s="315"/>
      <c r="AK78" s="315"/>
      <c r="AL78" s="315"/>
      <c r="AM78" s="315"/>
      <c r="AN78" s="315"/>
      <c r="AO78" s="315"/>
      <c r="AP78" s="315"/>
      <c r="AQ78" s="315"/>
      <c r="AR78" s="315"/>
      <c r="AS78" s="315"/>
      <c r="AT78" s="315"/>
      <c r="AU78" s="315"/>
    </row>
    <row r="79" spans="1:58" x14ac:dyDescent="0.35">
      <c r="A79" s="100"/>
      <c r="B79" s="128"/>
      <c r="C79" s="100"/>
      <c r="D79" s="128"/>
      <c r="E79" s="128"/>
      <c r="F79" s="100"/>
      <c r="G79" s="133"/>
      <c r="H79" s="100"/>
      <c r="I79" s="100"/>
      <c r="J79" s="100"/>
      <c r="K79" s="100"/>
      <c r="L79" s="100"/>
      <c r="M79" s="100"/>
      <c r="N79" s="100"/>
      <c r="O79" s="100"/>
      <c r="P79" s="100"/>
      <c r="Q79" s="100"/>
      <c r="R79" s="100"/>
      <c r="S79" s="315"/>
      <c r="T79" s="315"/>
      <c r="U79" s="315"/>
      <c r="V79" s="315"/>
      <c r="W79" s="315"/>
      <c r="X79" s="315"/>
      <c r="Y79" s="315"/>
      <c r="Z79" s="315"/>
      <c r="AA79" s="315"/>
      <c r="AB79" s="128"/>
      <c r="AC79" s="128"/>
      <c r="AD79" s="133"/>
      <c r="AE79" s="133"/>
      <c r="AF79" s="315"/>
      <c r="AG79" s="315"/>
      <c r="AH79" s="315"/>
      <c r="AI79" s="315"/>
      <c r="AJ79" s="315"/>
      <c r="AK79" s="315"/>
      <c r="AL79" s="315"/>
      <c r="AM79" s="315"/>
      <c r="AN79" s="315"/>
      <c r="AO79" s="315"/>
      <c r="AP79" s="315"/>
      <c r="AQ79" s="315"/>
      <c r="AR79" s="315"/>
      <c r="AS79" s="315"/>
      <c r="AT79" s="315"/>
      <c r="AU79" s="315"/>
    </row>
    <row r="80" spans="1:58" x14ac:dyDescent="0.35">
      <c r="A80" s="100"/>
      <c r="B80" s="128"/>
      <c r="C80" s="100"/>
      <c r="D80" s="128"/>
      <c r="E80" s="128"/>
      <c r="F80" s="100"/>
      <c r="G80" s="133"/>
      <c r="H80" s="100"/>
      <c r="I80" s="100"/>
      <c r="J80" s="100"/>
      <c r="K80" s="100"/>
      <c r="L80" s="100"/>
      <c r="M80" s="100"/>
      <c r="N80" s="100"/>
      <c r="O80" s="100"/>
      <c r="P80" s="100"/>
      <c r="Q80" s="100"/>
      <c r="R80" s="100"/>
      <c r="S80" s="315"/>
      <c r="T80" s="315"/>
      <c r="U80" s="315"/>
      <c r="V80" s="315"/>
      <c r="W80" s="315"/>
      <c r="X80" s="315"/>
      <c r="Y80" s="315"/>
      <c r="Z80" s="315"/>
      <c r="AA80" s="315"/>
      <c r="AB80" s="128"/>
      <c r="AC80" s="128"/>
      <c r="AD80" s="133"/>
      <c r="AE80" s="133"/>
      <c r="AF80" s="315"/>
      <c r="AG80" s="315"/>
      <c r="AH80" s="315"/>
      <c r="AI80" s="315"/>
      <c r="AJ80" s="315"/>
      <c r="AK80" s="315"/>
      <c r="AL80" s="315"/>
      <c r="AM80" s="315"/>
      <c r="AN80" s="315"/>
      <c r="AO80" s="315"/>
      <c r="AP80" s="315"/>
      <c r="AQ80" s="315"/>
      <c r="AR80" s="315"/>
      <c r="AS80" s="315"/>
      <c r="AT80" s="315"/>
      <c r="AU80" s="315"/>
    </row>
    <row r="81" spans="1:58" x14ac:dyDescent="0.35">
      <c r="A81" s="100"/>
      <c r="B81" s="128"/>
      <c r="C81" s="100"/>
      <c r="D81" s="128"/>
      <c r="E81" s="128"/>
      <c r="F81" s="100"/>
      <c r="G81" s="133"/>
      <c r="H81" s="100"/>
      <c r="I81" s="100"/>
      <c r="J81" s="100"/>
      <c r="K81" s="100"/>
      <c r="L81" s="100"/>
      <c r="M81" s="100"/>
      <c r="N81" s="100"/>
      <c r="O81" s="100"/>
      <c r="P81" s="100"/>
      <c r="Q81" s="100"/>
      <c r="R81" s="100"/>
      <c r="S81" s="315"/>
      <c r="T81" s="315"/>
      <c r="U81" s="315"/>
      <c r="V81" s="315"/>
      <c r="W81" s="315"/>
      <c r="X81" s="315"/>
      <c r="Y81" s="315"/>
      <c r="Z81" s="315"/>
      <c r="AA81" s="315"/>
      <c r="AB81" s="128"/>
      <c r="AC81" s="128"/>
      <c r="AD81" s="133"/>
      <c r="AE81" s="133"/>
      <c r="AF81" s="315"/>
      <c r="AG81" s="315"/>
      <c r="AH81" s="315"/>
      <c r="AI81" s="315"/>
      <c r="AJ81" s="315"/>
      <c r="AK81" s="315"/>
      <c r="AL81" s="315"/>
      <c r="AM81" s="315"/>
      <c r="AN81" s="315"/>
      <c r="AO81" s="315"/>
      <c r="AP81" s="315"/>
      <c r="AQ81" s="315"/>
      <c r="AR81" s="315"/>
      <c r="AS81" s="315"/>
      <c r="AT81" s="315"/>
      <c r="AU81" s="315"/>
    </row>
    <row r="82" spans="1:58" x14ac:dyDescent="0.35">
      <c r="A82" s="100"/>
      <c r="B82" s="128"/>
      <c r="C82" s="100"/>
      <c r="D82" s="128"/>
      <c r="E82" s="128"/>
      <c r="F82" s="100"/>
      <c r="G82" s="133"/>
      <c r="H82" s="100"/>
      <c r="I82" s="100"/>
      <c r="J82" s="100"/>
      <c r="K82" s="100"/>
      <c r="L82" s="100"/>
      <c r="M82" s="100"/>
      <c r="N82" s="100"/>
      <c r="O82" s="100"/>
      <c r="P82" s="100"/>
      <c r="Q82" s="100"/>
      <c r="R82" s="100"/>
      <c r="S82" s="315"/>
      <c r="T82" s="315"/>
      <c r="U82" s="315"/>
      <c r="V82" s="315"/>
      <c r="W82" s="315"/>
      <c r="X82" s="315"/>
      <c r="Y82" s="315"/>
      <c r="Z82" s="315"/>
      <c r="AA82" s="315"/>
      <c r="AB82" s="128"/>
      <c r="AC82" s="128"/>
      <c r="AD82" s="133"/>
      <c r="AE82" s="133"/>
      <c r="AF82" s="315"/>
      <c r="AG82" s="315"/>
      <c r="AH82" s="315"/>
      <c r="AI82" s="315"/>
      <c r="AJ82" s="315"/>
      <c r="AK82" s="315"/>
      <c r="AL82" s="315"/>
      <c r="AM82" s="315"/>
      <c r="AN82" s="315"/>
      <c r="AO82" s="315"/>
      <c r="AP82" s="315"/>
      <c r="AQ82" s="315"/>
      <c r="AR82" s="315"/>
      <c r="AS82" s="315"/>
      <c r="AT82" s="315"/>
      <c r="AU82" s="315"/>
    </row>
    <row r="83" spans="1:58" x14ac:dyDescent="0.35">
      <c r="A83" s="100"/>
      <c r="B83" s="128"/>
      <c r="C83" s="100"/>
      <c r="D83" s="128"/>
      <c r="E83" s="128"/>
      <c r="F83" s="100"/>
      <c r="G83" s="133"/>
      <c r="H83" s="100"/>
      <c r="I83" s="100"/>
      <c r="J83" s="100"/>
      <c r="K83" s="100"/>
      <c r="L83" s="100"/>
      <c r="M83" s="100"/>
      <c r="N83" s="100"/>
      <c r="O83" s="100"/>
      <c r="P83" s="100"/>
      <c r="Q83" s="100"/>
      <c r="R83" s="100"/>
      <c r="S83" s="315"/>
      <c r="T83" s="315"/>
      <c r="U83" s="315"/>
      <c r="V83" s="315"/>
      <c r="W83" s="315"/>
      <c r="X83" s="315"/>
      <c r="Y83" s="315"/>
      <c r="Z83" s="315"/>
      <c r="AA83" s="315"/>
      <c r="AB83" s="128"/>
      <c r="AC83" s="128"/>
      <c r="AD83" s="133"/>
      <c r="AE83" s="133"/>
      <c r="AF83" s="315"/>
      <c r="AG83" s="315"/>
      <c r="AH83" s="315"/>
      <c r="AI83" s="315"/>
      <c r="AJ83" s="315"/>
      <c r="AK83" s="315"/>
      <c r="AL83" s="315"/>
      <c r="AM83" s="315"/>
      <c r="AN83" s="315"/>
      <c r="AO83" s="315"/>
      <c r="AP83" s="315"/>
      <c r="AQ83" s="315"/>
      <c r="AR83" s="315"/>
      <c r="AS83" s="315"/>
      <c r="AT83" s="315"/>
      <c r="AU83" s="315"/>
    </row>
    <row r="84" spans="1:58" x14ac:dyDescent="0.35">
      <c r="A84" s="100"/>
      <c r="B84" s="128"/>
      <c r="C84" s="100"/>
      <c r="D84" s="128"/>
      <c r="E84" s="128"/>
      <c r="F84" s="100"/>
      <c r="G84" s="133"/>
      <c r="H84" s="100"/>
      <c r="I84" s="100"/>
      <c r="J84" s="100"/>
      <c r="K84" s="100"/>
      <c r="L84" s="100"/>
      <c r="M84" s="100"/>
      <c r="N84" s="100"/>
      <c r="O84" s="100"/>
      <c r="P84" s="100"/>
      <c r="Q84" s="100"/>
      <c r="R84" s="100"/>
      <c r="S84" s="315"/>
      <c r="T84" s="315"/>
      <c r="U84" s="315"/>
      <c r="V84" s="315"/>
      <c r="W84" s="315"/>
      <c r="X84" s="315"/>
      <c r="Y84" s="315"/>
      <c r="Z84" s="315"/>
      <c r="AA84" s="315"/>
      <c r="AB84" s="128"/>
      <c r="AC84" s="128"/>
      <c r="AD84" s="133"/>
      <c r="AE84" s="133"/>
      <c r="AF84" s="315"/>
      <c r="AG84" s="315"/>
      <c r="AH84" s="315"/>
      <c r="AI84" s="315"/>
      <c r="AJ84" s="315"/>
      <c r="AK84" s="315"/>
      <c r="AL84" s="315"/>
      <c r="AM84" s="315"/>
      <c r="AN84" s="315"/>
      <c r="AO84" s="315"/>
      <c r="AP84" s="315"/>
      <c r="AQ84" s="315"/>
      <c r="AR84" s="315"/>
      <c r="AS84" s="315"/>
      <c r="AT84" s="315"/>
      <c r="AU84" s="315"/>
    </row>
    <row r="85" spans="1:58" x14ac:dyDescent="0.35">
      <c r="A85" s="100"/>
      <c r="B85" s="128"/>
      <c r="C85" s="100"/>
      <c r="D85" s="128"/>
      <c r="E85" s="128"/>
      <c r="F85" s="100"/>
      <c r="G85" s="133"/>
      <c r="H85" s="100"/>
      <c r="I85" s="100"/>
      <c r="J85" s="100"/>
      <c r="K85" s="100"/>
      <c r="L85" s="100"/>
      <c r="M85" s="100"/>
      <c r="N85" s="100"/>
      <c r="O85" s="100"/>
      <c r="P85" s="100"/>
      <c r="Q85" s="100"/>
      <c r="R85" s="100"/>
      <c r="S85" s="315"/>
      <c r="T85" s="315"/>
      <c r="U85" s="315"/>
      <c r="V85" s="315"/>
      <c r="W85" s="315"/>
      <c r="X85" s="315"/>
      <c r="Y85" s="315"/>
      <c r="Z85" s="315"/>
      <c r="AA85" s="315"/>
      <c r="AB85" s="128"/>
      <c r="AC85" s="128"/>
      <c r="AD85" s="133"/>
      <c r="AE85" s="133"/>
      <c r="AF85" s="315"/>
      <c r="AG85" s="315"/>
      <c r="AH85" s="315"/>
      <c r="AI85" s="315"/>
      <c r="AJ85" s="315"/>
      <c r="AK85" s="315"/>
      <c r="AL85" s="315"/>
      <c r="AM85" s="315"/>
      <c r="AN85" s="315"/>
      <c r="AO85" s="315"/>
      <c r="AP85" s="315"/>
      <c r="AQ85" s="315"/>
      <c r="AR85" s="315"/>
      <c r="AS85" s="315"/>
      <c r="AT85" s="315"/>
      <c r="AU85" s="315"/>
    </row>
    <row r="86" spans="1:58" x14ac:dyDescent="0.35">
      <c r="A86" s="100"/>
      <c r="B86" s="128"/>
      <c r="C86" s="100"/>
      <c r="D86" s="128"/>
      <c r="E86" s="128"/>
      <c r="F86" s="100"/>
      <c r="G86" s="133"/>
      <c r="H86" s="100"/>
      <c r="I86" s="100"/>
      <c r="J86" s="100"/>
      <c r="K86" s="100"/>
      <c r="L86" s="100"/>
      <c r="M86" s="100"/>
      <c r="N86" s="100"/>
      <c r="O86" s="100"/>
      <c r="P86" s="100"/>
      <c r="Q86" s="100"/>
      <c r="R86" s="100"/>
      <c r="S86" s="315"/>
      <c r="T86" s="315"/>
      <c r="U86" s="315"/>
      <c r="V86" s="315"/>
      <c r="W86" s="315"/>
      <c r="X86" s="315"/>
      <c r="Y86" s="315"/>
      <c r="Z86" s="315"/>
      <c r="AA86" s="315"/>
      <c r="AB86" s="128"/>
      <c r="AC86" s="128"/>
      <c r="AD86" s="133"/>
      <c r="AE86" s="133"/>
      <c r="AF86" s="315"/>
      <c r="AG86" s="315"/>
      <c r="AH86" s="315"/>
      <c r="AI86" s="315"/>
      <c r="AJ86" s="315"/>
      <c r="AK86" s="315"/>
      <c r="AL86" s="315"/>
      <c r="AM86" s="315"/>
      <c r="AN86" s="315"/>
      <c r="AO86" s="315"/>
      <c r="AP86" s="315"/>
      <c r="AQ86" s="315"/>
      <c r="AR86" s="315"/>
      <c r="AS86" s="315"/>
      <c r="AT86" s="315"/>
      <c r="AU86" s="315"/>
    </row>
    <row r="87" spans="1:58" x14ac:dyDescent="0.35">
      <c r="A87" s="128"/>
      <c r="B87" s="128"/>
      <c r="C87" s="128"/>
      <c r="D87" s="128"/>
      <c r="E87" s="128"/>
      <c r="F87" s="100"/>
      <c r="G87" s="133"/>
      <c r="H87" s="100"/>
      <c r="I87" s="128"/>
      <c r="J87" s="128"/>
      <c r="K87" s="100"/>
      <c r="L87" s="133"/>
      <c r="M87" s="128"/>
      <c r="N87" s="128"/>
      <c r="O87" s="128"/>
      <c r="P87" s="128"/>
      <c r="Q87" s="128"/>
      <c r="R87" s="128"/>
      <c r="S87" s="100"/>
      <c r="T87" s="315"/>
      <c r="U87" s="315"/>
      <c r="V87" s="315"/>
      <c r="W87" s="315"/>
      <c r="X87" s="315"/>
      <c r="Y87" s="315"/>
      <c r="Z87" s="315"/>
      <c r="AA87" s="315"/>
      <c r="AB87" s="317"/>
      <c r="AC87" s="317"/>
      <c r="AD87" s="128"/>
      <c r="AE87" s="128"/>
      <c r="AF87" s="315"/>
      <c r="AG87" s="100"/>
      <c r="AH87" s="315"/>
      <c r="AI87" s="315"/>
      <c r="AJ87" s="315"/>
      <c r="AK87" s="315"/>
      <c r="AL87" s="315"/>
      <c r="AM87" s="315"/>
      <c r="AN87" s="315"/>
      <c r="AO87" s="315"/>
      <c r="AP87" s="315"/>
      <c r="AQ87" s="315"/>
      <c r="AR87" s="315"/>
      <c r="AS87" s="315"/>
      <c r="AT87" s="315"/>
      <c r="AU87" s="315"/>
      <c r="BE87" s="100"/>
      <c r="BF87" s="100"/>
    </row>
    <row r="88" spans="1:58" x14ac:dyDescent="0.35">
      <c r="A88" s="128"/>
      <c r="B88" s="128"/>
      <c r="C88" s="128"/>
      <c r="D88" s="128"/>
      <c r="E88" s="128"/>
      <c r="F88" s="100"/>
      <c r="G88" s="133"/>
      <c r="H88" s="100"/>
      <c r="I88" s="128"/>
      <c r="J88" s="128"/>
      <c r="K88" s="100"/>
      <c r="L88" s="133"/>
      <c r="M88" s="128"/>
      <c r="N88" s="128"/>
      <c r="O88" s="128"/>
      <c r="P88" s="128"/>
      <c r="Q88" s="128"/>
      <c r="R88" s="128"/>
      <c r="S88" s="100"/>
      <c r="T88" s="315"/>
      <c r="U88" s="315"/>
      <c r="V88" s="315"/>
      <c r="W88" s="315"/>
      <c r="X88" s="315"/>
      <c r="Y88" s="315"/>
      <c r="Z88" s="315"/>
      <c r="AA88" s="315"/>
      <c r="AB88" s="367"/>
      <c r="AC88" s="367"/>
      <c r="AD88" s="317"/>
      <c r="AE88" s="318"/>
      <c r="AF88" s="128"/>
      <c r="AG88" s="128"/>
      <c r="AH88" s="315"/>
      <c r="AI88" s="315"/>
      <c r="AJ88" s="315"/>
      <c r="AK88" s="315"/>
      <c r="AL88" s="315"/>
      <c r="AM88" s="315"/>
      <c r="AN88" s="315"/>
      <c r="AO88" s="315"/>
      <c r="AP88" s="315"/>
      <c r="AQ88" s="315"/>
      <c r="AR88" s="315"/>
      <c r="AS88" s="315"/>
      <c r="AT88" s="315"/>
      <c r="AU88" s="315"/>
      <c r="BE88" s="100"/>
      <c r="BF88" s="100"/>
    </row>
    <row r="89" spans="1:58" x14ac:dyDescent="0.35">
      <c r="A89" s="128"/>
      <c r="B89" s="128"/>
      <c r="C89" s="128"/>
      <c r="D89" s="128"/>
      <c r="E89" s="128"/>
      <c r="F89" s="100"/>
      <c r="G89" s="133"/>
      <c r="H89" s="100"/>
      <c r="I89" s="128"/>
      <c r="J89" s="128"/>
      <c r="K89" s="100"/>
      <c r="L89" s="133"/>
      <c r="M89" s="128"/>
      <c r="N89" s="128"/>
      <c r="O89" s="128"/>
      <c r="P89" s="128"/>
      <c r="Q89" s="128"/>
      <c r="R89" s="128"/>
      <c r="S89" s="100"/>
      <c r="T89" s="315"/>
      <c r="U89" s="315"/>
      <c r="V89" s="315"/>
      <c r="W89" s="315"/>
      <c r="X89" s="315"/>
      <c r="Y89" s="315"/>
      <c r="Z89" s="315"/>
      <c r="AA89" s="315"/>
      <c r="AB89" s="367"/>
      <c r="AC89" s="367"/>
      <c r="AD89" s="317"/>
      <c r="AE89" s="317"/>
      <c r="AF89" s="128"/>
      <c r="AG89" s="128"/>
      <c r="AH89" s="315"/>
      <c r="AI89" s="315"/>
      <c r="AJ89" s="315"/>
      <c r="AK89" s="315"/>
      <c r="AL89" s="315"/>
      <c r="AM89" s="315"/>
      <c r="AN89" s="315"/>
      <c r="AO89" s="315"/>
      <c r="AP89" s="315"/>
      <c r="AQ89" s="315"/>
      <c r="AR89" s="315"/>
      <c r="AS89" s="315"/>
      <c r="AT89" s="315"/>
      <c r="AU89" s="315"/>
      <c r="BE89" s="100"/>
      <c r="BF89" s="100"/>
    </row>
    <row r="90" spans="1:58" x14ac:dyDescent="0.35">
      <c r="A90" s="128"/>
      <c r="B90" s="128"/>
      <c r="C90" s="128"/>
      <c r="D90" s="128"/>
      <c r="E90" s="128"/>
      <c r="F90" s="100"/>
      <c r="G90" s="133"/>
      <c r="H90" s="100"/>
      <c r="I90" s="128"/>
      <c r="J90" s="128"/>
      <c r="K90" s="100"/>
      <c r="L90" s="133"/>
      <c r="M90" s="128"/>
      <c r="N90" s="128"/>
      <c r="O90" s="128"/>
      <c r="P90" s="128"/>
      <c r="Q90" s="128"/>
      <c r="R90" s="128"/>
      <c r="S90" s="100"/>
      <c r="T90" s="315"/>
      <c r="U90" s="315"/>
      <c r="V90" s="315"/>
      <c r="W90" s="315"/>
      <c r="X90" s="315"/>
      <c r="Y90" s="315"/>
      <c r="Z90" s="315"/>
      <c r="AA90" s="315"/>
      <c r="AB90" s="367"/>
      <c r="AC90" s="367"/>
      <c r="AD90" s="317"/>
      <c r="AE90" s="317"/>
      <c r="AF90" s="128"/>
      <c r="AG90" s="128"/>
      <c r="AH90" s="315"/>
      <c r="AI90" s="315"/>
      <c r="AJ90" s="315"/>
      <c r="AK90" s="315"/>
      <c r="AL90" s="315"/>
      <c r="AM90" s="315"/>
      <c r="AN90" s="315"/>
      <c r="AO90" s="315"/>
      <c r="AP90" s="315"/>
      <c r="AQ90" s="315"/>
      <c r="AR90" s="315"/>
      <c r="AS90" s="315"/>
      <c r="AT90" s="315"/>
      <c r="AU90" s="315"/>
      <c r="BE90" s="100"/>
      <c r="BF90" s="100"/>
    </row>
    <row r="91" spans="1:58" x14ac:dyDescent="0.35">
      <c r="A91" s="128"/>
      <c r="B91" s="128"/>
      <c r="C91" s="128"/>
      <c r="D91" s="128"/>
      <c r="E91" s="128"/>
      <c r="F91" s="100"/>
      <c r="G91" s="133"/>
      <c r="H91" s="100"/>
      <c r="I91" s="128"/>
      <c r="J91" s="128"/>
      <c r="K91" s="315"/>
      <c r="L91" s="319"/>
      <c r="M91" s="309"/>
      <c r="N91" s="309"/>
      <c r="O91" s="309"/>
      <c r="P91" s="309"/>
      <c r="Q91" s="309"/>
      <c r="R91" s="309"/>
      <c r="S91" s="315"/>
      <c r="T91" s="315"/>
      <c r="U91" s="315"/>
      <c r="V91" s="315"/>
      <c r="W91" s="315"/>
      <c r="X91" s="315"/>
      <c r="Y91" s="315"/>
      <c r="Z91" s="315"/>
      <c r="AA91" s="315"/>
      <c r="AB91" s="366"/>
      <c r="AC91" s="366"/>
      <c r="AD91" s="317"/>
      <c r="AE91" s="318"/>
      <c r="AF91" s="128"/>
      <c r="AG91" s="128"/>
      <c r="AH91" s="315"/>
      <c r="AI91" s="315"/>
      <c r="AJ91" s="315"/>
      <c r="AK91" s="315"/>
      <c r="AL91" s="315"/>
      <c r="AM91" s="315"/>
      <c r="AN91" s="315"/>
      <c r="AO91" s="315"/>
      <c r="AP91" s="315"/>
      <c r="AQ91" s="315"/>
      <c r="AR91" s="315"/>
      <c r="AS91" s="315"/>
      <c r="AT91" s="315"/>
      <c r="AU91" s="315"/>
    </row>
    <row r="92" spans="1:58" x14ac:dyDescent="0.35">
      <c r="T92" s="315"/>
      <c r="U92" s="315"/>
      <c r="V92" s="315"/>
      <c r="W92" s="315"/>
      <c r="X92" s="315"/>
      <c r="Y92" s="315"/>
      <c r="Z92" s="315"/>
      <c r="AA92" s="315"/>
      <c r="AH92" s="315"/>
      <c r="AI92" s="315"/>
      <c r="AJ92" s="315"/>
      <c r="AK92" s="315"/>
      <c r="AL92" s="315"/>
      <c r="AM92" s="315"/>
      <c r="AN92" s="315"/>
      <c r="AO92" s="315"/>
      <c r="AP92" s="315"/>
      <c r="AQ92" s="315"/>
      <c r="AR92" s="315"/>
      <c r="AS92" s="315"/>
      <c r="AT92" s="315"/>
      <c r="AU92" s="315"/>
    </row>
    <row r="93" spans="1:58" x14ac:dyDescent="0.35">
      <c r="T93" s="315"/>
      <c r="U93" s="315"/>
      <c r="V93" s="315"/>
      <c r="W93" s="315"/>
      <c r="X93" s="315"/>
      <c r="Y93" s="315"/>
      <c r="Z93" s="315"/>
      <c r="AA93" s="315"/>
      <c r="AH93" s="315"/>
      <c r="AI93" s="315"/>
      <c r="AJ93" s="315"/>
      <c r="AK93" s="315"/>
      <c r="AL93" s="315"/>
      <c r="AM93" s="315"/>
      <c r="AN93" s="315"/>
      <c r="AO93" s="315"/>
      <c r="AP93" s="315"/>
      <c r="AQ93" s="315"/>
      <c r="AR93" s="315"/>
      <c r="AS93" s="315"/>
      <c r="AT93" s="315"/>
      <c r="AU93" s="315"/>
    </row>
    <row r="94" spans="1:58" x14ac:dyDescent="0.35">
      <c r="T94" s="315"/>
      <c r="U94" s="315"/>
      <c r="V94" s="315"/>
      <c r="W94" s="315"/>
      <c r="X94" s="315"/>
      <c r="Y94" s="315"/>
      <c r="Z94" s="315"/>
      <c r="AA94" s="315"/>
      <c r="AH94" s="315"/>
      <c r="AI94" s="315"/>
      <c r="AJ94" s="315"/>
      <c r="AK94" s="315"/>
      <c r="AL94" s="315"/>
      <c r="AM94" s="315"/>
      <c r="AN94" s="315"/>
      <c r="AO94" s="315"/>
      <c r="AP94" s="315"/>
      <c r="AQ94" s="315"/>
      <c r="AR94" s="315"/>
      <c r="AS94" s="315"/>
      <c r="AT94" s="315"/>
      <c r="AU94" s="315"/>
    </row>
    <row r="95" spans="1:58" x14ac:dyDescent="0.35">
      <c r="T95" s="315"/>
      <c r="U95" s="315"/>
      <c r="V95" s="315"/>
      <c r="W95" s="315"/>
      <c r="X95" s="315"/>
      <c r="Y95" s="315"/>
      <c r="Z95" s="315"/>
      <c r="AA95" s="315"/>
      <c r="AH95" s="315"/>
      <c r="AI95" s="315"/>
      <c r="AJ95" s="315"/>
      <c r="AK95" s="315"/>
      <c r="AL95" s="315"/>
      <c r="AM95" s="315"/>
      <c r="AN95" s="315"/>
      <c r="AO95" s="315"/>
      <c r="AP95" s="315"/>
      <c r="AQ95" s="315"/>
      <c r="AR95" s="315"/>
      <c r="AS95" s="315"/>
      <c r="AT95" s="315"/>
      <c r="AU95" s="315"/>
    </row>
    <row r="96" spans="1:58" x14ac:dyDescent="0.35">
      <c r="T96" s="315"/>
      <c r="U96" s="315"/>
      <c r="V96" s="315"/>
      <c r="W96" s="315"/>
      <c r="X96" s="315"/>
      <c r="Y96" s="315"/>
      <c r="Z96" s="315"/>
      <c r="AA96" s="315"/>
      <c r="AH96" s="315"/>
      <c r="AI96" s="315"/>
      <c r="AJ96" s="315"/>
      <c r="AK96" s="315"/>
      <c r="AL96" s="315"/>
      <c r="AM96" s="315"/>
      <c r="AN96" s="315"/>
      <c r="AO96" s="315"/>
      <c r="AP96" s="315"/>
      <c r="AQ96" s="315"/>
      <c r="AR96" s="315"/>
      <c r="AS96" s="315"/>
      <c r="AT96" s="315"/>
      <c r="AU96" s="315"/>
    </row>
    <row r="97" spans="20:47" x14ac:dyDescent="0.35">
      <c r="T97" s="315"/>
      <c r="U97" s="315"/>
      <c r="V97" s="315"/>
      <c r="W97" s="315"/>
      <c r="X97" s="315"/>
      <c r="Y97" s="315"/>
      <c r="Z97" s="315"/>
      <c r="AA97" s="315"/>
      <c r="AH97" s="315"/>
      <c r="AI97" s="315"/>
      <c r="AJ97" s="315"/>
      <c r="AK97" s="315"/>
      <c r="AL97" s="315"/>
      <c r="AM97" s="315"/>
      <c r="AN97" s="315"/>
      <c r="AO97" s="315"/>
      <c r="AP97" s="315"/>
      <c r="AQ97" s="315"/>
      <c r="AR97" s="315"/>
      <c r="AS97" s="315"/>
      <c r="AT97" s="315"/>
      <c r="AU97" s="315"/>
    </row>
    <row r="98" spans="20:47" x14ac:dyDescent="0.35">
      <c r="T98" s="315"/>
      <c r="U98" s="315"/>
      <c r="V98" s="315"/>
      <c r="W98" s="315"/>
      <c r="X98" s="315"/>
      <c r="Y98" s="315"/>
      <c r="Z98" s="315"/>
      <c r="AA98" s="315"/>
      <c r="AH98" s="315"/>
      <c r="AI98" s="315"/>
      <c r="AJ98" s="315"/>
      <c r="AK98" s="315"/>
      <c r="AL98" s="315"/>
      <c r="AM98" s="315"/>
      <c r="AN98" s="315"/>
      <c r="AO98" s="315"/>
      <c r="AP98" s="315"/>
      <c r="AQ98" s="315"/>
      <c r="AR98" s="315"/>
      <c r="AS98" s="315"/>
      <c r="AT98" s="315"/>
      <c r="AU98" s="315"/>
    </row>
    <row r="99" spans="20:47" x14ac:dyDescent="0.35">
      <c r="T99" s="315"/>
      <c r="U99" s="315"/>
      <c r="V99" s="315"/>
      <c r="W99" s="315"/>
      <c r="X99" s="315"/>
      <c r="Y99" s="315"/>
      <c r="Z99" s="315"/>
      <c r="AA99" s="315"/>
      <c r="AH99" s="315"/>
      <c r="AI99" s="315"/>
      <c r="AJ99" s="315"/>
      <c r="AK99" s="315"/>
      <c r="AL99" s="315"/>
      <c r="AM99" s="315"/>
      <c r="AN99" s="315"/>
      <c r="AO99" s="315"/>
      <c r="AP99" s="315"/>
      <c r="AQ99" s="315"/>
      <c r="AR99" s="315"/>
      <c r="AS99" s="315"/>
      <c r="AT99" s="315"/>
      <c r="AU99" s="315"/>
    </row>
    <row r="100" spans="20:47" x14ac:dyDescent="0.35">
      <c r="T100" s="315"/>
      <c r="U100" s="315"/>
      <c r="V100" s="315"/>
      <c r="W100" s="315"/>
      <c r="X100" s="315"/>
      <c r="Y100" s="315"/>
      <c r="Z100" s="315"/>
      <c r="AA100" s="315"/>
      <c r="AH100" s="315"/>
      <c r="AI100" s="315"/>
      <c r="AJ100" s="315"/>
      <c r="AK100" s="315"/>
      <c r="AL100" s="315"/>
      <c r="AM100" s="315"/>
      <c r="AN100" s="315"/>
      <c r="AO100" s="315"/>
      <c r="AP100" s="315"/>
      <c r="AQ100" s="315"/>
      <c r="AR100" s="315"/>
      <c r="AS100" s="315"/>
      <c r="AT100" s="315"/>
      <c r="AU100" s="315"/>
    </row>
    <row r="101" spans="20:47" x14ac:dyDescent="0.35">
      <c r="T101" s="315"/>
      <c r="U101" s="315"/>
      <c r="V101" s="315"/>
      <c r="W101" s="315"/>
      <c r="X101" s="315"/>
      <c r="Y101" s="315"/>
      <c r="Z101" s="315"/>
      <c r="AA101" s="315"/>
      <c r="AH101" s="315"/>
      <c r="AI101" s="315"/>
      <c r="AJ101" s="315"/>
      <c r="AK101" s="315"/>
      <c r="AL101" s="315"/>
      <c r="AM101" s="315"/>
      <c r="AN101" s="315"/>
      <c r="AO101" s="315"/>
      <c r="AP101" s="315"/>
      <c r="AQ101" s="315"/>
      <c r="AR101" s="315"/>
      <c r="AS101" s="315"/>
      <c r="AT101" s="315"/>
      <c r="AU101" s="315"/>
    </row>
    <row r="102" spans="20:47" x14ac:dyDescent="0.35">
      <c r="T102" s="315"/>
      <c r="U102" s="315"/>
      <c r="V102" s="315"/>
      <c r="W102" s="315"/>
      <c r="X102" s="315"/>
      <c r="Y102" s="315"/>
      <c r="Z102" s="315"/>
      <c r="AA102" s="315"/>
      <c r="AH102" s="315"/>
      <c r="AI102" s="315"/>
      <c r="AJ102" s="315"/>
      <c r="AK102" s="315"/>
      <c r="AL102" s="315"/>
      <c r="AM102" s="315"/>
      <c r="AN102" s="315"/>
      <c r="AO102" s="315"/>
      <c r="AP102" s="315"/>
      <c r="AQ102" s="315"/>
      <c r="AR102" s="315"/>
      <c r="AS102" s="315"/>
      <c r="AT102" s="315"/>
      <c r="AU102" s="315"/>
    </row>
    <row r="103" spans="20:47" x14ac:dyDescent="0.35">
      <c r="T103" s="315"/>
      <c r="U103" s="315"/>
      <c r="V103" s="315"/>
      <c r="W103" s="315"/>
      <c r="X103" s="315"/>
      <c r="Y103" s="315"/>
      <c r="Z103" s="315"/>
      <c r="AA103" s="315"/>
      <c r="AH103" s="315"/>
      <c r="AI103" s="315"/>
      <c r="AJ103" s="315"/>
      <c r="AK103" s="315"/>
      <c r="AL103" s="315"/>
      <c r="AM103" s="315"/>
      <c r="AN103" s="315"/>
      <c r="AO103" s="315"/>
      <c r="AP103" s="315"/>
      <c r="AQ103" s="315"/>
      <c r="AR103" s="315"/>
      <c r="AS103" s="315"/>
      <c r="AT103" s="315"/>
      <c r="AU103" s="315"/>
    </row>
    <row r="104" spans="20:47" x14ac:dyDescent="0.35">
      <c r="T104" s="315"/>
      <c r="U104" s="315"/>
      <c r="V104" s="315"/>
      <c r="W104" s="315"/>
      <c r="X104" s="315"/>
      <c r="Y104" s="315"/>
      <c r="Z104" s="315"/>
      <c r="AA104" s="315"/>
      <c r="AH104" s="315"/>
      <c r="AI104" s="315"/>
      <c r="AJ104" s="315"/>
      <c r="AK104" s="315"/>
      <c r="AL104" s="315"/>
      <c r="AM104" s="315"/>
      <c r="AN104" s="315"/>
      <c r="AO104" s="315"/>
      <c r="AP104" s="315"/>
      <c r="AQ104" s="315"/>
      <c r="AR104" s="315"/>
      <c r="AS104" s="315"/>
      <c r="AT104" s="315"/>
      <c r="AU104" s="315"/>
    </row>
    <row r="105" spans="20:47" x14ac:dyDescent="0.35">
      <c r="T105" s="315"/>
      <c r="U105" s="315"/>
      <c r="V105" s="315"/>
      <c r="W105" s="315"/>
      <c r="X105" s="315"/>
      <c r="Y105" s="315"/>
      <c r="Z105" s="315"/>
      <c r="AA105" s="315"/>
      <c r="AH105" s="315"/>
      <c r="AI105" s="315"/>
      <c r="AJ105" s="315"/>
      <c r="AK105" s="315"/>
      <c r="AL105" s="315"/>
      <c r="AM105" s="315"/>
      <c r="AN105" s="315"/>
      <c r="AO105" s="315"/>
      <c r="AP105" s="315"/>
      <c r="AQ105" s="315"/>
      <c r="AR105" s="315"/>
      <c r="AS105" s="315"/>
      <c r="AT105" s="315"/>
      <c r="AU105" s="315"/>
    </row>
    <row r="106" spans="20:47" x14ac:dyDescent="0.35">
      <c r="T106" s="315"/>
      <c r="U106" s="315"/>
      <c r="V106" s="315"/>
      <c r="W106" s="315"/>
      <c r="X106" s="315"/>
      <c r="Y106" s="315"/>
      <c r="Z106" s="315"/>
      <c r="AA106" s="315"/>
      <c r="AH106" s="315"/>
      <c r="AI106" s="315"/>
      <c r="AJ106" s="315"/>
      <c r="AK106" s="315"/>
      <c r="AL106" s="315"/>
      <c r="AM106" s="315"/>
      <c r="AN106" s="315"/>
      <c r="AO106" s="315"/>
      <c r="AP106" s="315"/>
      <c r="AQ106" s="315"/>
      <c r="AR106" s="315"/>
      <c r="AS106" s="315"/>
      <c r="AT106" s="315"/>
      <c r="AU106" s="315"/>
    </row>
    <row r="107" spans="20:47" x14ac:dyDescent="0.35">
      <c r="T107" s="315"/>
      <c r="U107" s="315"/>
      <c r="V107" s="315"/>
      <c r="W107" s="315"/>
      <c r="X107" s="315"/>
      <c r="Y107" s="315"/>
      <c r="Z107" s="315"/>
      <c r="AA107" s="315"/>
      <c r="AH107" s="315"/>
      <c r="AI107" s="315"/>
      <c r="AJ107" s="315"/>
      <c r="AK107" s="315"/>
      <c r="AL107" s="315"/>
      <c r="AM107" s="315"/>
      <c r="AN107" s="315"/>
      <c r="AO107" s="315"/>
      <c r="AP107" s="315"/>
      <c r="AQ107" s="315"/>
      <c r="AR107" s="315"/>
      <c r="AS107" s="315"/>
      <c r="AT107" s="315"/>
      <c r="AU107" s="315"/>
    </row>
    <row r="108" spans="20:47" x14ac:dyDescent="0.35">
      <c r="T108" s="315"/>
      <c r="U108" s="315"/>
      <c r="V108" s="315"/>
      <c r="W108" s="315"/>
      <c r="X108" s="315"/>
      <c r="Y108" s="315"/>
      <c r="Z108" s="315"/>
      <c r="AA108" s="315"/>
      <c r="AH108" s="315"/>
      <c r="AI108" s="315"/>
      <c r="AJ108" s="315"/>
      <c r="AK108" s="315"/>
      <c r="AL108" s="315"/>
      <c r="AM108" s="315"/>
      <c r="AN108" s="315"/>
      <c r="AO108" s="315"/>
      <c r="AP108" s="315"/>
      <c r="AQ108" s="315"/>
      <c r="AR108" s="315"/>
      <c r="AS108" s="315"/>
      <c r="AT108" s="315"/>
      <c r="AU108" s="315"/>
    </row>
    <row r="109" spans="20:47" x14ac:dyDescent="0.35">
      <c r="T109" s="315"/>
      <c r="U109" s="315"/>
      <c r="V109" s="315"/>
      <c r="W109" s="315"/>
      <c r="X109" s="315"/>
      <c r="Y109" s="315"/>
      <c r="Z109" s="315"/>
      <c r="AA109" s="315"/>
      <c r="AH109" s="315"/>
      <c r="AI109" s="315"/>
      <c r="AJ109" s="315"/>
      <c r="AK109" s="315"/>
      <c r="AL109" s="315"/>
      <c r="AM109" s="315"/>
      <c r="AN109" s="315"/>
      <c r="AO109" s="315"/>
      <c r="AP109" s="315"/>
      <c r="AQ109" s="315"/>
      <c r="AR109" s="315"/>
      <c r="AS109" s="315"/>
      <c r="AT109" s="315"/>
      <c r="AU109" s="315"/>
    </row>
    <row r="110" spans="20:47" x14ac:dyDescent="0.35">
      <c r="T110" s="315"/>
      <c r="U110" s="315"/>
      <c r="V110" s="315"/>
      <c r="W110" s="315"/>
      <c r="X110" s="315"/>
      <c r="Y110" s="315"/>
      <c r="Z110" s="315"/>
      <c r="AA110" s="315"/>
      <c r="AH110" s="315"/>
      <c r="AI110" s="315"/>
      <c r="AJ110" s="315"/>
      <c r="AK110" s="315"/>
      <c r="AL110" s="315"/>
      <c r="AM110" s="315"/>
      <c r="AN110" s="315"/>
      <c r="AO110" s="315"/>
      <c r="AP110" s="315"/>
      <c r="AQ110" s="315"/>
      <c r="AR110" s="315"/>
      <c r="AS110" s="315"/>
      <c r="AT110" s="315"/>
      <c r="AU110" s="315"/>
    </row>
    <row r="111" spans="20:47" x14ac:dyDescent="0.35">
      <c r="T111" s="315"/>
      <c r="U111" s="315"/>
      <c r="V111" s="315"/>
      <c r="W111" s="315"/>
      <c r="X111" s="315"/>
      <c r="Y111" s="315"/>
      <c r="Z111" s="315"/>
      <c r="AA111" s="315"/>
      <c r="AH111" s="315"/>
      <c r="AI111" s="315"/>
      <c r="AJ111" s="315"/>
      <c r="AK111" s="315"/>
      <c r="AL111" s="315"/>
      <c r="AM111" s="315"/>
      <c r="AN111" s="315"/>
      <c r="AO111" s="315"/>
      <c r="AP111" s="315"/>
      <c r="AQ111" s="315"/>
      <c r="AR111" s="315"/>
      <c r="AS111" s="315"/>
      <c r="AT111" s="315"/>
      <c r="AU111" s="315"/>
    </row>
    <row r="112" spans="20:47" x14ac:dyDescent="0.35">
      <c r="T112" s="315"/>
      <c r="U112" s="315"/>
      <c r="V112" s="315"/>
      <c r="W112" s="315"/>
      <c r="X112" s="315"/>
      <c r="Y112" s="315"/>
      <c r="Z112" s="315"/>
      <c r="AA112" s="315"/>
      <c r="AH112" s="315"/>
      <c r="AI112" s="315"/>
      <c r="AJ112" s="315"/>
      <c r="AK112" s="315"/>
      <c r="AL112" s="315"/>
      <c r="AM112" s="315"/>
      <c r="AN112" s="315"/>
      <c r="AO112" s="315"/>
      <c r="AP112" s="315"/>
      <c r="AQ112" s="315"/>
      <c r="AR112" s="315"/>
      <c r="AS112" s="315"/>
      <c r="AT112" s="315"/>
      <c r="AU112" s="315"/>
    </row>
    <row r="113" spans="20:47" x14ac:dyDescent="0.35">
      <c r="T113" s="315"/>
      <c r="U113" s="315"/>
      <c r="V113" s="315"/>
      <c r="W113" s="315"/>
      <c r="X113" s="315"/>
      <c r="Y113" s="315"/>
      <c r="Z113" s="315"/>
      <c r="AA113" s="315"/>
      <c r="AH113" s="315"/>
      <c r="AI113" s="315"/>
      <c r="AJ113" s="315"/>
      <c r="AK113" s="315"/>
      <c r="AL113" s="315"/>
      <c r="AM113" s="315"/>
      <c r="AN113" s="315"/>
      <c r="AO113" s="315"/>
      <c r="AP113" s="315"/>
      <c r="AQ113" s="315"/>
      <c r="AR113" s="315"/>
      <c r="AS113" s="315"/>
      <c r="AT113" s="315"/>
      <c r="AU113" s="315"/>
    </row>
    <row r="114" spans="20:47" x14ac:dyDescent="0.35">
      <c r="T114" s="315"/>
      <c r="U114" s="315"/>
      <c r="V114" s="315"/>
      <c r="W114" s="315"/>
      <c r="X114" s="315"/>
      <c r="Y114" s="315"/>
      <c r="Z114" s="315"/>
      <c r="AA114" s="315"/>
      <c r="AH114" s="315"/>
      <c r="AI114" s="315"/>
      <c r="AJ114" s="315"/>
      <c r="AK114" s="315"/>
      <c r="AL114" s="315"/>
      <c r="AM114" s="315"/>
      <c r="AN114" s="315"/>
      <c r="AO114" s="315"/>
      <c r="AP114" s="315"/>
      <c r="AQ114" s="315"/>
      <c r="AR114" s="315"/>
      <c r="AS114" s="315"/>
      <c r="AT114" s="315"/>
      <c r="AU114" s="315"/>
    </row>
    <row r="115" spans="20:47" x14ac:dyDescent="0.35">
      <c r="T115" s="315"/>
      <c r="U115" s="315"/>
      <c r="V115" s="315"/>
      <c r="W115" s="315"/>
      <c r="X115" s="315"/>
      <c r="Y115" s="315"/>
      <c r="Z115" s="315"/>
      <c r="AA115" s="315"/>
      <c r="AH115" s="315"/>
      <c r="AI115" s="315"/>
      <c r="AJ115" s="315"/>
      <c r="AK115" s="315"/>
      <c r="AL115" s="315"/>
      <c r="AM115" s="315"/>
      <c r="AN115" s="315"/>
      <c r="AO115" s="315"/>
      <c r="AP115" s="315"/>
      <c r="AQ115" s="315"/>
      <c r="AR115" s="315"/>
      <c r="AS115" s="315"/>
      <c r="AT115" s="315"/>
      <c r="AU115" s="315"/>
    </row>
    <row r="116" spans="20:47" x14ac:dyDescent="0.35">
      <c r="T116" s="315"/>
      <c r="U116" s="315"/>
      <c r="V116" s="315"/>
      <c r="W116" s="315"/>
      <c r="X116" s="315"/>
      <c r="Y116" s="315"/>
      <c r="Z116" s="315"/>
      <c r="AA116" s="315"/>
      <c r="AH116" s="315"/>
      <c r="AI116" s="315"/>
      <c r="AJ116" s="315"/>
      <c r="AK116" s="315"/>
      <c r="AL116" s="315"/>
      <c r="AM116" s="315"/>
      <c r="AN116" s="315"/>
      <c r="AO116" s="315"/>
      <c r="AP116" s="315"/>
      <c r="AQ116" s="315"/>
      <c r="AR116" s="315"/>
      <c r="AS116" s="315"/>
      <c r="AT116" s="315"/>
      <c r="AU116" s="315"/>
    </row>
    <row r="117" spans="20:47" x14ac:dyDescent="0.35">
      <c r="T117" s="315"/>
      <c r="U117" s="315"/>
      <c r="V117" s="315"/>
      <c r="W117" s="315"/>
      <c r="X117" s="315"/>
      <c r="Y117" s="315"/>
      <c r="Z117" s="315"/>
      <c r="AA117" s="315"/>
      <c r="AH117" s="315"/>
      <c r="AI117" s="315"/>
      <c r="AJ117" s="315"/>
      <c r="AK117" s="315"/>
      <c r="AL117" s="315"/>
      <c r="AM117" s="315"/>
      <c r="AN117" s="315"/>
      <c r="AO117" s="315"/>
      <c r="AP117" s="315"/>
      <c r="AQ117" s="315"/>
      <c r="AR117" s="315"/>
      <c r="AS117" s="315"/>
      <c r="AT117" s="315"/>
      <c r="AU117" s="315"/>
    </row>
    <row r="118" spans="20:47" x14ac:dyDescent="0.35">
      <c r="T118" s="315"/>
      <c r="U118" s="315"/>
      <c r="V118" s="315"/>
      <c r="W118" s="315"/>
      <c r="X118" s="315"/>
      <c r="Y118" s="315"/>
      <c r="Z118" s="315"/>
      <c r="AA118" s="315"/>
      <c r="AH118" s="315"/>
      <c r="AI118" s="315"/>
      <c r="AJ118" s="315"/>
      <c r="AK118" s="315"/>
      <c r="AL118" s="315"/>
      <c r="AM118" s="315"/>
      <c r="AN118" s="315"/>
      <c r="AO118" s="315"/>
      <c r="AP118" s="315"/>
      <c r="AQ118" s="315"/>
      <c r="AR118" s="315"/>
      <c r="AS118" s="315"/>
      <c r="AT118" s="315"/>
      <c r="AU118" s="315"/>
    </row>
    <row r="119" spans="20:47" x14ac:dyDescent="0.35">
      <c r="T119" s="315"/>
      <c r="U119" s="315"/>
      <c r="V119" s="315"/>
      <c r="W119" s="315"/>
      <c r="X119" s="315"/>
      <c r="Y119" s="315"/>
      <c r="Z119" s="315"/>
      <c r="AA119" s="315"/>
      <c r="AH119" s="315"/>
      <c r="AI119" s="315"/>
      <c r="AJ119" s="315"/>
      <c r="AK119" s="315"/>
      <c r="AL119" s="315"/>
      <c r="AM119" s="315"/>
      <c r="AN119" s="315"/>
      <c r="AO119" s="315"/>
      <c r="AP119" s="315"/>
      <c r="AQ119" s="315"/>
      <c r="AR119" s="315"/>
      <c r="AS119" s="315"/>
      <c r="AT119" s="315"/>
      <c r="AU119" s="315"/>
    </row>
    <row r="120" spans="20:47" x14ac:dyDescent="0.35">
      <c r="T120" s="315"/>
      <c r="U120" s="315"/>
      <c r="V120" s="315"/>
      <c r="W120" s="315"/>
      <c r="X120" s="315"/>
      <c r="Y120" s="315"/>
      <c r="Z120" s="315"/>
      <c r="AA120" s="315"/>
      <c r="AH120" s="315"/>
      <c r="AI120" s="315"/>
      <c r="AJ120" s="315"/>
      <c r="AK120" s="315"/>
      <c r="AL120" s="315"/>
      <c r="AM120" s="315"/>
      <c r="AN120" s="315"/>
      <c r="AO120" s="315"/>
      <c r="AP120" s="315"/>
      <c r="AQ120" s="315"/>
      <c r="AR120" s="315"/>
      <c r="AS120" s="315"/>
      <c r="AT120" s="315"/>
      <c r="AU120" s="315"/>
    </row>
    <row r="121" spans="20:47" x14ac:dyDescent="0.35">
      <c r="T121" s="315"/>
      <c r="U121" s="315"/>
      <c r="V121" s="315"/>
      <c r="W121" s="315"/>
      <c r="X121" s="315"/>
      <c r="Y121" s="315"/>
      <c r="Z121" s="315"/>
      <c r="AA121" s="315"/>
      <c r="AH121" s="315"/>
      <c r="AI121" s="315"/>
      <c r="AJ121" s="315"/>
      <c r="AK121" s="315"/>
      <c r="AL121" s="315"/>
      <c r="AM121" s="315"/>
      <c r="AN121" s="315"/>
      <c r="AO121" s="315"/>
      <c r="AP121" s="315"/>
      <c r="AQ121" s="315"/>
      <c r="AR121" s="315"/>
      <c r="AS121" s="315"/>
      <c r="AT121" s="315"/>
      <c r="AU121" s="315"/>
    </row>
    <row r="122" spans="20:47" x14ac:dyDescent="0.35">
      <c r="T122" s="315"/>
      <c r="U122" s="315"/>
      <c r="V122" s="315"/>
      <c r="W122" s="315"/>
      <c r="X122" s="315"/>
      <c r="Y122" s="315"/>
      <c r="Z122" s="315"/>
      <c r="AA122" s="315"/>
      <c r="AH122" s="315"/>
      <c r="AI122" s="315"/>
      <c r="AJ122" s="315"/>
      <c r="AK122" s="315"/>
      <c r="AL122" s="315"/>
      <c r="AM122" s="315"/>
      <c r="AN122" s="315"/>
      <c r="AO122" s="315"/>
      <c r="AP122" s="315"/>
      <c r="AQ122" s="315"/>
      <c r="AR122" s="315"/>
      <c r="AS122" s="315"/>
      <c r="AT122" s="315"/>
      <c r="AU122" s="315"/>
    </row>
    <row r="123" spans="20:47" x14ac:dyDescent="0.35">
      <c r="T123" s="315"/>
      <c r="U123" s="315"/>
      <c r="V123" s="315"/>
      <c r="W123" s="315"/>
      <c r="X123" s="315"/>
      <c r="Y123" s="315"/>
      <c r="Z123" s="315"/>
      <c r="AA123" s="315"/>
      <c r="AH123" s="315"/>
      <c r="AI123" s="315"/>
      <c r="AJ123" s="315"/>
      <c r="AK123" s="315"/>
      <c r="AL123" s="315"/>
      <c r="AM123" s="315"/>
      <c r="AN123" s="315"/>
      <c r="AO123" s="315"/>
      <c r="AP123" s="315"/>
      <c r="AQ123" s="315"/>
      <c r="AR123" s="315"/>
      <c r="AS123" s="315"/>
      <c r="AT123" s="315"/>
      <c r="AU123" s="315"/>
    </row>
    <row r="124" spans="20:47" x14ac:dyDescent="0.35">
      <c r="T124" s="315"/>
      <c r="U124" s="315"/>
      <c r="V124" s="315"/>
      <c r="W124" s="315"/>
      <c r="X124" s="315"/>
      <c r="Y124" s="315"/>
      <c r="Z124" s="315"/>
      <c r="AA124" s="315"/>
      <c r="AH124" s="315"/>
      <c r="AI124" s="315"/>
      <c r="AJ124" s="315"/>
      <c r="AK124" s="315"/>
      <c r="AL124" s="315"/>
      <c r="AM124" s="315"/>
      <c r="AN124" s="315"/>
      <c r="AO124" s="315"/>
      <c r="AP124" s="315"/>
      <c r="AQ124" s="315"/>
      <c r="AR124" s="315"/>
      <c r="AS124" s="315"/>
      <c r="AT124" s="315"/>
      <c r="AU124" s="315"/>
    </row>
    <row r="125" spans="20:47" x14ac:dyDescent="0.35">
      <c r="T125" s="315"/>
      <c r="U125" s="315"/>
      <c r="V125" s="315"/>
      <c r="W125" s="315"/>
      <c r="X125" s="315"/>
      <c r="Y125" s="315"/>
      <c r="Z125" s="315"/>
      <c r="AA125" s="315"/>
      <c r="AH125" s="315"/>
      <c r="AI125" s="315"/>
      <c r="AJ125" s="315"/>
      <c r="AK125" s="315"/>
      <c r="AL125" s="315"/>
      <c r="AM125" s="315"/>
      <c r="AN125" s="315"/>
      <c r="AO125" s="315"/>
      <c r="AP125" s="315"/>
      <c r="AQ125" s="315"/>
      <c r="AR125" s="315"/>
      <c r="AS125" s="315"/>
      <c r="AT125" s="315"/>
      <c r="AU125" s="315"/>
    </row>
    <row r="126" spans="20:47" x14ac:dyDescent="0.35">
      <c r="T126" s="315"/>
      <c r="U126" s="315"/>
      <c r="V126" s="315"/>
      <c r="W126" s="315"/>
      <c r="X126" s="315"/>
      <c r="Y126" s="315"/>
      <c r="Z126" s="315"/>
      <c r="AA126" s="315"/>
      <c r="AH126" s="315"/>
      <c r="AI126" s="315"/>
      <c r="AJ126" s="315"/>
      <c r="AK126" s="315"/>
      <c r="AL126" s="315"/>
      <c r="AM126" s="315"/>
      <c r="AN126" s="315"/>
      <c r="AO126" s="315"/>
      <c r="AP126" s="315"/>
      <c r="AQ126" s="315"/>
      <c r="AR126" s="315"/>
      <c r="AS126" s="315"/>
      <c r="AT126" s="315"/>
      <c r="AU126" s="315"/>
    </row>
    <row r="127" spans="20:47" x14ac:dyDescent="0.35">
      <c r="T127" s="315"/>
      <c r="U127" s="315"/>
      <c r="V127" s="315"/>
      <c r="W127" s="315"/>
      <c r="X127" s="315"/>
      <c r="Y127" s="315"/>
      <c r="Z127" s="315"/>
      <c r="AA127" s="315"/>
      <c r="AH127" s="315"/>
      <c r="AI127" s="315"/>
      <c r="AJ127" s="315"/>
      <c r="AK127" s="315"/>
      <c r="AL127" s="315"/>
      <c r="AM127" s="315"/>
      <c r="AN127" s="315"/>
      <c r="AO127" s="315"/>
      <c r="AP127" s="315"/>
      <c r="AQ127" s="315"/>
      <c r="AR127" s="315"/>
      <c r="AS127" s="315"/>
      <c r="AT127" s="315"/>
      <c r="AU127" s="315"/>
    </row>
    <row r="128" spans="20:47" x14ac:dyDescent="0.35">
      <c r="T128" s="315"/>
      <c r="U128" s="315"/>
      <c r="V128" s="315"/>
      <c r="W128" s="315"/>
      <c r="X128" s="315"/>
      <c r="Y128" s="315"/>
      <c r="Z128" s="315"/>
      <c r="AA128" s="315"/>
      <c r="AH128" s="315"/>
      <c r="AI128" s="315"/>
      <c r="AJ128" s="315"/>
      <c r="AK128" s="315"/>
      <c r="AL128" s="315"/>
      <c r="AM128" s="315"/>
      <c r="AN128" s="315"/>
      <c r="AO128" s="315"/>
      <c r="AP128" s="315"/>
      <c r="AQ128" s="315"/>
      <c r="AR128" s="315"/>
      <c r="AS128" s="315"/>
      <c r="AT128" s="315"/>
      <c r="AU128" s="315"/>
    </row>
    <row r="129" spans="20:47" x14ac:dyDescent="0.35">
      <c r="T129" s="315"/>
      <c r="U129" s="315"/>
      <c r="V129" s="315"/>
      <c r="W129" s="315"/>
      <c r="X129" s="315"/>
      <c r="Y129" s="315"/>
      <c r="Z129" s="315"/>
      <c r="AA129" s="315"/>
      <c r="AH129" s="315"/>
      <c r="AI129" s="315"/>
      <c r="AJ129" s="315"/>
      <c r="AK129" s="315"/>
      <c r="AL129" s="315"/>
      <c r="AM129" s="315"/>
      <c r="AN129" s="315"/>
      <c r="AO129" s="315"/>
      <c r="AP129" s="315"/>
      <c r="AQ129" s="315"/>
      <c r="AR129" s="315"/>
      <c r="AS129" s="315"/>
      <c r="AT129" s="315"/>
      <c r="AU129" s="315"/>
    </row>
    <row r="130" spans="20:47" x14ac:dyDescent="0.35">
      <c r="T130" s="315"/>
      <c r="U130" s="315"/>
      <c r="V130" s="315"/>
      <c r="W130" s="315"/>
      <c r="X130" s="315"/>
      <c r="Y130" s="315"/>
      <c r="Z130" s="315"/>
      <c r="AA130" s="315"/>
      <c r="AH130" s="315"/>
      <c r="AI130" s="315"/>
      <c r="AJ130" s="315"/>
      <c r="AK130" s="315"/>
      <c r="AL130" s="315"/>
      <c r="AM130" s="315"/>
      <c r="AN130" s="315"/>
      <c r="AO130" s="315"/>
      <c r="AP130" s="315"/>
      <c r="AQ130" s="315"/>
      <c r="AR130" s="315"/>
      <c r="AS130" s="315"/>
      <c r="AT130" s="315"/>
      <c r="AU130" s="315"/>
    </row>
    <row r="131" spans="20:47" x14ac:dyDescent="0.35">
      <c r="T131" s="315"/>
      <c r="U131" s="315"/>
      <c r="V131" s="315"/>
      <c r="W131" s="315"/>
      <c r="X131" s="315"/>
      <c r="Y131" s="315"/>
      <c r="Z131" s="315"/>
      <c r="AA131" s="315"/>
      <c r="AH131" s="315"/>
      <c r="AI131" s="315"/>
      <c r="AJ131" s="315"/>
      <c r="AK131" s="315"/>
      <c r="AL131" s="315"/>
      <c r="AM131" s="315"/>
      <c r="AN131" s="315"/>
      <c r="AO131" s="315"/>
      <c r="AP131" s="315"/>
      <c r="AQ131" s="315"/>
      <c r="AR131" s="315"/>
      <c r="AS131" s="315"/>
      <c r="AT131" s="315"/>
      <c r="AU131" s="315"/>
    </row>
    <row r="132" spans="20:47" x14ac:dyDescent="0.35">
      <c r="T132" s="315"/>
      <c r="U132" s="315"/>
      <c r="V132" s="315"/>
      <c r="W132" s="315"/>
      <c r="X132" s="315"/>
      <c r="Y132" s="315"/>
      <c r="Z132" s="315"/>
      <c r="AA132" s="315"/>
      <c r="AH132" s="315"/>
      <c r="AI132" s="315"/>
      <c r="AJ132" s="315"/>
      <c r="AK132" s="315"/>
      <c r="AL132" s="315"/>
      <c r="AM132" s="315"/>
      <c r="AN132" s="315"/>
      <c r="AO132" s="315"/>
      <c r="AP132" s="315"/>
      <c r="AQ132" s="315"/>
      <c r="AR132" s="315"/>
      <c r="AS132" s="315"/>
      <c r="AT132" s="315"/>
      <c r="AU132" s="315"/>
    </row>
    <row r="133" spans="20:47" x14ac:dyDescent="0.35">
      <c r="T133" s="315"/>
      <c r="U133" s="315"/>
      <c r="V133" s="315"/>
      <c r="W133" s="315"/>
      <c r="X133" s="315"/>
      <c r="Y133" s="315"/>
      <c r="Z133" s="315"/>
      <c r="AA133" s="315"/>
      <c r="AH133" s="315"/>
      <c r="AI133" s="315"/>
      <c r="AJ133" s="315"/>
      <c r="AK133" s="315"/>
      <c r="AL133" s="315"/>
      <c r="AM133" s="315"/>
      <c r="AN133" s="315"/>
      <c r="AO133" s="315"/>
      <c r="AP133" s="315"/>
      <c r="AQ133" s="315"/>
      <c r="AR133" s="315"/>
      <c r="AS133" s="315"/>
      <c r="AT133" s="315"/>
      <c r="AU133" s="315"/>
    </row>
    <row r="134" spans="20:47" x14ac:dyDescent="0.35">
      <c r="T134" s="315"/>
      <c r="U134" s="315"/>
      <c r="V134" s="315"/>
      <c r="W134" s="315"/>
      <c r="X134" s="315"/>
      <c r="Y134" s="315"/>
      <c r="Z134" s="315"/>
      <c r="AA134" s="315"/>
      <c r="AH134" s="315"/>
      <c r="AI134" s="315"/>
      <c r="AJ134" s="315"/>
      <c r="AK134" s="315"/>
      <c r="AL134" s="315"/>
      <c r="AM134" s="315"/>
      <c r="AN134" s="315"/>
      <c r="AO134" s="315"/>
      <c r="AP134" s="315"/>
      <c r="AQ134" s="315"/>
      <c r="AR134" s="315"/>
      <c r="AS134" s="315"/>
      <c r="AT134" s="315"/>
      <c r="AU134" s="315"/>
    </row>
    <row r="135" spans="20:47" x14ac:dyDescent="0.35">
      <c r="T135" s="315"/>
      <c r="U135" s="315"/>
      <c r="V135" s="315"/>
      <c r="W135" s="315"/>
      <c r="X135" s="315"/>
      <c r="Y135" s="315"/>
      <c r="Z135" s="315"/>
      <c r="AA135" s="315"/>
      <c r="AH135" s="315"/>
      <c r="AI135" s="315"/>
      <c r="AJ135" s="315"/>
      <c r="AK135" s="315"/>
      <c r="AL135" s="315"/>
      <c r="AM135" s="315"/>
      <c r="AN135" s="315"/>
      <c r="AO135" s="315"/>
      <c r="AP135" s="315"/>
      <c r="AQ135" s="315"/>
      <c r="AR135" s="315"/>
      <c r="AS135" s="315"/>
      <c r="AT135" s="315"/>
      <c r="AU135" s="315"/>
    </row>
    <row r="136" spans="20:47" x14ac:dyDescent="0.35">
      <c r="T136" s="315"/>
      <c r="U136" s="315"/>
      <c r="V136" s="315"/>
      <c r="W136" s="315"/>
      <c r="X136" s="315"/>
      <c r="Y136" s="315"/>
      <c r="Z136" s="315"/>
      <c r="AA136" s="315"/>
      <c r="AH136" s="315"/>
      <c r="AI136" s="315"/>
      <c r="AJ136" s="315"/>
      <c r="AK136" s="315"/>
      <c r="AL136" s="315"/>
      <c r="AM136" s="315"/>
      <c r="AN136" s="315"/>
      <c r="AO136" s="315"/>
      <c r="AP136" s="315"/>
      <c r="AQ136" s="315"/>
      <c r="AR136" s="315"/>
      <c r="AS136" s="315"/>
      <c r="AT136" s="315"/>
      <c r="AU136" s="315"/>
    </row>
    <row r="137" spans="20:47" x14ac:dyDescent="0.35">
      <c r="T137" s="315"/>
      <c r="U137" s="315"/>
      <c r="V137" s="315"/>
      <c r="W137" s="315"/>
      <c r="X137" s="315"/>
      <c r="Y137" s="315"/>
      <c r="Z137" s="315"/>
      <c r="AA137" s="315"/>
      <c r="AH137" s="315"/>
      <c r="AI137" s="315"/>
      <c r="AJ137" s="315"/>
      <c r="AK137" s="315"/>
      <c r="AL137" s="315"/>
      <c r="AM137" s="315"/>
      <c r="AN137" s="315"/>
      <c r="AO137" s="315"/>
      <c r="AP137" s="315"/>
      <c r="AQ137" s="315"/>
      <c r="AR137" s="315"/>
      <c r="AS137" s="315"/>
      <c r="AT137" s="315"/>
      <c r="AU137" s="315"/>
    </row>
    <row r="138" spans="20:47" x14ac:dyDescent="0.35">
      <c r="T138" s="315"/>
      <c r="U138" s="315"/>
      <c r="V138" s="315"/>
      <c r="W138" s="315"/>
      <c r="X138" s="315"/>
      <c r="Y138" s="315"/>
      <c r="Z138" s="315"/>
      <c r="AA138" s="315"/>
      <c r="AH138" s="315"/>
      <c r="AI138" s="315"/>
      <c r="AJ138" s="315"/>
      <c r="AK138" s="315"/>
      <c r="AL138" s="315"/>
      <c r="AM138" s="315"/>
      <c r="AN138" s="315"/>
      <c r="AO138" s="315"/>
      <c r="AP138" s="315"/>
      <c r="AQ138" s="315"/>
      <c r="AR138" s="315"/>
      <c r="AS138" s="315"/>
      <c r="AT138" s="315"/>
      <c r="AU138" s="315"/>
    </row>
    <row r="139" spans="20:47" x14ac:dyDescent="0.35">
      <c r="T139" s="315"/>
      <c r="U139" s="315"/>
      <c r="V139" s="315"/>
      <c r="W139" s="315"/>
      <c r="X139" s="315"/>
      <c r="Y139" s="315"/>
      <c r="Z139" s="315"/>
      <c r="AA139" s="315"/>
      <c r="AH139" s="315"/>
      <c r="AI139" s="315"/>
      <c r="AJ139" s="315"/>
      <c r="AK139" s="315"/>
      <c r="AL139" s="315"/>
      <c r="AM139" s="315"/>
      <c r="AN139" s="315"/>
      <c r="AO139" s="315"/>
      <c r="AP139" s="315"/>
      <c r="AQ139" s="315"/>
      <c r="AR139" s="315"/>
      <c r="AS139" s="315"/>
      <c r="AT139" s="315"/>
      <c r="AU139" s="315"/>
    </row>
    <row r="140" spans="20:47" x14ac:dyDescent="0.35">
      <c r="T140" s="315"/>
      <c r="U140" s="315"/>
      <c r="V140" s="315"/>
      <c r="W140" s="315"/>
      <c r="X140" s="315"/>
      <c r="Y140" s="315"/>
      <c r="Z140" s="315"/>
      <c r="AA140" s="315"/>
      <c r="AH140" s="315"/>
      <c r="AI140" s="315"/>
      <c r="AJ140" s="315"/>
      <c r="AK140" s="315"/>
      <c r="AL140" s="315"/>
      <c r="AM140" s="315"/>
      <c r="AN140" s="315"/>
      <c r="AO140" s="315"/>
      <c r="AP140" s="315"/>
      <c r="AQ140" s="315"/>
      <c r="AR140" s="315"/>
      <c r="AS140" s="315"/>
      <c r="AT140" s="315"/>
      <c r="AU140" s="315"/>
    </row>
    <row r="141" spans="20:47" x14ac:dyDescent="0.35">
      <c r="T141" s="315"/>
      <c r="U141" s="315"/>
      <c r="V141" s="315"/>
      <c r="W141" s="315"/>
      <c r="X141" s="315"/>
      <c r="Y141" s="315"/>
      <c r="Z141" s="315"/>
      <c r="AA141" s="315"/>
      <c r="AH141" s="315"/>
      <c r="AI141" s="315"/>
      <c r="AJ141" s="315"/>
      <c r="AK141" s="315"/>
      <c r="AL141" s="315"/>
      <c r="AM141" s="315"/>
      <c r="AN141" s="315"/>
      <c r="AO141" s="315"/>
      <c r="AP141" s="315"/>
      <c r="AQ141" s="315"/>
      <c r="AR141" s="315"/>
      <c r="AS141" s="315"/>
      <c r="AT141" s="315"/>
      <c r="AU141" s="315"/>
    </row>
    <row r="142" spans="20:47" x14ac:dyDescent="0.35">
      <c r="T142" s="315"/>
      <c r="U142" s="315"/>
      <c r="V142" s="315"/>
      <c r="W142" s="315"/>
      <c r="X142" s="315"/>
      <c r="Y142" s="315"/>
      <c r="Z142" s="315"/>
      <c r="AA142" s="315"/>
      <c r="AH142" s="315"/>
      <c r="AI142" s="315"/>
      <c r="AJ142" s="315"/>
      <c r="AK142" s="315"/>
      <c r="AL142" s="315"/>
      <c r="AM142" s="315"/>
      <c r="AN142" s="315"/>
      <c r="AO142" s="315"/>
      <c r="AP142" s="315"/>
      <c r="AQ142" s="315"/>
      <c r="AR142" s="315"/>
      <c r="AS142" s="315"/>
      <c r="AT142" s="315"/>
      <c r="AU142" s="315"/>
    </row>
    <row r="143" spans="20:47" x14ac:dyDescent="0.35">
      <c r="AH143" s="315"/>
      <c r="AI143" s="315"/>
      <c r="AJ143" s="315"/>
      <c r="AK143" s="315"/>
      <c r="AL143" s="315"/>
      <c r="AM143" s="315"/>
      <c r="AN143" s="315"/>
      <c r="AO143" s="315"/>
      <c r="AP143" s="315"/>
      <c r="AQ143" s="315"/>
      <c r="AR143" s="315"/>
      <c r="AS143" s="315"/>
    </row>
    <row r="144" spans="20:47" x14ac:dyDescent="0.35">
      <c r="AH144" s="315"/>
      <c r="AI144" s="315"/>
      <c r="AJ144" s="315"/>
      <c r="AK144" s="315"/>
      <c r="AL144" s="315"/>
      <c r="AM144" s="315"/>
      <c r="AN144" s="315"/>
      <c r="AO144" s="315"/>
      <c r="AP144" s="315"/>
      <c r="AQ144" s="315"/>
      <c r="AR144" s="315"/>
      <c r="AS144" s="315"/>
    </row>
    <row r="145" spans="34:45" x14ac:dyDescent="0.35">
      <c r="AH145" s="315"/>
      <c r="AI145" s="315"/>
      <c r="AJ145" s="315"/>
      <c r="AK145" s="315"/>
      <c r="AL145" s="315"/>
      <c r="AM145" s="315"/>
      <c r="AN145" s="315"/>
      <c r="AO145" s="315"/>
      <c r="AP145" s="315"/>
      <c r="AQ145" s="315"/>
      <c r="AR145" s="315"/>
      <c r="AS145" s="315"/>
    </row>
    <row r="146" spans="34:45" x14ac:dyDescent="0.35">
      <c r="AH146" s="315"/>
      <c r="AI146" s="315"/>
      <c r="AJ146" s="315"/>
      <c r="AK146" s="315"/>
      <c r="AL146" s="315"/>
      <c r="AM146" s="315"/>
      <c r="AN146" s="315"/>
      <c r="AO146" s="315"/>
      <c r="AP146" s="315"/>
      <c r="AQ146" s="315"/>
      <c r="AR146" s="315"/>
      <c r="AS146" s="315"/>
    </row>
    <row r="147" spans="34:45" x14ac:dyDescent="0.35">
      <c r="AH147" s="315"/>
      <c r="AI147" s="315"/>
      <c r="AJ147" s="315"/>
      <c r="AK147" s="315"/>
      <c r="AL147" s="315"/>
      <c r="AM147" s="315"/>
      <c r="AN147" s="315"/>
      <c r="AO147" s="315"/>
      <c r="AP147" s="315"/>
      <c r="AQ147" s="315"/>
      <c r="AR147" s="315"/>
      <c r="AS147" s="315"/>
    </row>
    <row r="148" spans="34:45" x14ac:dyDescent="0.35">
      <c r="AH148" s="315"/>
      <c r="AI148" s="315"/>
      <c r="AJ148" s="315"/>
      <c r="AK148" s="315"/>
      <c r="AL148" s="315"/>
      <c r="AM148" s="315"/>
      <c r="AN148" s="315"/>
      <c r="AO148" s="315"/>
      <c r="AP148" s="315"/>
      <c r="AQ148" s="315"/>
      <c r="AR148" s="315"/>
      <c r="AS148" s="315"/>
    </row>
    <row r="149" spans="34:45" x14ac:dyDescent="0.35">
      <c r="AH149" s="315"/>
      <c r="AI149" s="315"/>
      <c r="AJ149" s="315"/>
      <c r="AK149" s="315"/>
      <c r="AL149" s="315"/>
      <c r="AM149" s="315"/>
      <c r="AN149" s="315"/>
      <c r="AO149" s="315"/>
      <c r="AP149" s="315"/>
      <c r="AQ149" s="315"/>
      <c r="AR149" s="315"/>
      <c r="AS149" s="315"/>
    </row>
    <row r="150" spans="34:45" x14ac:dyDescent="0.35">
      <c r="AH150" s="315"/>
      <c r="AI150" s="315"/>
      <c r="AJ150" s="315"/>
      <c r="AK150" s="315"/>
      <c r="AL150" s="315"/>
      <c r="AM150" s="315"/>
      <c r="AN150" s="315"/>
      <c r="AO150" s="315"/>
      <c r="AP150" s="315"/>
      <c r="AQ150" s="315"/>
      <c r="AR150" s="315"/>
      <c r="AS150" s="315"/>
    </row>
    <row r="151" spans="34:45" x14ac:dyDescent="0.35">
      <c r="AH151" s="315"/>
      <c r="AI151" s="315"/>
      <c r="AJ151" s="315"/>
      <c r="AK151" s="315"/>
      <c r="AL151" s="315"/>
      <c r="AM151" s="315"/>
      <c r="AN151" s="315"/>
      <c r="AO151" s="315"/>
      <c r="AP151" s="315"/>
      <c r="AQ151" s="315"/>
      <c r="AR151" s="315"/>
      <c r="AS151" s="315"/>
    </row>
    <row r="152" spans="34:45" x14ac:dyDescent="0.35">
      <c r="AH152" s="315"/>
      <c r="AI152" s="315"/>
      <c r="AJ152" s="315"/>
      <c r="AK152" s="315"/>
      <c r="AL152" s="315"/>
      <c r="AM152" s="315"/>
      <c r="AN152" s="315"/>
      <c r="AO152" s="315"/>
      <c r="AP152" s="315"/>
      <c r="AQ152" s="315"/>
      <c r="AR152" s="315"/>
      <c r="AS152" s="315"/>
    </row>
    <row r="153" spans="34:45" x14ac:dyDescent="0.35">
      <c r="AH153" s="315"/>
      <c r="AI153" s="315"/>
      <c r="AJ153" s="315"/>
      <c r="AK153" s="315"/>
      <c r="AL153" s="315"/>
      <c r="AM153" s="315"/>
      <c r="AN153" s="315"/>
      <c r="AO153" s="315"/>
      <c r="AP153" s="315"/>
      <c r="AQ153" s="315"/>
      <c r="AR153" s="315"/>
      <c r="AS153" s="315"/>
    </row>
    <row r="154" spans="34:45" x14ac:dyDescent="0.35">
      <c r="AH154" s="315"/>
      <c r="AI154" s="315"/>
      <c r="AJ154" s="315"/>
      <c r="AK154" s="315"/>
      <c r="AL154" s="315"/>
      <c r="AM154" s="315"/>
      <c r="AN154" s="315"/>
      <c r="AO154" s="315"/>
      <c r="AP154" s="315"/>
      <c r="AQ154" s="315"/>
      <c r="AR154" s="315"/>
      <c r="AS154" s="315"/>
    </row>
    <row r="155" spans="34:45" x14ac:dyDescent="0.35">
      <c r="AH155" s="315"/>
      <c r="AI155" s="315"/>
      <c r="AJ155" s="315"/>
      <c r="AK155" s="315"/>
      <c r="AL155" s="315"/>
      <c r="AM155" s="315"/>
      <c r="AN155" s="315"/>
      <c r="AO155" s="315"/>
      <c r="AP155" s="315"/>
      <c r="AQ155" s="315"/>
      <c r="AR155" s="315"/>
      <c r="AS155" s="315"/>
    </row>
    <row r="156" spans="34:45" x14ac:dyDescent="0.35">
      <c r="AH156" s="315"/>
      <c r="AI156" s="315"/>
      <c r="AJ156" s="315"/>
      <c r="AK156" s="315"/>
      <c r="AL156" s="315"/>
      <c r="AM156" s="315"/>
      <c r="AN156" s="315"/>
      <c r="AO156" s="315"/>
      <c r="AP156" s="315"/>
      <c r="AQ156" s="315"/>
      <c r="AR156" s="315"/>
      <c r="AS156" s="315"/>
    </row>
    <row r="157" spans="34:45" x14ac:dyDescent="0.35">
      <c r="AH157" s="315"/>
      <c r="AI157" s="315"/>
      <c r="AJ157" s="315"/>
      <c r="AK157" s="315"/>
      <c r="AL157" s="315"/>
      <c r="AM157" s="315"/>
      <c r="AN157" s="315"/>
      <c r="AO157" s="315"/>
      <c r="AP157" s="315"/>
      <c r="AQ157" s="315"/>
      <c r="AR157" s="315"/>
      <c r="AS157" s="315"/>
    </row>
    <row r="158" spans="34:45" x14ac:dyDescent="0.35">
      <c r="AH158" s="315"/>
      <c r="AI158" s="315"/>
      <c r="AJ158" s="315"/>
      <c r="AK158" s="315"/>
      <c r="AL158" s="315"/>
      <c r="AM158" s="315"/>
      <c r="AN158" s="315"/>
      <c r="AO158" s="315"/>
      <c r="AP158" s="315"/>
      <c r="AQ158" s="315"/>
      <c r="AR158" s="315"/>
      <c r="AS158" s="315"/>
    </row>
    <row r="159" spans="34:45" x14ac:dyDescent="0.35">
      <c r="AH159" s="315"/>
      <c r="AI159" s="315"/>
      <c r="AJ159" s="315"/>
      <c r="AK159" s="315"/>
      <c r="AL159" s="315"/>
      <c r="AM159" s="315"/>
      <c r="AN159" s="315"/>
      <c r="AO159" s="315"/>
      <c r="AP159" s="315"/>
      <c r="AQ159" s="315"/>
      <c r="AR159" s="315"/>
      <c r="AS159" s="315"/>
    </row>
    <row r="160" spans="34:45" x14ac:dyDescent="0.35">
      <c r="AH160" s="315"/>
      <c r="AI160" s="315"/>
      <c r="AJ160" s="315"/>
      <c r="AK160" s="315"/>
      <c r="AL160" s="315"/>
      <c r="AM160" s="315"/>
      <c r="AN160" s="315"/>
      <c r="AO160" s="315"/>
      <c r="AP160" s="315"/>
      <c r="AQ160" s="315"/>
      <c r="AR160" s="315"/>
      <c r="AS160" s="315"/>
    </row>
    <row r="161" spans="34:45" x14ac:dyDescent="0.35">
      <c r="AH161" s="315"/>
      <c r="AI161" s="315"/>
      <c r="AJ161" s="315"/>
      <c r="AK161" s="315"/>
      <c r="AL161" s="315"/>
      <c r="AM161" s="315"/>
      <c r="AN161" s="315"/>
      <c r="AO161" s="315"/>
      <c r="AP161" s="315"/>
      <c r="AQ161" s="315"/>
      <c r="AR161" s="315"/>
      <c r="AS161" s="315"/>
    </row>
    <row r="162" spans="34:45" x14ac:dyDescent="0.35">
      <c r="AH162" s="315"/>
      <c r="AI162" s="315"/>
      <c r="AJ162" s="315"/>
      <c r="AK162" s="315"/>
      <c r="AL162" s="315"/>
      <c r="AM162" s="315"/>
      <c r="AN162" s="315"/>
      <c r="AO162" s="315"/>
      <c r="AP162" s="315"/>
      <c r="AQ162" s="315"/>
      <c r="AR162" s="315"/>
      <c r="AS162" s="315"/>
    </row>
    <row r="163" spans="34:45" x14ac:dyDescent="0.35">
      <c r="AH163" s="315"/>
      <c r="AI163" s="315"/>
      <c r="AJ163" s="315"/>
      <c r="AK163" s="315"/>
      <c r="AL163" s="315"/>
      <c r="AM163" s="315"/>
      <c r="AN163" s="315"/>
      <c r="AO163" s="315"/>
      <c r="AP163" s="315"/>
      <c r="AQ163" s="315"/>
      <c r="AR163" s="315"/>
      <c r="AS163" s="315"/>
    </row>
    <row r="164" spans="34:45" x14ac:dyDescent="0.35">
      <c r="AH164" s="315"/>
      <c r="AI164" s="315"/>
      <c r="AJ164" s="315"/>
      <c r="AK164" s="315"/>
      <c r="AL164" s="315"/>
      <c r="AM164" s="315"/>
      <c r="AN164" s="315"/>
      <c r="AO164" s="315"/>
      <c r="AP164" s="315"/>
      <c r="AQ164" s="315"/>
      <c r="AR164" s="315"/>
      <c r="AS164" s="315"/>
    </row>
    <row r="165" spans="34:45" x14ac:dyDescent="0.35">
      <c r="AH165" s="315"/>
      <c r="AI165" s="315"/>
      <c r="AJ165" s="315"/>
      <c r="AK165" s="315"/>
      <c r="AL165" s="315"/>
      <c r="AM165" s="315"/>
      <c r="AN165" s="315"/>
      <c r="AO165" s="315"/>
      <c r="AP165" s="315"/>
      <c r="AQ165" s="315"/>
      <c r="AR165" s="315"/>
      <c r="AS165" s="315"/>
    </row>
    <row r="166" spans="34:45" x14ac:dyDescent="0.35">
      <c r="AH166" s="315"/>
      <c r="AI166" s="315"/>
      <c r="AJ166" s="315"/>
      <c r="AK166" s="315"/>
      <c r="AL166" s="315"/>
      <c r="AM166" s="315"/>
      <c r="AN166" s="315"/>
      <c r="AO166" s="315"/>
      <c r="AP166" s="315"/>
      <c r="AQ166" s="315"/>
      <c r="AR166" s="315"/>
      <c r="AS166" s="315"/>
    </row>
    <row r="167" spans="34:45" x14ac:dyDescent="0.35">
      <c r="AH167" s="315"/>
      <c r="AI167" s="315"/>
      <c r="AJ167" s="315"/>
      <c r="AK167" s="315"/>
      <c r="AL167" s="315"/>
      <c r="AM167" s="315"/>
      <c r="AN167" s="315"/>
      <c r="AO167" s="315"/>
      <c r="AP167" s="315"/>
      <c r="AQ167" s="315"/>
      <c r="AR167" s="315"/>
      <c r="AS167" s="315"/>
    </row>
    <row r="168" spans="34:45" x14ac:dyDescent="0.35">
      <c r="AH168" s="315"/>
      <c r="AI168" s="315"/>
      <c r="AJ168" s="315"/>
      <c r="AK168" s="315"/>
      <c r="AL168" s="315"/>
      <c r="AM168" s="315"/>
      <c r="AN168" s="315"/>
      <c r="AO168" s="315"/>
      <c r="AP168" s="315"/>
      <c r="AQ168" s="315"/>
      <c r="AR168" s="315"/>
      <c r="AS168" s="315"/>
    </row>
    <row r="169" spans="34:45" x14ac:dyDescent="0.35">
      <c r="AH169" s="315"/>
      <c r="AI169" s="315"/>
      <c r="AJ169" s="315"/>
      <c r="AK169" s="315"/>
      <c r="AL169" s="315"/>
      <c r="AM169" s="315"/>
      <c r="AN169" s="315"/>
      <c r="AO169" s="315"/>
      <c r="AP169" s="315"/>
      <c r="AQ169" s="315"/>
      <c r="AR169" s="315"/>
      <c r="AS169" s="315"/>
    </row>
  </sheetData>
  <sheetProtection sheet="1" objects="1" scenarios="1" formatCells="0" formatColumns="0" formatRows="0"/>
  <mergeCells count="6">
    <mergeCell ref="B3:G3"/>
    <mergeCell ref="B13:D13"/>
    <mergeCell ref="B17:D17"/>
    <mergeCell ref="B26:D26"/>
    <mergeCell ref="A1:G2"/>
    <mergeCell ref="A3: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20A9-EB63-4F35-AC23-4EDC3BE2CB12}">
  <sheetPr codeName="Sheet27">
    <tabColor theme="0"/>
  </sheetPr>
  <dimension ref="A1:J1511"/>
  <sheetViews>
    <sheetView workbookViewId="0">
      <selection sqref="A1:H4"/>
    </sheetView>
  </sheetViews>
  <sheetFormatPr defaultRowHeight="14.5" x14ac:dyDescent="0.35"/>
  <cols>
    <col min="2" max="2" width="17.54296875" customWidth="1"/>
    <col min="3" max="3" width="51.54296875" customWidth="1"/>
    <col min="4" max="4" width="34.54296875" customWidth="1"/>
    <col min="5" max="5" width="37.453125" customWidth="1"/>
  </cols>
  <sheetData>
    <row r="1" spans="1:10" x14ac:dyDescent="0.35">
      <c r="A1" s="387" t="s">
        <v>3</v>
      </c>
      <c r="B1" s="388"/>
      <c r="C1" s="388"/>
      <c r="D1" s="388"/>
      <c r="E1" s="388"/>
      <c r="F1" s="388"/>
      <c r="G1" s="388"/>
      <c r="H1" s="389"/>
      <c r="I1" s="83"/>
      <c r="J1" s="83"/>
    </row>
    <row r="2" spans="1:10" x14ac:dyDescent="0.35">
      <c r="A2" s="390"/>
      <c r="B2" s="391"/>
      <c r="C2" s="391"/>
      <c r="D2" s="391"/>
      <c r="E2" s="391"/>
      <c r="F2" s="391"/>
      <c r="G2" s="391"/>
      <c r="H2" s="392"/>
      <c r="I2" s="83"/>
      <c r="J2" s="83"/>
    </row>
    <row r="3" spans="1:10" x14ac:dyDescent="0.35">
      <c r="A3" s="390"/>
      <c r="B3" s="391"/>
      <c r="C3" s="391"/>
      <c r="D3" s="391"/>
      <c r="E3" s="391"/>
      <c r="F3" s="391"/>
      <c r="G3" s="391"/>
      <c r="H3" s="392"/>
      <c r="I3" s="83"/>
      <c r="J3" s="83"/>
    </row>
    <row r="4" spans="1:10" ht="84" customHeight="1" thickBot="1" x14ac:dyDescent="0.4">
      <c r="A4" s="393"/>
      <c r="B4" s="394"/>
      <c r="C4" s="394"/>
      <c r="D4" s="394"/>
      <c r="E4" s="394"/>
      <c r="F4" s="394"/>
      <c r="G4" s="394"/>
      <c r="H4" s="395"/>
      <c r="I4" s="23" t="s">
        <v>4</v>
      </c>
      <c r="J4" s="83"/>
    </row>
    <row r="6" spans="1:10" x14ac:dyDescent="0.35">
      <c r="A6" s="83"/>
      <c r="B6" s="83" t="s">
        <v>5</v>
      </c>
      <c r="C6" s="83" t="s">
        <v>6</v>
      </c>
      <c r="D6" s="3" t="s">
        <v>7</v>
      </c>
      <c r="E6" s="83" t="s">
        <v>8</v>
      </c>
      <c r="F6" s="83"/>
      <c r="G6" s="83"/>
      <c r="H6" s="83"/>
      <c r="I6" s="83"/>
      <c r="J6" s="83"/>
    </row>
    <row r="7" spans="1:10" x14ac:dyDescent="0.35">
      <c r="A7" s="83"/>
      <c r="B7" s="3">
        <v>3564</v>
      </c>
      <c r="C7" s="26" t="s">
        <v>9</v>
      </c>
      <c r="D7" s="3" t="s">
        <v>10</v>
      </c>
      <c r="E7" s="83"/>
      <c r="F7" s="83"/>
      <c r="G7" s="83"/>
      <c r="H7" s="83"/>
      <c r="I7" s="83"/>
      <c r="J7" s="83"/>
    </row>
    <row r="8" spans="1:10" x14ac:dyDescent="0.35">
      <c r="A8" s="83"/>
      <c r="B8" s="3">
        <v>15899</v>
      </c>
      <c r="C8" s="26" t="s">
        <v>11</v>
      </c>
      <c r="D8" s="3" t="s">
        <v>10</v>
      </c>
      <c r="E8" s="83"/>
      <c r="F8" s="83"/>
      <c r="G8" s="83"/>
      <c r="H8" s="83"/>
      <c r="I8" s="83"/>
      <c r="J8" s="83"/>
    </row>
    <row r="9" spans="1:10" x14ac:dyDescent="0.35">
      <c r="A9" s="83"/>
      <c r="B9" s="3">
        <v>21233</v>
      </c>
      <c r="C9" s="26" t="s">
        <v>9</v>
      </c>
      <c r="D9" s="3" t="s">
        <v>10</v>
      </c>
      <c r="E9" s="83"/>
      <c r="F9" s="83"/>
      <c r="G9" s="83"/>
      <c r="H9" s="83"/>
      <c r="I9" s="83"/>
      <c r="J9" s="83"/>
    </row>
    <row r="10" spans="1:10" x14ac:dyDescent="0.35">
      <c r="A10" s="83"/>
      <c r="B10" s="3">
        <v>21249</v>
      </c>
      <c r="C10" s="26" t="s">
        <v>9</v>
      </c>
      <c r="D10" s="3"/>
      <c r="E10" s="83"/>
      <c r="F10" s="83"/>
      <c r="G10" s="83"/>
      <c r="H10" s="83"/>
      <c r="I10" s="83"/>
      <c r="J10" s="83"/>
    </row>
    <row r="11" spans="1:10" x14ac:dyDescent="0.35">
      <c r="A11" s="83"/>
      <c r="B11" s="20">
        <v>21849</v>
      </c>
      <c r="C11" s="26" t="s">
        <v>11</v>
      </c>
      <c r="D11" s="3"/>
      <c r="E11" s="83"/>
      <c r="F11" s="83"/>
      <c r="G11" s="83"/>
      <c r="H11" s="83"/>
      <c r="I11" s="83"/>
      <c r="J11" s="83"/>
    </row>
    <row r="12" spans="1:10" x14ac:dyDescent="0.35">
      <c r="A12" s="83"/>
      <c r="B12" s="3">
        <v>27010</v>
      </c>
      <c r="C12" s="26" t="s">
        <v>11</v>
      </c>
      <c r="D12" s="3"/>
      <c r="E12" s="83"/>
      <c r="F12" s="83"/>
      <c r="G12" s="83"/>
      <c r="H12" s="83"/>
      <c r="I12" s="83"/>
      <c r="J12" s="83"/>
    </row>
    <row r="13" spans="1:10" x14ac:dyDescent="0.35">
      <c r="A13" s="83"/>
      <c r="B13" s="3">
        <v>63806</v>
      </c>
      <c r="C13" s="26" t="s">
        <v>11</v>
      </c>
      <c r="D13" s="3"/>
      <c r="E13" s="83"/>
      <c r="F13" s="83"/>
      <c r="G13" s="83"/>
      <c r="H13" s="83"/>
      <c r="I13" s="83"/>
      <c r="J13" s="83"/>
    </row>
    <row r="14" spans="1:10" x14ac:dyDescent="0.35">
      <c r="A14" s="83"/>
      <c r="B14" s="20">
        <v>84225</v>
      </c>
      <c r="C14" s="26" t="s">
        <v>12</v>
      </c>
      <c r="D14" s="3"/>
      <c r="E14" s="83"/>
      <c r="F14" s="83" t="s">
        <v>13</v>
      </c>
      <c r="G14" s="83"/>
      <c r="H14" s="83"/>
      <c r="I14" s="83"/>
      <c r="J14" s="83"/>
    </row>
    <row r="15" spans="1:10" x14ac:dyDescent="0.35">
      <c r="A15" s="83"/>
      <c r="B15" s="3">
        <v>86683</v>
      </c>
      <c r="C15" s="26" t="s">
        <v>9</v>
      </c>
      <c r="D15" s="3"/>
      <c r="E15" s="83"/>
      <c r="F15" s="83" t="s">
        <v>13</v>
      </c>
      <c r="G15" s="83"/>
      <c r="H15" s="83"/>
      <c r="I15" s="83"/>
      <c r="J15" s="83" t="s">
        <v>13</v>
      </c>
    </row>
    <row r="16" spans="1:10" x14ac:dyDescent="0.35">
      <c r="A16" s="83"/>
      <c r="B16" s="20">
        <v>180138</v>
      </c>
      <c r="C16" s="26" t="s">
        <v>12</v>
      </c>
      <c r="D16" s="3"/>
      <c r="E16" s="83"/>
      <c r="F16" s="83"/>
      <c r="G16" s="83"/>
      <c r="H16" s="83"/>
      <c r="I16" s="83"/>
      <c r="J16" s="83"/>
    </row>
    <row r="17" spans="2:5" x14ac:dyDescent="0.35">
      <c r="B17" s="20">
        <v>192040</v>
      </c>
      <c r="C17" s="26" t="s">
        <v>12</v>
      </c>
      <c r="D17" s="3"/>
      <c r="E17" s="83"/>
    </row>
    <row r="18" spans="2:5" x14ac:dyDescent="0.35">
      <c r="B18" s="22">
        <v>626654</v>
      </c>
      <c r="C18" s="26" t="s">
        <v>12</v>
      </c>
      <c r="D18" s="3"/>
      <c r="E18" s="83"/>
    </row>
    <row r="19" spans="2:5" x14ac:dyDescent="0.35">
      <c r="B19" s="22">
        <v>626655</v>
      </c>
      <c r="C19" s="26" t="s">
        <v>12</v>
      </c>
      <c r="D19" s="3"/>
      <c r="E19" s="83"/>
    </row>
    <row r="20" spans="2:5" x14ac:dyDescent="0.35">
      <c r="B20" s="20">
        <v>1065662</v>
      </c>
      <c r="C20" s="26" t="s">
        <v>12</v>
      </c>
      <c r="D20" s="3"/>
      <c r="E20" s="83"/>
    </row>
    <row r="21" spans="2:5" x14ac:dyDescent="0.35">
      <c r="B21" s="20">
        <v>1167758</v>
      </c>
      <c r="C21" s="26" t="s">
        <v>12</v>
      </c>
      <c r="D21" s="3"/>
      <c r="E21" s="83"/>
    </row>
    <row r="22" spans="2:5" x14ac:dyDescent="0.35">
      <c r="B22" s="21">
        <v>1167915</v>
      </c>
      <c r="C22" s="26" t="s">
        <v>12</v>
      </c>
      <c r="D22" s="3"/>
      <c r="E22" s="83"/>
    </row>
    <row r="23" spans="2:5" x14ac:dyDescent="0.35">
      <c r="B23" s="20">
        <v>1239492</v>
      </c>
      <c r="C23" s="26" t="s">
        <v>12</v>
      </c>
      <c r="D23" s="3"/>
      <c r="E23" s="83"/>
    </row>
    <row r="24" spans="2:5" x14ac:dyDescent="0.35">
      <c r="B24" s="3">
        <v>1313485</v>
      </c>
      <c r="C24" s="26" t="s">
        <v>9</v>
      </c>
      <c r="D24" s="3"/>
      <c r="E24" s="83"/>
    </row>
    <row r="25" spans="2:5" x14ac:dyDescent="0.35">
      <c r="B25" s="20">
        <v>1515720</v>
      </c>
      <c r="C25" s="26" t="s">
        <v>12</v>
      </c>
      <c r="D25" s="3"/>
      <c r="E25" s="83"/>
    </row>
    <row r="26" spans="2:5" x14ac:dyDescent="0.35">
      <c r="B26" s="3">
        <v>1578389</v>
      </c>
      <c r="C26" s="26" t="s">
        <v>9</v>
      </c>
      <c r="D26" s="3"/>
      <c r="E26" s="83"/>
    </row>
    <row r="27" spans="2:5" x14ac:dyDescent="0.35">
      <c r="B27" s="22">
        <v>1986791</v>
      </c>
      <c r="C27" s="26" t="s">
        <v>12</v>
      </c>
      <c r="D27" s="3"/>
      <c r="E27" s="83" t="s">
        <v>13</v>
      </c>
    </row>
    <row r="28" spans="2:5" x14ac:dyDescent="0.35">
      <c r="B28" s="20">
        <v>3129860</v>
      </c>
      <c r="C28" s="26" t="s">
        <v>12</v>
      </c>
      <c r="D28" s="3"/>
      <c r="E28" s="83"/>
    </row>
    <row r="29" spans="2:5" x14ac:dyDescent="0.35">
      <c r="B29" s="3">
        <v>3648021</v>
      </c>
      <c r="C29" s="26" t="s">
        <v>12</v>
      </c>
      <c r="D29" s="3"/>
      <c r="E29" s="83"/>
    </row>
    <row r="30" spans="2:5" x14ac:dyDescent="0.35">
      <c r="B30" s="3">
        <v>4158385</v>
      </c>
      <c r="C30" s="26" t="s">
        <v>12</v>
      </c>
      <c r="D30" s="3"/>
      <c r="E30" s="83"/>
    </row>
    <row r="31" spans="2:5" x14ac:dyDescent="0.35">
      <c r="B31" s="3">
        <v>5113354</v>
      </c>
      <c r="C31" s="26" t="s">
        <v>12</v>
      </c>
      <c r="D31" s="3"/>
      <c r="E31" s="83"/>
    </row>
    <row r="32" spans="2:5" x14ac:dyDescent="0.35">
      <c r="B32" s="3">
        <v>5888126</v>
      </c>
      <c r="C32" s="26" t="s">
        <v>9</v>
      </c>
      <c r="D32" s="3"/>
      <c r="E32" s="83"/>
    </row>
    <row r="33" spans="2:4" x14ac:dyDescent="0.35">
      <c r="B33" s="3">
        <v>8048799</v>
      </c>
      <c r="C33" s="26" t="s">
        <v>9</v>
      </c>
      <c r="D33" s="3"/>
    </row>
    <row r="34" spans="2:4" x14ac:dyDescent="0.35">
      <c r="B34" s="3">
        <v>10602390</v>
      </c>
      <c r="C34" s="26" t="s">
        <v>9</v>
      </c>
      <c r="D34" s="3"/>
    </row>
    <row r="35" spans="2:4" x14ac:dyDescent="0.35">
      <c r="B35" s="3">
        <v>10602416</v>
      </c>
      <c r="C35" s="26" t="s">
        <v>9</v>
      </c>
      <c r="D35" s="3"/>
    </row>
    <row r="36" spans="2:4" x14ac:dyDescent="0.35">
      <c r="B36" s="3">
        <v>10602475</v>
      </c>
      <c r="C36" s="26" t="s">
        <v>9</v>
      </c>
      <c r="D36" s="3"/>
    </row>
    <row r="37" spans="2:4" x14ac:dyDescent="0.35">
      <c r="B37" s="3">
        <v>10602476</v>
      </c>
      <c r="C37" s="26" t="s">
        <v>9</v>
      </c>
      <c r="D37" s="3"/>
    </row>
    <row r="38" spans="2:4" x14ac:dyDescent="0.35">
      <c r="B38" s="3">
        <v>10602484</v>
      </c>
      <c r="C38" s="26" t="s">
        <v>9</v>
      </c>
      <c r="D38" s="3"/>
    </row>
    <row r="39" spans="2:4" x14ac:dyDescent="0.35">
      <c r="B39" s="3">
        <v>10602491</v>
      </c>
      <c r="C39" s="26" t="s">
        <v>9</v>
      </c>
      <c r="D39" s="3"/>
    </row>
    <row r="40" spans="2:4" x14ac:dyDescent="0.35">
      <c r="B40" s="3">
        <v>10605390</v>
      </c>
      <c r="C40" s="26" t="s">
        <v>9</v>
      </c>
      <c r="D40" s="3"/>
    </row>
    <row r="41" spans="2:4" x14ac:dyDescent="0.35">
      <c r="B41" s="3">
        <v>3870738</v>
      </c>
      <c r="C41" s="26" t="s">
        <v>14</v>
      </c>
      <c r="D41" s="3"/>
    </row>
    <row r="42" spans="2:4" x14ac:dyDescent="0.35">
      <c r="B42" s="3">
        <v>79029</v>
      </c>
      <c r="C42" s="26" t="s">
        <v>14</v>
      </c>
      <c r="D42" s="3"/>
    </row>
    <row r="43" spans="2:4" x14ac:dyDescent="0.35">
      <c r="B43" s="3">
        <v>80252</v>
      </c>
      <c r="C43" s="26" t="s">
        <v>14</v>
      </c>
      <c r="D43" s="3"/>
    </row>
    <row r="44" spans="2:4" x14ac:dyDescent="0.35">
      <c r="B44" s="3">
        <v>84225</v>
      </c>
      <c r="C44" s="26" t="s">
        <v>14</v>
      </c>
      <c r="D44" s="3"/>
    </row>
    <row r="45" spans="2:4" x14ac:dyDescent="0.35">
      <c r="B45" s="3">
        <v>492149</v>
      </c>
      <c r="C45" s="26" t="s">
        <v>14</v>
      </c>
      <c r="D45" s="3"/>
    </row>
    <row r="46" spans="2:4" x14ac:dyDescent="0.35">
      <c r="B46" s="3">
        <v>492150</v>
      </c>
      <c r="C46" s="26" t="s">
        <v>14</v>
      </c>
      <c r="D46" s="3"/>
    </row>
    <row r="47" spans="2:4" x14ac:dyDescent="0.35">
      <c r="B47" s="3">
        <v>626501</v>
      </c>
      <c r="C47" s="26" t="s">
        <v>14</v>
      </c>
      <c r="D47" s="3"/>
    </row>
    <row r="48" spans="2:4" x14ac:dyDescent="0.35">
      <c r="B48" s="3">
        <v>626501</v>
      </c>
      <c r="C48" s="26" t="s">
        <v>14</v>
      </c>
      <c r="D48" s="3"/>
    </row>
    <row r="49" spans="2:5" x14ac:dyDescent="0.35">
      <c r="B49" s="3">
        <v>626661</v>
      </c>
      <c r="C49" s="26" t="s">
        <v>14</v>
      </c>
      <c r="D49" s="3"/>
      <c r="E49" s="83"/>
    </row>
    <row r="50" spans="2:5" x14ac:dyDescent="0.35">
      <c r="B50" s="3">
        <v>626741</v>
      </c>
      <c r="C50" s="26" t="s">
        <v>14</v>
      </c>
      <c r="D50" s="3"/>
      <c r="E50" s="83"/>
    </row>
    <row r="51" spans="2:5" x14ac:dyDescent="0.35">
      <c r="B51" s="3">
        <v>626839</v>
      </c>
      <c r="C51" s="26" t="s">
        <v>14</v>
      </c>
      <c r="D51" s="3"/>
      <c r="E51" s="83"/>
    </row>
    <row r="52" spans="2:5" x14ac:dyDescent="0.35">
      <c r="B52" s="3">
        <v>1075984</v>
      </c>
      <c r="C52" s="26" t="s">
        <v>14</v>
      </c>
      <c r="D52" s="3"/>
      <c r="E52" s="83"/>
    </row>
    <row r="53" spans="2:5" x14ac:dyDescent="0.35">
      <c r="B53" s="3">
        <v>626082</v>
      </c>
      <c r="C53" s="26" t="s">
        <v>14</v>
      </c>
      <c r="D53" s="3"/>
      <c r="E53" s="83"/>
    </row>
    <row r="54" spans="2:5" x14ac:dyDescent="0.35">
      <c r="B54" s="3">
        <v>1080204</v>
      </c>
      <c r="C54" s="26" t="s">
        <v>14</v>
      </c>
      <c r="D54" s="3"/>
      <c r="E54" s="83"/>
    </row>
    <row r="55" spans="2:5" x14ac:dyDescent="0.35">
      <c r="B55" s="20">
        <v>1233809</v>
      </c>
      <c r="C55" s="26" t="s">
        <v>14</v>
      </c>
      <c r="D55" s="3"/>
      <c r="E55" s="83"/>
    </row>
    <row r="56" spans="2:5" x14ac:dyDescent="0.35">
      <c r="B56" s="3">
        <v>1316591</v>
      </c>
      <c r="C56" s="26" t="s">
        <v>14</v>
      </c>
      <c r="D56" s="3"/>
      <c r="E56" s="83"/>
    </row>
    <row r="57" spans="2:5" x14ac:dyDescent="0.35">
      <c r="B57" s="3">
        <v>1958980</v>
      </c>
      <c r="C57" s="26" t="s">
        <v>14</v>
      </c>
      <c r="D57" s="3"/>
      <c r="E57" s="83"/>
    </row>
    <row r="58" spans="2:5" x14ac:dyDescent="0.35">
      <c r="B58" s="3">
        <v>1988068</v>
      </c>
      <c r="C58" s="26" t="s">
        <v>14</v>
      </c>
      <c r="D58" s="3"/>
      <c r="E58" s="83"/>
    </row>
    <row r="59" spans="2:5" x14ac:dyDescent="0.35">
      <c r="B59" s="24">
        <v>2452680</v>
      </c>
      <c r="C59" s="26" t="s">
        <v>14</v>
      </c>
      <c r="D59" s="3"/>
      <c r="E59" s="83"/>
    </row>
    <row r="60" spans="2:5" x14ac:dyDescent="0.35">
      <c r="B60" s="3">
        <v>2526032</v>
      </c>
      <c r="C60" s="26" t="s">
        <v>14</v>
      </c>
      <c r="D60" s="3"/>
      <c r="E60" s="83"/>
    </row>
    <row r="61" spans="2:5" x14ac:dyDescent="0.35">
      <c r="B61" s="3">
        <v>3073235</v>
      </c>
      <c r="C61" s="26" t="s">
        <v>14</v>
      </c>
      <c r="D61" s="3"/>
      <c r="E61" s="83"/>
    </row>
    <row r="62" spans="2:5" x14ac:dyDescent="0.35">
      <c r="B62" s="3">
        <v>6064683</v>
      </c>
      <c r="C62" s="26" t="s">
        <v>14</v>
      </c>
      <c r="D62" s="3"/>
      <c r="E62" s="83"/>
    </row>
    <row r="63" spans="2:5" x14ac:dyDescent="0.35">
      <c r="B63" s="3">
        <v>192040</v>
      </c>
      <c r="C63" s="26" t="s">
        <v>14</v>
      </c>
      <c r="D63" s="3" t="s">
        <v>15</v>
      </c>
      <c r="E63" s="83" t="s">
        <v>16</v>
      </c>
    </row>
    <row r="64" spans="2:5" x14ac:dyDescent="0.35">
      <c r="B64" s="3">
        <v>4454115</v>
      </c>
      <c r="C64" s="26" t="s">
        <v>12</v>
      </c>
      <c r="D64" s="3" t="s">
        <v>10</v>
      </c>
      <c r="E64" s="83"/>
    </row>
    <row r="65" spans="2:5" x14ac:dyDescent="0.35">
      <c r="B65" s="3">
        <v>4271845</v>
      </c>
      <c r="C65" s="26" t="s">
        <v>14</v>
      </c>
      <c r="D65" s="3" t="s">
        <v>15</v>
      </c>
      <c r="E65" s="83" t="s">
        <v>17</v>
      </c>
    </row>
    <row r="66" spans="2:5" x14ac:dyDescent="0.35">
      <c r="B66" s="3">
        <v>4480770</v>
      </c>
      <c r="C66" s="26" t="s">
        <v>14</v>
      </c>
      <c r="D66" s="3"/>
      <c r="E66" s="83"/>
    </row>
    <row r="67" spans="2:5" x14ac:dyDescent="0.35">
      <c r="B67" s="3">
        <v>5947094</v>
      </c>
      <c r="C67" s="26" t="s">
        <v>14</v>
      </c>
      <c r="D67" s="3"/>
      <c r="E67" s="83"/>
    </row>
    <row r="68" spans="2:5" x14ac:dyDescent="0.35">
      <c r="B68" s="20">
        <v>626831</v>
      </c>
      <c r="C68" s="26" t="s">
        <v>14</v>
      </c>
      <c r="D68" s="3"/>
      <c r="E68" s="83"/>
    </row>
    <row r="69" spans="2:5" x14ac:dyDescent="0.35">
      <c r="B69" s="20">
        <v>5955419</v>
      </c>
      <c r="C69" s="26" t="s">
        <v>14</v>
      </c>
      <c r="D69" s="3"/>
      <c r="E69" s="83"/>
    </row>
    <row r="70" spans="2:5" x14ac:dyDescent="0.35">
      <c r="B70" s="20">
        <v>5947094</v>
      </c>
      <c r="C70" s="26" t="s">
        <v>14</v>
      </c>
      <c r="D70" s="3"/>
      <c r="E70" s="83"/>
    </row>
    <row r="71" spans="2:5" x14ac:dyDescent="0.35">
      <c r="B71" s="3">
        <v>1314048</v>
      </c>
      <c r="C71" s="26" t="s">
        <v>14</v>
      </c>
      <c r="D71" s="3"/>
      <c r="E71" s="83"/>
    </row>
    <row r="72" spans="2:5" x14ac:dyDescent="0.35">
      <c r="B72" s="20">
        <v>2600507</v>
      </c>
      <c r="C72" s="26" t="s">
        <v>14</v>
      </c>
      <c r="D72" s="3" t="s">
        <v>15</v>
      </c>
      <c r="E72" s="83" t="s">
        <v>18</v>
      </c>
    </row>
    <row r="73" spans="2:5" x14ac:dyDescent="0.35">
      <c r="B73" s="20">
        <v>3001287</v>
      </c>
      <c r="C73" s="26" t="s">
        <v>14</v>
      </c>
      <c r="D73" s="3"/>
      <c r="E73" s="83"/>
    </row>
    <row r="74" spans="2:5" ht="15.5" x14ac:dyDescent="0.35">
      <c r="B74" s="19">
        <v>93087</v>
      </c>
      <c r="C74" s="26" t="s">
        <v>19</v>
      </c>
      <c r="D74" s="3"/>
      <c r="E74" s="83"/>
    </row>
    <row r="75" spans="2:5" x14ac:dyDescent="0.35">
      <c r="B75" s="3">
        <v>1314047</v>
      </c>
      <c r="C75" s="26" t="s">
        <v>19</v>
      </c>
      <c r="D75" s="3"/>
      <c r="E75" s="83"/>
    </row>
    <row r="76" spans="2:5" x14ac:dyDescent="0.35">
      <c r="B76" s="3">
        <v>1314209</v>
      </c>
      <c r="C76" s="26" t="s">
        <v>19</v>
      </c>
      <c r="D76" s="3"/>
      <c r="E76" s="83"/>
    </row>
    <row r="77" spans="2:5" x14ac:dyDescent="0.35">
      <c r="B77" s="3">
        <v>1317223</v>
      </c>
      <c r="C77" s="26" t="s">
        <v>19</v>
      </c>
      <c r="D77" s="3"/>
      <c r="E77" s="83"/>
    </row>
    <row r="78" spans="2:5" x14ac:dyDescent="0.35">
      <c r="B78" s="3">
        <v>1314170</v>
      </c>
      <c r="C78" s="26" t="s">
        <v>19</v>
      </c>
      <c r="D78" s="3"/>
      <c r="E78" s="83"/>
    </row>
    <row r="79" spans="2:5" x14ac:dyDescent="0.35">
      <c r="B79" s="3">
        <v>3970604</v>
      </c>
      <c r="C79" s="26" t="s">
        <v>20</v>
      </c>
      <c r="D79" s="3"/>
      <c r="E79" s="83"/>
    </row>
    <row r="80" spans="2:5" x14ac:dyDescent="0.35">
      <c r="B80" s="3">
        <v>8802196</v>
      </c>
      <c r="C80" s="26" t="s">
        <v>21</v>
      </c>
      <c r="D80" s="3"/>
      <c r="E80" s="83"/>
    </row>
    <row r="81" spans="2:5" x14ac:dyDescent="0.35">
      <c r="B81" s="3">
        <v>4271845</v>
      </c>
      <c r="C81" s="26" t="s">
        <v>21</v>
      </c>
      <c r="D81" s="3" t="s">
        <v>15</v>
      </c>
      <c r="E81" s="83" t="s">
        <v>22</v>
      </c>
    </row>
    <row r="82" spans="2:5" x14ac:dyDescent="0.35">
      <c r="B82" s="3">
        <v>1317129</v>
      </c>
      <c r="C82" s="26" t="s">
        <v>21</v>
      </c>
      <c r="D82" s="3"/>
      <c r="E82" s="83"/>
    </row>
    <row r="83" spans="2:5" x14ac:dyDescent="0.35">
      <c r="B83" s="3">
        <v>1641552</v>
      </c>
      <c r="C83" s="26" t="s">
        <v>21</v>
      </c>
      <c r="D83" s="3"/>
      <c r="E83" s="83"/>
    </row>
    <row r="84" spans="2:5" x14ac:dyDescent="0.35">
      <c r="B84" s="3">
        <v>2600507</v>
      </c>
      <c r="C84" s="26" t="s">
        <v>21</v>
      </c>
      <c r="D84" s="3"/>
      <c r="E84" s="83"/>
    </row>
    <row r="85" spans="2:5" x14ac:dyDescent="0.35">
      <c r="B85" s="3">
        <v>4271845</v>
      </c>
      <c r="C85" s="26" t="s">
        <v>23</v>
      </c>
      <c r="D85" s="3" t="s">
        <v>15</v>
      </c>
      <c r="E85" s="83" t="s">
        <v>24</v>
      </c>
    </row>
    <row r="86" spans="2:5" x14ac:dyDescent="0.35">
      <c r="B86" s="3">
        <v>6638</v>
      </c>
      <c r="C86" s="26" t="s">
        <v>23</v>
      </c>
      <c r="D86" s="3"/>
      <c r="E86" s="83"/>
    </row>
    <row r="87" spans="2:5" x14ac:dyDescent="0.35">
      <c r="B87" s="3">
        <v>67399</v>
      </c>
      <c r="C87" s="26" t="s">
        <v>25</v>
      </c>
      <c r="D87" s="3"/>
      <c r="E87" s="83"/>
    </row>
    <row r="88" spans="2:5" x14ac:dyDescent="0.35">
      <c r="B88" s="27">
        <v>5956412</v>
      </c>
      <c r="C88" s="26" t="s">
        <v>23</v>
      </c>
      <c r="D88" s="3"/>
      <c r="E88" s="83"/>
    </row>
    <row r="89" spans="2:5" x14ac:dyDescent="0.35">
      <c r="B89" s="27">
        <v>2600507</v>
      </c>
      <c r="C89" s="26" t="s">
        <v>23</v>
      </c>
      <c r="D89" s="3"/>
      <c r="E89" s="83"/>
    </row>
    <row r="90" spans="2:5" x14ac:dyDescent="0.35">
      <c r="B90" s="3">
        <v>4794766</v>
      </c>
      <c r="C90" s="26" t="s">
        <v>20</v>
      </c>
      <c r="D90" s="3"/>
      <c r="E90" s="83"/>
    </row>
    <row r="91" spans="2:5" x14ac:dyDescent="0.35">
      <c r="B91" s="3">
        <v>4678855</v>
      </c>
      <c r="C91" s="26" t="s">
        <v>20</v>
      </c>
      <c r="D91" s="3"/>
      <c r="E91" s="83"/>
    </row>
    <row r="92" spans="2:5" x14ac:dyDescent="0.35">
      <c r="B92" s="3">
        <v>626530</v>
      </c>
      <c r="C92" s="26" t="s">
        <v>20</v>
      </c>
      <c r="D92" s="3"/>
      <c r="E92" s="83"/>
    </row>
    <row r="93" spans="2:5" x14ac:dyDescent="0.35">
      <c r="B93" s="3">
        <v>626531</v>
      </c>
      <c r="C93" s="26" t="s">
        <v>20</v>
      </c>
      <c r="D93" s="3"/>
      <c r="E93" s="83"/>
    </row>
    <row r="94" spans="2:5" x14ac:dyDescent="0.35">
      <c r="B94" s="3">
        <v>932312</v>
      </c>
      <c r="C94" s="26" t="s">
        <v>20</v>
      </c>
      <c r="D94" s="3"/>
      <c r="E94" s="83"/>
    </row>
    <row r="95" spans="2:5" x14ac:dyDescent="0.35">
      <c r="B95" s="3">
        <v>1222842</v>
      </c>
      <c r="C95" s="26" t="s">
        <v>20</v>
      </c>
      <c r="D95" s="3"/>
      <c r="E95" s="83"/>
    </row>
    <row r="96" spans="2:5" x14ac:dyDescent="0.35">
      <c r="B96" s="3">
        <v>1233809</v>
      </c>
      <c r="C96" s="26" t="s">
        <v>20</v>
      </c>
      <c r="D96" s="3"/>
      <c r="E96" s="83"/>
    </row>
    <row r="97" spans="2:5" x14ac:dyDescent="0.35">
      <c r="B97" s="3">
        <v>1254211</v>
      </c>
      <c r="C97" s="26" t="s">
        <v>20</v>
      </c>
      <c r="D97" s="3"/>
      <c r="E97" s="83"/>
    </row>
    <row r="98" spans="2:5" x14ac:dyDescent="0.35">
      <c r="B98" s="3">
        <v>1313651</v>
      </c>
      <c r="C98" s="26" t="s">
        <v>20</v>
      </c>
      <c r="D98" s="3"/>
      <c r="E98" s="83"/>
    </row>
    <row r="99" spans="2:5" x14ac:dyDescent="0.35">
      <c r="B99" s="3">
        <v>1477715</v>
      </c>
      <c r="C99" s="26" t="s">
        <v>20</v>
      </c>
      <c r="D99" s="3"/>
      <c r="E99" s="83"/>
    </row>
    <row r="100" spans="2:5" x14ac:dyDescent="0.35">
      <c r="B100" s="3">
        <v>1578389</v>
      </c>
      <c r="C100" s="26" t="s">
        <v>20</v>
      </c>
      <c r="D100" s="3"/>
      <c r="E100" s="83"/>
    </row>
    <row r="101" spans="2:5" x14ac:dyDescent="0.35">
      <c r="B101" s="3">
        <v>1579017</v>
      </c>
      <c r="C101" s="26" t="s">
        <v>20</v>
      </c>
      <c r="D101" s="3"/>
      <c r="E101" s="83"/>
    </row>
    <row r="102" spans="2:5" x14ac:dyDescent="0.35">
      <c r="B102" s="6">
        <v>1579019</v>
      </c>
      <c r="C102" s="26" t="s">
        <v>20</v>
      </c>
      <c r="D102" s="3"/>
      <c r="E102" s="83"/>
    </row>
    <row r="103" spans="2:5" x14ac:dyDescent="0.35">
      <c r="B103" s="6">
        <v>1628108</v>
      </c>
      <c r="C103" s="26" t="s">
        <v>20</v>
      </c>
      <c r="D103" s="3"/>
      <c r="E103" s="83"/>
    </row>
    <row r="104" spans="2:5" x14ac:dyDescent="0.35">
      <c r="B104" s="3">
        <v>3420607</v>
      </c>
      <c r="C104" s="26" t="s">
        <v>20</v>
      </c>
      <c r="D104" s="3"/>
      <c r="E104" s="83"/>
    </row>
    <row r="105" spans="2:5" x14ac:dyDescent="0.35">
      <c r="B105" s="3">
        <v>4453124</v>
      </c>
      <c r="C105" s="26" t="s">
        <v>20</v>
      </c>
      <c r="D105" s="3" t="s">
        <v>15</v>
      </c>
      <c r="E105" s="29" t="s">
        <v>26</v>
      </c>
    </row>
    <row r="106" spans="2:5" x14ac:dyDescent="0.35">
      <c r="B106" s="3">
        <v>4453129</v>
      </c>
      <c r="C106" s="26" t="s">
        <v>20</v>
      </c>
      <c r="D106" s="3"/>
      <c r="E106" s="83"/>
    </row>
    <row r="107" spans="2:5" x14ac:dyDescent="0.35">
      <c r="B107" s="6">
        <v>4455631</v>
      </c>
      <c r="C107" s="26" t="s">
        <v>20</v>
      </c>
      <c r="D107" s="3"/>
      <c r="E107" s="83"/>
    </row>
    <row r="108" spans="2:5" x14ac:dyDescent="0.35">
      <c r="B108" s="3">
        <v>8048989</v>
      </c>
      <c r="C108" s="26" t="s">
        <v>20</v>
      </c>
      <c r="D108" s="3"/>
      <c r="E108" s="83"/>
    </row>
    <row r="109" spans="2:5" x14ac:dyDescent="0.35">
      <c r="B109" s="3">
        <v>4679476</v>
      </c>
      <c r="C109" s="26" t="s">
        <v>20</v>
      </c>
      <c r="D109" s="3"/>
      <c r="E109" s="83"/>
    </row>
    <row r="110" spans="2:5" x14ac:dyDescent="0.35">
      <c r="B110" s="3">
        <v>4157290</v>
      </c>
      <c r="C110" s="26" t="s">
        <v>20</v>
      </c>
      <c r="D110" s="3"/>
      <c r="E110" s="83"/>
    </row>
    <row r="111" spans="2:5" x14ac:dyDescent="0.35">
      <c r="B111" s="3">
        <v>626839</v>
      </c>
      <c r="C111" s="26" t="s">
        <v>27</v>
      </c>
      <c r="D111" s="3"/>
      <c r="E111" s="83"/>
    </row>
    <row r="112" spans="2:5" x14ac:dyDescent="0.35">
      <c r="B112" s="3">
        <v>1793130</v>
      </c>
      <c r="C112" s="26" t="s">
        <v>27</v>
      </c>
      <c r="D112" s="3"/>
      <c r="E112" s="83"/>
    </row>
    <row r="113" spans="2:4" x14ac:dyDescent="0.35">
      <c r="B113" s="3">
        <v>192040</v>
      </c>
      <c r="C113" s="26" t="s">
        <v>27</v>
      </c>
      <c r="D113" s="3"/>
    </row>
    <row r="114" spans="2:4" x14ac:dyDescent="0.35">
      <c r="B114" s="3">
        <v>1041161</v>
      </c>
      <c r="C114" s="26" t="s">
        <v>27</v>
      </c>
      <c r="D114" s="3"/>
    </row>
    <row r="115" spans="2:4" x14ac:dyDescent="0.35">
      <c r="B115" s="3">
        <v>3072990</v>
      </c>
      <c r="C115" s="26" t="s">
        <v>28</v>
      </c>
      <c r="D115" s="3"/>
    </row>
    <row r="116" spans="2:4" x14ac:dyDescent="0.35">
      <c r="B116" s="3">
        <v>192040</v>
      </c>
      <c r="C116" s="26" t="s">
        <v>29</v>
      </c>
      <c r="D116" s="3"/>
    </row>
    <row r="117" spans="2:4" x14ac:dyDescent="0.35">
      <c r="B117" s="3">
        <v>626839</v>
      </c>
      <c r="C117" s="26" t="s">
        <v>29</v>
      </c>
      <c r="D117" s="3"/>
    </row>
    <row r="118" spans="2:4" x14ac:dyDescent="0.35">
      <c r="B118" s="12">
        <v>6152627</v>
      </c>
      <c r="C118" s="26" t="s">
        <v>29</v>
      </c>
      <c r="D118" s="3"/>
    </row>
    <row r="119" spans="2:4" x14ac:dyDescent="0.35">
      <c r="B119" s="6">
        <v>4454841</v>
      </c>
      <c r="C119" s="26" t="s">
        <v>30</v>
      </c>
      <c r="D119" s="3"/>
    </row>
    <row r="120" spans="2:4" x14ac:dyDescent="0.35">
      <c r="B120" s="3">
        <v>1041161</v>
      </c>
      <c r="C120" s="26" t="s">
        <v>30</v>
      </c>
      <c r="D120" s="3"/>
    </row>
    <row r="121" spans="2:4" x14ac:dyDescent="0.35">
      <c r="B121" s="3">
        <v>1319863</v>
      </c>
      <c r="C121" s="26" t="s">
        <v>30</v>
      </c>
      <c r="D121" s="3"/>
    </row>
    <row r="122" spans="2:4" x14ac:dyDescent="0.35">
      <c r="B122" s="3">
        <v>1513823</v>
      </c>
      <c r="C122" s="26" t="s">
        <v>30</v>
      </c>
      <c r="D122" s="3"/>
    </row>
    <row r="123" spans="2:4" x14ac:dyDescent="0.35">
      <c r="B123" s="3">
        <v>1986814</v>
      </c>
      <c r="C123" s="26" t="s">
        <v>30</v>
      </c>
      <c r="D123" s="3"/>
    </row>
    <row r="124" spans="2:4" x14ac:dyDescent="0.35">
      <c r="B124" s="3">
        <v>4271845</v>
      </c>
      <c r="C124" s="26" t="s">
        <v>30</v>
      </c>
      <c r="D124" s="3"/>
    </row>
    <row r="125" spans="2:4" x14ac:dyDescent="0.35">
      <c r="B125" s="3">
        <v>2600507</v>
      </c>
      <c r="C125" s="26" t="s">
        <v>30</v>
      </c>
      <c r="D125" s="3"/>
    </row>
    <row r="126" spans="2:4" x14ac:dyDescent="0.35">
      <c r="B126" s="3">
        <v>5975067</v>
      </c>
      <c r="C126" s="26" t="s">
        <v>30</v>
      </c>
      <c r="D126" s="3"/>
    </row>
    <row r="127" spans="2:4" x14ac:dyDescent="0.35">
      <c r="B127" s="6">
        <v>6022557</v>
      </c>
      <c r="C127" s="26" t="s">
        <v>30</v>
      </c>
      <c r="D127" s="3"/>
    </row>
    <row r="128" spans="2:4" x14ac:dyDescent="0.35">
      <c r="B128" s="6">
        <v>2849798</v>
      </c>
      <c r="C128" s="26" t="s">
        <v>30</v>
      </c>
      <c r="D128" s="3"/>
    </row>
    <row r="129" spans="2:4" x14ac:dyDescent="0.35">
      <c r="B129" s="6">
        <v>1234591</v>
      </c>
      <c r="C129" s="26" t="s">
        <v>31</v>
      </c>
      <c r="D129" s="3"/>
    </row>
    <row r="130" spans="2:4" x14ac:dyDescent="0.35">
      <c r="B130" s="6">
        <v>3603006</v>
      </c>
      <c r="C130" s="26" t="s">
        <v>31</v>
      </c>
      <c r="D130" s="3"/>
    </row>
    <row r="131" spans="2:4" x14ac:dyDescent="0.35">
      <c r="B131" s="6">
        <v>1793130</v>
      </c>
      <c r="C131" s="26" t="s">
        <v>31</v>
      </c>
      <c r="D131" s="3"/>
    </row>
    <row r="132" spans="2:4" x14ac:dyDescent="0.35">
      <c r="B132" s="6">
        <v>1510695</v>
      </c>
      <c r="C132" s="26" t="s">
        <v>31</v>
      </c>
      <c r="D132" s="3"/>
    </row>
    <row r="133" spans="2:4" x14ac:dyDescent="0.35">
      <c r="B133" s="6">
        <v>3420798</v>
      </c>
      <c r="C133" s="26" t="s">
        <v>31</v>
      </c>
      <c r="D133" s="3"/>
    </row>
    <row r="134" spans="2:4" x14ac:dyDescent="0.35">
      <c r="B134" s="6">
        <v>524541</v>
      </c>
      <c r="C134" s="26" t="s">
        <v>32</v>
      </c>
      <c r="D134" s="3"/>
    </row>
    <row r="135" spans="2:4" x14ac:dyDescent="0.35">
      <c r="B135" s="6">
        <v>6179475</v>
      </c>
      <c r="C135" s="26" t="s">
        <v>33</v>
      </c>
      <c r="D135" s="3"/>
    </row>
    <row r="136" spans="2:4" x14ac:dyDescent="0.35">
      <c r="B136" s="3">
        <v>4030925</v>
      </c>
      <c r="C136" s="26" t="s">
        <v>33</v>
      </c>
      <c r="D136" s="3"/>
    </row>
    <row r="137" spans="2:4" x14ac:dyDescent="0.35">
      <c r="B137" s="6">
        <v>2600507</v>
      </c>
      <c r="C137" s="26" t="s">
        <v>33</v>
      </c>
      <c r="D137" s="3"/>
    </row>
    <row r="138" spans="2:4" x14ac:dyDescent="0.35">
      <c r="B138" s="6">
        <v>1318480</v>
      </c>
      <c r="C138" s="26" t="s">
        <v>34</v>
      </c>
      <c r="D138" s="3"/>
    </row>
    <row r="139" spans="2:4" x14ac:dyDescent="0.35">
      <c r="B139" s="6">
        <v>5943728</v>
      </c>
      <c r="C139" s="6" t="s">
        <v>35</v>
      </c>
      <c r="D139" s="3"/>
    </row>
    <row r="140" spans="2:4" x14ac:dyDescent="0.35">
      <c r="B140" s="3">
        <v>192040</v>
      </c>
      <c r="C140" s="26" t="s">
        <v>35</v>
      </c>
      <c r="D140" s="3"/>
    </row>
    <row r="141" spans="2:4" x14ac:dyDescent="0.35">
      <c r="B141" s="27">
        <v>1313413</v>
      </c>
      <c r="C141" s="26" t="s">
        <v>35</v>
      </c>
      <c r="D141" s="3"/>
    </row>
    <row r="142" spans="2:4" x14ac:dyDescent="0.35">
      <c r="B142" s="6">
        <v>1313574</v>
      </c>
      <c r="C142" s="26" t="s">
        <v>35</v>
      </c>
      <c r="D142" s="3"/>
    </row>
    <row r="143" spans="2:4" x14ac:dyDescent="0.35">
      <c r="B143" s="32" t="s">
        <v>36</v>
      </c>
      <c r="C143" s="26" t="s">
        <v>12</v>
      </c>
      <c r="D143" s="3" t="s">
        <v>10</v>
      </c>
    </row>
    <row r="144" spans="2:4" x14ac:dyDescent="0.35">
      <c r="B144" s="3">
        <v>5348397</v>
      </c>
      <c r="C144" s="26" t="s">
        <v>12</v>
      </c>
      <c r="D144" s="3" t="s">
        <v>10</v>
      </c>
    </row>
    <row r="145" spans="2:5" x14ac:dyDescent="0.35">
      <c r="B145" s="3">
        <v>1314358</v>
      </c>
      <c r="C145" s="26" t="s">
        <v>12</v>
      </c>
      <c r="D145" s="3" t="s">
        <v>15</v>
      </c>
      <c r="E145" s="83" t="s">
        <v>37</v>
      </c>
    </row>
    <row r="146" spans="2:5" x14ac:dyDescent="0.35">
      <c r="B146" s="3">
        <v>1317161</v>
      </c>
      <c r="C146" s="26" t="s">
        <v>35</v>
      </c>
      <c r="D146" s="3"/>
      <c r="E146" s="83"/>
    </row>
    <row r="147" spans="2:5" x14ac:dyDescent="0.35">
      <c r="B147" s="3">
        <v>1317705</v>
      </c>
      <c r="C147" s="26" t="s">
        <v>38</v>
      </c>
      <c r="D147" s="3"/>
      <c r="E147" s="83"/>
    </row>
    <row r="148" spans="2:5" x14ac:dyDescent="0.35">
      <c r="B148" s="6">
        <v>3863942</v>
      </c>
      <c r="C148" s="26" t="s">
        <v>35</v>
      </c>
      <c r="D148" s="3"/>
      <c r="E148" s="83"/>
    </row>
    <row r="149" spans="2:5" x14ac:dyDescent="0.35">
      <c r="B149" s="6">
        <v>8048635</v>
      </c>
      <c r="C149" s="26" t="s">
        <v>35</v>
      </c>
      <c r="D149" s="3"/>
      <c r="E149" s="83"/>
    </row>
    <row r="150" spans="2:5" x14ac:dyDescent="0.35">
      <c r="B150" s="6">
        <v>1614018</v>
      </c>
      <c r="C150" s="26" t="s">
        <v>35</v>
      </c>
      <c r="D150" s="3"/>
      <c r="E150" s="83"/>
    </row>
    <row r="151" spans="2:5" x14ac:dyDescent="0.35">
      <c r="B151" s="6">
        <v>5975067</v>
      </c>
      <c r="C151" s="26" t="s">
        <v>39</v>
      </c>
      <c r="D151" s="3"/>
      <c r="E151" s="83"/>
    </row>
    <row r="152" spans="2:5" x14ac:dyDescent="0.35">
      <c r="B152" s="6">
        <v>1989125</v>
      </c>
      <c r="C152" s="26" t="s">
        <v>35</v>
      </c>
      <c r="D152" s="3"/>
      <c r="E152" s="83"/>
    </row>
    <row r="153" spans="2:5" x14ac:dyDescent="0.35">
      <c r="B153" s="6">
        <v>5951448</v>
      </c>
      <c r="C153" s="26" t="s">
        <v>40</v>
      </c>
      <c r="D153" s="3"/>
      <c r="E153" s="83"/>
    </row>
    <row r="154" spans="2:5" x14ac:dyDescent="0.35">
      <c r="B154" s="6">
        <v>1013846</v>
      </c>
      <c r="C154" s="26" t="s">
        <v>40</v>
      </c>
      <c r="D154" s="3"/>
      <c r="E154" s="83"/>
    </row>
    <row r="155" spans="2:5" x14ac:dyDescent="0.35">
      <c r="B155" s="6">
        <v>1058107</v>
      </c>
      <c r="C155" s="26" t="s">
        <v>40</v>
      </c>
      <c r="D155" s="3"/>
      <c r="E155" s="83"/>
    </row>
    <row r="156" spans="2:5" x14ac:dyDescent="0.35">
      <c r="B156" s="6">
        <v>1956938</v>
      </c>
      <c r="C156" s="26" t="s">
        <v>40</v>
      </c>
      <c r="D156" s="3"/>
      <c r="E156" s="83"/>
    </row>
    <row r="157" spans="2:5" x14ac:dyDescent="0.35">
      <c r="B157" s="6">
        <v>2858419</v>
      </c>
      <c r="C157" s="26" t="s">
        <v>40</v>
      </c>
      <c r="D157" s="3"/>
      <c r="E157" s="83"/>
    </row>
    <row r="158" spans="2:5" x14ac:dyDescent="0.35">
      <c r="B158" s="6">
        <v>10602380</v>
      </c>
      <c r="C158" s="26" t="s">
        <v>41</v>
      </c>
      <c r="D158" s="3" t="s">
        <v>10</v>
      </c>
      <c r="E158" s="83"/>
    </row>
    <row r="159" spans="2:5" x14ac:dyDescent="0.35">
      <c r="B159" s="6">
        <v>6252277</v>
      </c>
      <c r="C159" s="26" t="s">
        <v>40</v>
      </c>
      <c r="D159" s="3"/>
      <c r="E159" s="83"/>
    </row>
    <row r="160" spans="2:5" x14ac:dyDescent="0.35">
      <c r="B160" s="20">
        <v>626137</v>
      </c>
      <c r="C160" s="26" t="s">
        <v>9</v>
      </c>
      <c r="D160" s="3" t="s">
        <v>15</v>
      </c>
      <c r="E160" s="83" t="s">
        <v>20</v>
      </c>
    </row>
    <row r="161" spans="2:4" x14ac:dyDescent="0.35">
      <c r="B161" s="6">
        <v>3421340</v>
      </c>
      <c r="C161" s="26" t="s">
        <v>42</v>
      </c>
      <c r="D161" s="3" t="s">
        <v>10</v>
      </c>
    </row>
    <row r="162" spans="2:4" x14ac:dyDescent="0.35">
      <c r="B162" s="3"/>
      <c r="C162" s="26"/>
      <c r="D162" s="3"/>
    </row>
    <row r="163" spans="2:4" x14ac:dyDescent="0.35">
      <c r="B163" s="3"/>
      <c r="C163" s="26"/>
      <c r="D163" s="3"/>
    </row>
    <row r="164" spans="2:4" x14ac:dyDescent="0.35">
      <c r="B164" s="3"/>
      <c r="C164" s="26"/>
      <c r="D164" s="3"/>
    </row>
    <row r="165" spans="2:4" x14ac:dyDescent="0.35">
      <c r="B165" s="3"/>
      <c r="C165" s="26"/>
      <c r="D165" s="3"/>
    </row>
    <row r="166" spans="2:4" x14ac:dyDescent="0.35">
      <c r="B166" s="3"/>
      <c r="C166" s="26"/>
      <c r="D166" s="3"/>
    </row>
    <row r="167" spans="2:4" x14ac:dyDescent="0.35">
      <c r="B167" s="3"/>
      <c r="C167" s="26"/>
      <c r="D167" s="3"/>
    </row>
    <row r="168" spans="2:4" x14ac:dyDescent="0.35">
      <c r="B168" s="3"/>
      <c r="C168" s="26"/>
      <c r="D168" s="3"/>
    </row>
    <row r="169" spans="2:4" x14ac:dyDescent="0.35">
      <c r="B169" s="3"/>
      <c r="C169" s="26"/>
      <c r="D169" s="3"/>
    </row>
    <row r="170" spans="2:4" x14ac:dyDescent="0.35">
      <c r="B170" s="3"/>
      <c r="C170" s="26"/>
      <c r="D170" s="3"/>
    </row>
    <row r="171" spans="2:4" x14ac:dyDescent="0.35">
      <c r="B171" s="3"/>
      <c r="C171" s="26"/>
      <c r="D171" s="3"/>
    </row>
    <row r="172" spans="2:4" x14ac:dyDescent="0.35">
      <c r="B172" s="3"/>
      <c r="C172" s="26"/>
      <c r="D172" s="3"/>
    </row>
    <row r="173" spans="2:4" x14ac:dyDescent="0.35">
      <c r="B173" s="3"/>
      <c r="C173" s="26"/>
      <c r="D173" s="3"/>
    </row>
    <row r="174" spans="2:4" x14ac:dyDescent="0.35">
      <c r="B174" s="3"/>
      <c r="C174" s="26"/>
      <c r="D174" s="3"/>
    </row>
    <row r="175" spans="2:4" x14ac:dyDescent="0.35">
      <c r="B175" s="3"/>
      <c r="C175" s="26"/>
      <c r="D175" s="3"/>
    </row>
    <row r="176" spans="2:4" x14ac:dyDescent="0.35">
      <c r="B176" s="3"/>
      <c r="C176" s="26"/>
      <c r="D176" s="3"/>
    </row>
    <row r="177" spans="2:4" x14ac:dyDescent="0.35">
      <c r="B177" s="3"/>
      <c r="C177" s="26"/>
      <c r="D177" s="3"/>
    </row>
    <row r="178" spans="2:4" x14ac:dyDescent="0.35">
      <c r="B178" s="3"/>
      <c r="C178" s="26"/>
      <c r="D178" s="3"/>
    </row>
    <row r="179" spans="2:4" x14ac:dyDescent="0.35">
      <c r="B179" s="3"/>
      <c r="C179" s="26"/>
      <c r="D179" s="3"/>
    </row>
    <row r="180" spans="2:4" x14ac:dyDescent="0.35">
      <c r="B180" s="3"/>
      <c r="C180" s="26"/>
      <c r="D180" s="3"/>
    </row>
    <row r="181" spans="2:4" x14ac:dyDescent="0.35">
      <c r="B181" s="3"/>
      <c r="C181" s="26"/>
      <c r="D181" s="3"/>
    </row>
    <row r="182" spans="2:4" x14ac:dyDescent="0.35">
      <c r="B182" s="3"/>
      <c r="C182" s="26"/>
      <c r="D182" s="3"/>
    </row>
    <row r="183" spans="2:4" x14ac:dyDescent="0.35">
      <c r="B183" s="3"/>
      <c r="C183" s="26"/>
      <c r="D183" s="3"/>
    </row>
    <row r="184" spans="2:4" x14ac:dyDescent="0.35">
      <c r="B184" s="3"/>
      <c r="C184" s="26"/>
      <c r="D184" s="3"/>
    </row>
    <row r="185" spans="2:4" x14ac:dyDescent="0.35">
      <c r="B185" s="3"/>
      <c r="C185" s="26"/>
      <c r="D185" s="3"/>
    </row>
    <row r="186" spans="2:4" x14ac:dyDescent="0.35">
      <c r="B186" s="3"/>
      <c r="C186" s="26"/>
      <c r="D186" s="3"/>
    </row>
    <row r="187" spans="2:4" x14ac:dyDescent="0.35">
      <c r="B187" s="3"/>
      <c r="C187" s="26"/>
      <c r="D187" s="3"/>
    </row>
    <row r="188" spans="2:4" x14ac:dyDescent="0.35">
      <c r="B188" s="3"/>
      <c r="C188" s="26"/>
      <c r="D188" s="3"/>
    </row>
    <row r="189" spans="2:4" x14ac:dyDescent="0.35">
      <c r="B189" s="3"/>
      <c r="C189" s="26"/>
      <c r="D189" s="3"/>
    </row>
    <row r="190" spans="2:4" x14ac:dyDescent="0.35">
      <c r="B190" s="3"/>
      <c r="C190" s="26"/>
      <c r="D190" s="3"/>
    </row>
    <row r="191" spans="2:4" x14ac:dyDescent="0.35">
      <c r="B191" s="3"/>
      <c r="C191" s="26"/>
      <c r="D191" s="3"/>
    </row>
    <row r="192" spans="2:4" x14ac:dyDescent="0.35">
      <c r="B192" s="3"/>
      <c r="C192" s="26"/>
      <c r="D192" s="3"/>
    </row>
    <row r="193" spans="2:4" x14ac:dyDescent="0.35">
      <c r="B193" s="3"/>
      <c r="C193" s="26"/>
      <c r="D193" s="3"/>
    </row>
    <row r="194" spans="2:4" x14ac:dyDescent="0.35">
      <c r="B194" s="3"/>
      <c r="C194" s="26"/>
      <c r="D194" s="3"/>
    </row>
    <row r="195" spans="2:4" x14ac:dyDescent="0.35">
      <c r="B195" s="3"/>
      <c r="C195" s="26"/>
      <c r="D195" s="3"/>
    </row>
    <row r="196" spans="2:4" x14ac:dyDescent="0.35">
      <c r="B196" s="3"/>
      <c r="C196" s="26"/>
      <c r="D196" s="3"/>
    </row>
    <row r="197" spans="2:4" x14ac:dyDescent="0.35">
      <c r="B197" s="3"/>
      <c r="C197" s="26"/>
      <c r="D197" s="3"/>
    </row>
    <row r="198" spans="2:4" x14ac:dyDescent="0.35">
      <c r="B198" s="3"/>
      <c r="C198" s="26"/>
      <c r="D198" s="3"/>
    </row>
    <row r="199" spans="2:4" x14ac:dyDescent="0.35">
      <c r="B199" s="3"/>
      <c r="C199" s="26"/>
      <c r="D199" s="3"/>
    </row>
    <row r="200" spans="2:4" x14ac:dyDescent="0.35">
      <c r="B200" s="3"/>
      <c r="C200" s="26"/>
      <c r="D200" s="3"/>
    </row>
    <row r="201" spans="2:4" x14ac:dyDescent="0.35">
      <c r="B201" s="3"/>
      <c r="C201" s="26"/>
      <c r="D201" s="3"/>
    </row>
    <row r="202" spans="2:4" x14ac:dyDescent="0.35">
      <c r="B202" s="3"/>
      <c r="C202" s="26"/>
      <c r="D202" s="3"/>
    </row>
    <row r="203" spans="2:4" x14ac:dyDescent="0.35">
      <c r="B203" s="3"/>
      <c r="C203" s="26"/>
      <c r="D203" s="3"/>
    </row>
    <row r="204" spans="2:4" x14ac:dyDescent="0.35">
      <c r="B204" s="3"/>
      <c r="C204" s="26"/>
      <c r="D204" s="3"/>
    </row>
    <row r="205" spans="2:4" x14ac:dyDescent="0.35">
      <c r="B205" s="3"/>
      <c r="C205" s="26"/>
      <c r="D205" s="3"/>
    </row>
    <row r="206" spans="2:4" x14ac:dyDescent="0.35">
      <c r="B206" s="3"/>
      <c r="C206" s="26"/>
      <c r="D206" s="3"/>
    </row>
    <row r="207" spans="2:4" x14ac:dyDescent="0.35">
      <c r="B207" s="3"/>
      <c r="C207" s="26"/>
      <c r="D207" s="3"/>
    </row>
    <row r="208" spans="2:4" x14ac:dyDescent="0.35">
      <c r="B208" s="3"/>
      <c r="C208" s="26"/>
      <c r="D208" s="3"/>
    </row>
    <row r="209" spans="2:4" x14ac:dyDescent="0.35">
      <c r="B209" s="3"/>
      <c r="C209" s="26"/>
      <c r="D209" s="3"/>
    </row>
    <row r="210" spans="2:4" x14ac:dyDescent="0.35">
      <c r="B210" s="3"/>
      <c r="C210" s="26"/>
      <c r="D210" s="3"/>
    </row>
    <row r="211" spans="2:4" x14ac:dyDescent="0.35">
      <c r="B211" s="3"/>
      <c r="C211" s="26"/>
      <c r="D211" s="3"/>
    </row>
    <row r="212" spans="2:4" x14ac:dyDescent="0.35">
      <c r="B212" s="3"/>
      <c r="C212" s="26"/>
      <c r="D212" s="3"/>
    </row>
    <row r="213" spans="2:4" x14ac:dyDescent="0.35">
      <c r="B213" s="3"/>
      <c r="C213" s="26"/>
      <c r="D213" s="3"/>
    </row>
    <row r="214" spans="2:4" x14ac:dyDescent="0.35">
      <c r="B214" s="3"/>
      <c r="C214" s="26"/>
      <c r="D214" s="3"/>
    </row>
    <row r="215" spans="2:4" x14ac:dyDescent="0.35">
      <c r="B215" s="3"/>
      <c r="C215" s="26"/>
      <c r="D215" s="3"/>
    </row>
    <row r="216" spans="2:4" x14ac:dyDescent="0.35">
      <c r="B216" s="3"/>
      <c r="C216" s="26"/>
      <c r="D216" s="3"/>
    </row>
    <row r="217" spans="2:4" x14ac:dyDescent="0.35">
      <c r="B217" s="3"/>
      <c r="C217" s="26"/>
      <c r="D217" s="3"/>
    </row>
    <row r="218" spans="2:4" x14ac:dyDescent="0.35">
      <c r="B218" s="3"/>
      <c r="C218" s="26"/>
      <c r="D218" s="3"/>
    </row>
    <row r="219" spans="2:4" x14ac:dyDescent="0.35">
      <c r="B219" s="3"/>
      <c r="C219" s="26"/>
      <c r="D219" s="3"/>
    </row>
    <row r="220" spans="2:4" x14ac:dyDescent="0.35">
      <c r="B220" s="3"/>
      <c r="C220" s="26"/>
      <c r="D220" s="3"/>
    </row>
    <row r="221" spans="2:4" x14ac:dyDescent="0.35">
      <c r="B221" s="3"/>
      <c r="C221" s="26"/>
      <c r="D221" s="3"/>
    </row>
    <row r="222" spans="2:4" x14ac:dyDescent="0.35">
      <c r="B222" s="3"/>
      <c r="C222" s="26"/>
      <c r="D222" s="3"/>
    </row>
    <row r="223" spans="2:4" x14ac:dyDescent="0.35">
      <c r="B223" s="3"/>
      <c r="C223" s="26"/>
      <c r="D223" s="3"/>
    </row>
    <row r="224" spans="2:4" x14ac:dyDescent="0.35">
      <c r="B224" s="3"/>
      <c r="C224" s="26"/>
      <c r="D224" s="3"/>
    </row>
    <row r="225" spans="2:4" x14ac:dyDescent="0.35">
      <c r="B225" s="3"/>
      <c r="C225" s="26"/>
      <c r="D225" s="3"/>
    </row>
    <row r="226" spans="2:4" x14ac:dyDescent="0.35">
      <c r="B226" s="3"/>
      <c r="C226" s="26"/>
      <c r="D226" s="3"/>
    </row>
    <row r="227" spans="2:4" x14ac:dyDescent="0.35">
      <c r="B227" s="3"/>
      <c r="C227" s="26"/>
      <c r="D227" s="3"/>
    </row>
    <row r="228" spans="2:4" x14ac:dyDescent="0.35">
      <c r="B228" s="3"/>
      <c r="C228" s="26"/>
      <c r="D228" s="3"/>
    </row>
    <row r="229" spans="2:4" x14ac:dyDescent="0.35">
      <c r="B229" s="3"/>
      <c r="C229" s="26"/>
      <c r="D229" s="3"/>
    </row>
    <row r="230" spans="2:4" x14ac:dyDescent="0.35">
      <c r="B230" s="3"/>
      <c r="C230" s="26"/>
      <c r="D230" s="3"/>
    </row>
    <row r="231" spans="2:4" x14ac:dyDescent="0.35">
      <c r="B231" s="3"/>
      <c r="C231" s="26"/>
      <c r="D231" s="3"/>
    </row>
    <row r="232" spans="2:4" x14ac:dyDescent="0.35">
      <c r="B232" s="3"/>
      <c r="C232" s="26"/>
      <c r="D232" s="3"/>
    </row>
    <row r="233" spans="2:4" x14ac:dyDescent="0.35">
      <c r="B233" s="3"/>
      <c r="C233" s="26"/>
      <c r="D233" s="3"/>
    </row>
    <row r="234" spans="2:4" x14ac:dyDescent="0.35">
      <c r="B234" s="3"/>
      <c r="C234" s="26"/>
      <c r="D234" s="3"/>
    </row>
    <row r="235" spans="2:4" x14ac:dyDescent="0.35">
      <c r="B235" s="3"/>
      <c r="C235" s="26"/>
      <c r="D235" s="3"/>
    </row>
    <row r="236" spans="2:4" x14ac:dyDescent="0.35">
      <c r="B236" s="3"/>
      <c r="C236" s="26"/>
      <c r="D236" s="3"/>
    </row>
    <row r="237" spans="2:4" x14ac:dyDescent="0.35">
      <c r="B237" s="3"/>
      <c r="C237" s="26"/>
      <c r="D237" s="3"/>
    </row>
    <row r="238" spans="2:4" x14ac:dyDescent="0.35">
      <c r="B238" s="3"/>
      <c r="C238" s="26"/>
      <c r="D238" s="3"/>
    </row>
    <row r="239" spans="2:4" x14ac:dyDescent="0.35">
      <c r="B239" s="3"/>
      <c r="C239" s="26"/>
      <c r="D239" s="3"/>
    </row>
    <row r="240" spans="2:4" x14ac:dyDescent="0.35">
      <c r="B240" s="3"/>
      <c r="C240" s="26"/>
      <c r="D240" s="3"/>
    </row>
    <row r="241" spans="2:4" x14ac:dyDescent="0.35">
      <c r="B241" s="3"/>
      <c r="C241" s="26"/>
      <c r="D241" s="3"/>
    </row>
    <row r="242" spans="2:4" x14ac:dyDescent="0.35">
      <c r="B242" s="3"/>
      <c r="C242" s="26"/>
      <c r="D242" s="3"/>
    </row>
    <row r="243" spans="2:4" x14ac:dyDescent="0.35">
      <c r="B243" s="3"/>
      <c r="C243" s="26"/>
      <c r="D243" s="3"/>
    </row>
    <row r="244" spans="2:4" x14ac:dyDescent="0.35">
      <c r="B244" s="3"/>
      <c r="C244" s="26"/>
      <c r="D244" s="3"/>
    </row>
    <row r="245" spans="2:4" x14ac:dyDescent="0.35">
      <c r="B245" s="3"/>
      <c r="C245" s="26"/>
      <c r="D245" s="3"/>
    </row>
    <row r="246" spans="2:4" x14ac:dyDescent="0.35">
      <c r="B246" s="3"/>
      <c r="C246" s="26"/>
      <c r="D246" s="3"/>
    </row>
    <row r="247" spans="2:4" x14ac:dyDescent="0.35">
      <c r="B247" s="3"/>
      <c r="C247" s="26"/>
      <c r="D247" s="3"/>
    </row>
    <row r="248" spans="2:4" x14ac:dyDescent="0.35">
      <c r="B248" s="3"/>
      <c r="C248" s="26"/>
      <c r="D248" s="3"/>
    </row>
    <row r="249" spans="2:4" x14ac:dyDescent="0.35">
      <c r="B249" s="3"/>
      <c r="C249" s="26"/>
      <c r="D249" s="3"/>
    </row>
    <row r="250" spans="2:4" x14ac:dyDescent="0.35">
      <c r="B250" s="3"/>
      <c r="C250" s="26"/>
      <c r="D250" s="3"/>
    </row>
    <row r="251" spans="2:4" x14ac:dyDescent="0.35">
      <c r="B251" s="3"/>
      <c r="C251" s="26"/>
      <c r="D251" s="3"/>
    </row>
    <row r="252" spans="2:4" x14ac:dyDescent="0.35">
      <c r="B252" s="3"/>
      <c r="C252" s="26"/>
      <c r="D252" s="3"/>
    </row>
    <row r="253" spans="2:4" x14ac:dyDescent="0.35">
      <c r="B253" s="3"/>
      <c r="C253" s="26"/>
      <c r="D253" s="3"/>
    </row>
    <row r="254" spans="2:4" x14ac:dyDescent="0.35">
      <c r="B254" s="3"/>
      <c r="C254" s="26"/>
      <c r="D254" s="3"/>
    </row>
    <row r="255" spans="2:4" x14ac:dyDescent="0.35">
      <c r="B255" s="3"/>
      <c r="C255" s="26"/>
      <c r="D255" s="3"/>
    </row>
    <row r="256" spans="2:4" x14ac:dyDescent="0.35">
      <c r="B256" s="3"/>
      <c r="C256" s="26"/>
      <c r="D256" s="3"/>
    </row>
    <row r="257" spans="2:4" x14ac:dyDescent="0.35">
      <c r="B257" s="3"/>
      <c r="C257" s="26"/>
      <c r="D257" s="3"/>
    </row>
    <row r="258" spans="2:4" x14ac:dyDescent="0.35">
      <c r="B258" s="3"/>
      <c r="C258" s="26"/>
      <c r="D258" s="3"/>
    </row>
    <row r="259" spans="2:4" x14ac:dyDescent="0.35">
      <c r="B259" s="3"/>
      <c r="C259" s="26"/>
      <c r="D259" s="3"/>
    </row>
    <row r="260" spans="2:4" x14ac:dyDescent="0.35">
      <c r="B260" s="3"/>
      <c r="C260" s="26"/>
      <c r="D260" s="3"/>
    </row>
    <row r="261" spans="2:4" x14ac:dyDescent="0.35">
      <c r="B261" s="3"/>
      <c r="C261" s="26"/>
      <c r="D261" s="3"/>
    </row>
    <row r="262" spans="2:4" x14ac:dyDescent="0.35">
      <c r="B262" s="3"/>
      <c r="C262" s="26"/>
      <c r="D262" s="3"/>
    </row>
    <row r="263" spans="2:4" x14ac:dyDescent="0.35">
      <c r="B263" s="3"/>
      <c r="C263" s="26"/>
      <c r="D263" s="3"/>
    </row>
    <row r="264" spans="2:4" x14ac:dyDescent="0.35">
      <c r="B264" s="3"/>
      <c r="C264" s="26"/>
      <c r="D264" s="3"/>
    </row>
    <row r="265" spans="2:4" x14ac:dyDescent="0.35">
      <c r="B265" s="3"/>
      <c r="C265" s="26"/>
      <c r="D265" s="3"/>
    </row>
    <row r="266" spans="2:4" x14ac:dyDescent="0.35">
      <c r="B266" s="3"/>
      <c r="C266" s="26"/>
      <c r="D266" s="3"/>
    </row>
    <row r="267" spans="2:4" x14ac:dyDescent="0.35">
      <c r="B267" s="3"/>
      <c r="C267" s="26"/>
      <c r="D267" s="3"/>
    </row>
    <row r="268" spans="2:4" x14ac:dyDescent="0.35">
      <c r="B268" s="3"/>
      <c r="C268" s="26"/>
      <c r="D268" s="3"/>
    </row>
    <row r="269" spans="2:4" x14ac:dyDescent="0.35">
      <c r="B269" s="3"/>
      <c r="C269" s="26"/>
      <c r="D269" s="3"/>
    </row>
    <row r="270" spans="2:4" x14ac:dyDescent="0.35">
      <c r="B270" s="3"/>
      <c r="C270" s="26"/>
      <c r="D270" s="3"/>
    </row>
    <row r="271" spans="2:4" x14ac:dyDescent="0.35">
      <c r="B271" s="3"/>
      <c r="C271" s="26"/>
      <c r="D271" s="3"/>
    </row>
    <row r="272" spans="2:4" x14ac:dyDescent="0.35">
      <c r="B272" s="3"/>
      <c r="C272" s="26"/>
      <c r="D272" s="3"/>
    </row>
    <row r="273" spans="2:4" x14ac:dyDescent="0.35">
      <c r="B273" s="3"/>
      <c r="C273" s="26"/>
      <c r="D273" s="3"/>
    </row>
    <row r="274" spans="2:4" x14ac:dyDescent="0.35">
      <c r="B274" s="3"/>
      <c r="C274" s="26"/>
      <c r="D274" s="3"/>
    </row>
    <row r="275" spans="2:4" x14ac:dyDescent="0.35">
      <c r="B275" s="3"/>
      <c r="C275" s="26"/>
      <c r="D275" s="3"/>
    </row>
    <row r="276" spans="2:4" x14ac:dyDescent="0.35">
      <c r="B276" s="3"/>
      <c r="C276" s="26"/>
      <c r="D276" s="3"/>
    </row>
    <row r="277" spans="2:4" x14ac:dyDescent="0.35">
      <c r="B277" s="3"/>
      <c r="C277" s="26"/>
      <c r="D277" s="3"/>
    </row>
    <row r="278" spans="2:4" x14ac:dyDescent="0.35">
      <c r="B278" s="3"/>
      <c r="C278" s="26"/>
      <c r="D278" s="3"/>
    </row>
    <row r="279" spans="2:4" x14ac:dyDescent="0.35">
      <c r="B279" s="3"/>
      <c r="C279" s="26"/>
      <c r="D279" s="3"/>
    </row>
    <row r="280" spans="2:4" x14ac:dyDescent="0.35">
      <c r="B280" s="3"/>
      <c r="C280" s="26"/>
      <c r="D280" s="3"/>
    </row>
    <row r="281" spans="2:4" x14ac:dyDescent="0.35">
      <c r="B281" s="3"/>
      <c r="C281" s="26"/>
      <c r="D281" s="3"/>
    </row>
    <row r="282" spans="2:4" x14ac:dyDescent="0.35">
      <c r="B282" s="3"/>
      <c r="C282" s="26"/>
      <c r="D282" s="3"/>
    </row>
    <row r="283" spans="2:4" x14ac:dyDescent="0.35">
      <c r="B283" s="3"/>
      <c r="C283" s="26"/>
      <c r="D283" s="3"/>
    </row>
    <row r="284" spans="2:4" x14ac:dyDescent="0.35">
      <c r="B284" s="3"/>
      <c r="C284" s="26"/>
      <c r="D284" s="3"/>
    </row>
    <row r="285" spans="2:4" x14ac:dyDescent="0.35">
      <c r="B285" s="3"/>
      <c r="C285" s="26"/>
      <c r="D285" s="3"/>
    </row>
    <row r="286" spans="2:4" x14ac:dyDescent="0.35">
      <c r="B286" s="3"/>
      <c r="C286" s="26"/>
      <c r="D286" s="3"/>
    </row>
    <row r="287" spans="2:4" x14ac:dyDescent="0.35">
      <c r="B287" s="3"/>
      <c r="C287" s="26"/>
      <c r="D287" s="3"/>
    </row>
    <row r="288" spans="2:4" x14ac:dyDescent="0.35">
      <c r="B288" s="3"/>
      <c r="C288" s="26"/>
      <c r="D288" s="3"/>
    </row>
    <row r="289" spans="2:4" x14ac:dyDescent="0.35">
      <c r="B289" s="3"/>
      <c r="C289" s="26"/>
      <c r="D289" s="3"/>
    </row>
    <row r="290" spans="2:4" x14ac:dyDescent="0.35">
      <c r="B290" s="3"/>
      <c r="C290" s="26"/>
      <c r="D290" s="3"/>
    </row>
    <row r="291" spans="2:4" x14ac:dyDescent="0.35">
      <c r="B291" s="3"/>
      <c r="C291" s="26"/>
      <c r="D291" s="3"/>
    </row>
    <row r="292" spans="2:4" x14ac:dyDescent="0.35">
      <c r="B292" s="3"/>
      <c r="C292" s="26"/>
      <c r="D292" s="3"/>
    </row>
    <row r="293" spans="2:4" x14ac:dyDescent="0.35">
      <c r="B293" s="3"/>
      <c r="C293" s="26"/>
      <c r="D293" s="3"/>
    </row>
    <row r="294" spans="2:4" x14ac:dyDescent="0.35">
      <c r="B294" s="3"/>
      <c r="C294" s="26"/>
      <c r="D294" s="3"/>
    </row>
    <row r="295" spans="2:4" x14ac:dyDescent="0.35">
      <c r="B295" s="3"/>
      <c r="C295" s="26"/>
      <c r="D295" s="3"/>
    </row>
    <row r="296" spans="2:4" x14ac:dyDescent="0.35">
      <c r="B296" s="3"/>
      <c r="C296" s="26"/>
      <c r="D296" s="3"/>
    </row>
    <row r="297" spans="2:4" x14ac:dyDescent="0.35">
      <c r="B297" s="3"/>
      <c r="C297" s="26"/>
      <c r="D297" s="3"/>
    </row>
    <row r="298" spans="2:4" x14ac:dyDescent="0.35">
      <c r="B298" s="3"/>
      <c r="C298" s="26"/>
      <c r="D298" s="3"/>
    </row>
    <row r="299" spans="2:4" x14ac:dyDescent="0.35">
      <c r="B299" s="3"/>
      <c r="C299" s="26"/>
      <c r="D299" s="3"/>
    </row>
    <row r="300" spans="2:4" x14ac:dyDescent="0.35">
      <c r="B300" s="3"/>
      <c r="C300" s="26"/>
      <c r="D300" s="3"/>
    </row>
    <row r="301" spans="2:4" x14ac:dyDescent="0.35">
      <c r="B301" s="3"/>
      <c r="C301" s="26"/>
      <c r="D301" s="3"/>
    </row>
    <row r="302" spans="2:4" x14ac:dyDescent="0.35">
      <c r="B302" s="3"/>
      <c r="C302" s="26"/>
      <c r="D302" s="3"/>
    </row>
    <row r="303" spans="2:4" x14ac:dyDescent="0.35">
      <c r="B303" s="3"/>
      <c r="C303" s="26"/>
      <c r="D303" s="3"/>
    </row>
    <row r="304" spans="2:4" x14ac:dyDescent="0.35">
      <c r="B304" s="3"/>
      <c r="C304" s="26"/>
      <c r="D304" s="3"/>
    </row>
    <row r="305" spans="2:4" x14ac:dyDescent="0.35">
      <c r="B305" s="3"/>
      <c r="C305" s="26"/>
      <c r="D305" s="3"/>
    </row>
    <row r="306" spans="2:4" x14ac:dyDescent="0.35">
      <c r="B306" s="3"/>
      <c r="C306" s="26"/>
      <c r="D306" s="3"/>
    </row>
    <row r="307" spans="2:4" x14ac:dyDescent="0.35">
      <c r="B307" s="3"/>
      <c r="C307" s="26"/>
      <c r="D307" s="3"/>
    </row>
    <row r="308" spans="2:4" x14ac:dyDescent="0.35">
      <c r="B308" s="3"/>
      <c r="C308" s="26"/>
      <c r="D308" s="3"/>
    </row>
    <row r="309" spans="2:4" x14ac:dyDescent="0.35">
      <c r="B309" s="3"/>
      <c r="C309" s="26"/>
      <c r="D309" s="3"/>
    </row>
    <row r="310" spans="2:4" x14ac:dyDescent="0.35">
      <c r="B310" s="3"/>
      <c r="C310" s="26"/>
      <c r="D310" s="3"/>
    </row>
    <row r="311" spans="2:4" x14ac:dyDescent="0.35">
      <c r="B311" s="3"/>
      <c r="C311" s="26"/>
      <c r="D311" s="3"/>
    </row>
    <row r="312" spans="2:4" x14ac:dyDescent="0.35">
      <c r="B312" s="3"/>
      <c r="C312" s="26"/>
      <c r="D312" s="3"/>
    </row>
    <row r="313" spans="2:4" x14ac:dyDescent="0.35">
      <c r="B313" s="3"/>
      <c r="C313" s="26"/>
      <c r="D313" s="3"/>
    </row>
    <row r="314" spans="2:4" x14ac:dyDescent="0.35">
      <c r="B314" s="3"/>
      <c r="C314" s="26"/>
      <c r="D314" s="3"/>
    </row>
    <row r="315" spans="2:4" x14ac:dyDescent="0.35">
      <c r="B315" s="3"/>
      <c r="C315" s="26"/>
      <c r="D315" s="3"/>
    </row>
    <row r="316" spans="2:4" x14ac:dyDescent="0.35">
      <c r="B316" s="3"/>
      <c r="C316" s="26"/>
      <c r="D316" s="3"/>
    </row>
    <row r="317" spans="2:4" x14ac:dyDescent="0.35">
      <c r="B317" s="3"/>
      <c r="C317" s="26"/>
      <c r="D317" s="3"/>
    </row>
    <row r="318" spans="2:4" x14ac:dyDescent="0.35">
      <c r="B318" s="3"/>
      <c r="C318" s="26"/>
      <c r="D318" s="3"/>
    </row>
    <row r="319" spans="2:4" x14ac:dyDescent="0.35">
      <c r="B319" s="3"/>
      <c r="C319" s="26"/>
      <c r="D319" s="3"/>
    </row>
    <row r="320" spans="2:4" x14ac:dyDescent="0.35">
      <c r="B320" s="3"/>
      <c r="C320" s="26"/>
      <c r="D320" s="3"/>
    </row>
    <row r="321" spans="2:4" x14ac:dyDescent="0.35">
      <c r="B321" s="3"/>
      <c r="C321" s="26"/>
      <c r="D321" s="3"/>
    </row>
    <row r="322" spans="2:4" x14ac:dyDescent="0.35">
      <c r="B322" s="3"/>
      <c r="C322" s="26"/>
      <c r="D322" s="3"/>
    </row>
    <row r="323" spans="2:4" x14ac:dyDescent="0.35">
      <c r="B323" s="3"/>
      <c r="C323" s="26"/>
      <c r="D323" s="3"/>
    </row>
    <row r="324" spans="2:4" x14ac:dyDescent="0.35">
      <c r="B324" s="3"/>
      <c r="C324" s="26"/>
      <c r="D324" s="3"/>
    </row>
    <row r="325" spans="2:4" x14ac:dyDescent="0.35">
      <c r="B325" s="3"/>
      <c r="C325" s="26"/>
      <c r="D325" s="3"/>
    </row>
    <row r="326" spans="2:4" x14ac:dyDescent="0.35">
      <c r="B326" s="3"/>
      <c r="C326" s="26"/>
      <c r="D326" s="3"/>
    </row>
    <row r="327" spans="2:4" x14ac:dyDescent="0.35">
      <c r="B327" s="3"/>
      <c r="C327" s="26"/>
      <c r="D327" s="3"/>
    </row>
    <row r="328" spans="2:4" x14ac:dyDescent="0.35">
      <c r="B328" s="3"/>
      <c r="C328" s="26"/>
      <c r="D328" s="3"/>
    </row>
    <row r="329" spans="2:4" x14ac:dyDescent="0.35">
      <c r="B329" s="3"/>
      <c r="C329" s="26"/>
      <c r="D329" s="3"/>
    </row>
    <row r="330" spans="2:4" x14ac:dyDescent="0.35">
      <c r="B330" s="3"/>
      <c r="C330" s="26"/>
      <c r="D330" s="3"/>
    </row>
    <row r="331" spans="2:4" x14ac:dyDescent="0.35">
      <c r="B331" s="3"/>
      <c r="C331" s="26"/>
      <c r="D331" s="3"/>
    </row>
    <row r="332" spans="2:4" x14ac:dyDescent="0.35">
      <c r="B332" s="3"/>
      <c r="C332" s="26"/>
      <c r="D332" s="3"/>
    </row>
    <row r="333" spans="2:4" x14ac:dyDescent="0.35">
      <c r="B333" s="3"/>
      <c r="C333" s="26"/>
      <c r="D333" s="3"/>
    </row>
    <row r="334" spans="2:4" x14ac:dyDescent="0.35">
      <c r="B334" s="3"/>
      <c r="C334" s="26"/>
      <c r="D334" s="3"/>
    </row>
    <row r="335" spans="2:4" x14ac:dyDescent="0.35">
      <c r="B335" s="3"/>
      <c r="C335" s="26"/>
      <c r="D335" s="3"/>
    </row>
    <row r="336" spans="2:4" x14ac:dyDescent="0.35">
      <c r="B336" s="3"/>
      <c r="C336" s="26"/>
      <c r="D336" s="3"/>
    </row>
    <row r="337" spans="2:4" x14ac:dyDescent="0.35">
      <c r="B337" s="3"/>
      <c r="C337" s="26"/>
      <c r="D337" s="3"/>
    </row>
    <row r="338" spans="2:4" x14ac:dyDescent="0.35">
      <c r="B338" s="3"/>
      <c r="C338" s="26"/>
      <c r="D338" s="3"/>
    </row>
    <row r="339" spans="2:4" x14ac:dyDescent="0.35">
      <c r="B339" s="3"/>
      <c r="C339" s="26"/>
      <c r="D339" s="3"/>
    </row>
    <row r="340" spans="2:4" x14ac:dyDescent="0.35">
      <c r="B340" s="3"/>
      <c r="C340" s="26"/>
      <c r="D340" s="3"/>
    </row>
    <row r="341" spans="2:4" x14ac:dyDescent="0.35">
      <c r="B341" s="3"/>
      <c r="C341" s="26"/>
      <c r="D341" s="3"/>
    </row>
    <row r="342" spans="2:4" x14ac:dyDescent="0.35">
      <c r="B342" s="3"/>
      <c r="C342" s="26"/>
      <c r="D342" s="3"/>
    </row>
    <row r="343" spans="2:4" x14ac:dyDescent="0.35">
      <c r="B343" s="3"/>
      <c r="C343" s="26"/>
      <c r="D343" s="3"/>
    </row>
    <row r="344" spans="2:4" x14ac:dyDescent="0.35">
      <c r="B344" s="3"/>
      <c r="C344" s="26"/>
      <c r="D344" s="3"/>
    </row>
    <row r="345" spans="2:4" x14ac:dyDescent="0.35">
      <c r="B345" s="3"/>
      <c r="C345" s="26"/>
      <c r="D345" s="3"/>
    </row>
    <row r="346" spans="2:4" x14ac:dyDescent="0.35">
      <c r="B346" s="3"/>
      <c r="C346" s="26"/>
      <c r="D346" s="3"/>
    </row>
    <row r="347" spans="2:4" x14ac:dyDescent="0.35">
      <c r="B347" s="3"/>
      <c r="C347" s="26"/>
      <c r="D347" s="3"/>
    </row>
    <row r="348" spans="2:4" x14ac:dyDescent="0.35">
      <c r="B348" s="3"/>
      <c r="C348" s="26"/>
      <c r="D348" s="3"/>
    </row>
    <row r="349" spans="2:4" x14ac:dyDescent="0.35">
      <c r="B349" s="3"/>
      <c r="C349" s="26"/>
      <c r="D349" s="3"/>
    </row>
    <row r="350" spans="2:4" x14ac:dyDescent="0.35">
      <c r="B350" s="3"/>
      <c r="C350" s="26"/>
      <c r="D350" s="3"/>
    </row>
    <row r="351" spans="2:4" x14ac:dyDescent="0.35">
      <c r="B351" s="3"/>
      <c r="C351" s="26"/>
      <c r="D351" s="3"/>
    </row>
    <row r="352" spans="2:4" x14ac:dyDescent="0.35">
      <c r="B352" s="3"/>
      <c r="C352" s="26"/>
      <c r="D352" s="3"/>
    </row>
    <row r="353" spans="2:4" x14ac:dyDescent="0.35">
      <c r="B353" s="3"/>
      <c r="C353" s="26"/>
      <c r="D353" s="3"/>
    </row>
    <row r="354" spans="2:4" x14ac:dyDescent="0.35">
      <c r="B354" s="3"/>
      <c r="C354" s="26"/>
      <c r="D354" s="3"/>
    </row>
    <row r="355" spans="2:4" x14ac:dyDescent="0.35">
      <c r="B355" s="3"/>
      <c r="C355" s="26"/>
      <c r="D355" s="3"/>
    </row>
    <row r="356" spans="2:4" x14ac:dyDescent="0.35">
      <c r="B356" s="3"/>
      <c r="C356" s="26"/>
      <c r="D356" s="3"/>
    </row>
    <row r="357" spans="2:4" x14ac:dyDescent="0.35">
      <c r="B357" s="3"/>
      <c r="C357" s="26"/>
      <c r="D357" s="3"/>
    </row>
    <row r="358" spans="2:4" x14ac:dyDescent="0.35">
      <c r="B358" s="3"/>
      <c r="C358" s="26"/>
      <c r="D358" s="3"/>
    </row>
    <row r="359" spans="2:4" x14ac:dyDescent="0.35">
      <c r="B359" s="3"/>
      <c r="C359" s="26"/>
      <c r="D359" s="3"/>
    </row>
    <row r="360" spans="2:4" x14ac:dyDescent="0.35">
      <c r="B360" s="3"/>
      <c r="C360" s="26"/>
      <c r="D360" s="3"/>
    </row>
    <row r="361" spans="2:4" x14ac:dyDescent="0.35">
      <c r="B361" s="3"/>
      <c r="C361" s="26"/>
      <c r="D361" s="3"/>
    </row>
    <row r="362" spans="2:4" x14ac:dyDescent="0.35">
      <c r="B362" s="3"/>
      <c r="C362" s="26"/>
      <c r="D362" s="3"/>
    </row>
    <row r="363" spans="2:4" x14ac:dyDescent="0.35">
      <c r="B363" s="3"/>
      <c r="C363" s="26"/>
      <c r="D363" s="3"/>
    </row>
    <row r="364" spans="2:4" x14ac:dyDescent="0.35">
      <c r="B364" s="3"/>
      <c r="C364" s="26"/>
      <c r="D364" s="3"/>
    </row>
    <row r="365" spans="2:4" x14ac:dyDescent="0.35">
      <c r="B365" s="3"/>
      <c r="C365" s="26"/>
      <c r="D365" s="3"/>
    </row>
    <row r="366" spans="2:4" x14ac:dyDescent="0.35">
      <c r="B366" s="3"/>
      <c r="C366" s="26"/>
      <c r="D366" s="3"/>
    </row>
    <row r="367" spans="2:4" x14ac:dyDescent="0.35">
      <c r="B367" s="3"/>
      <c r="C367" s="26"/>
      <c r="D367" s="3"/>
    </row>
    <row r="368" spans="2:4" x14ac:dyDescent="0.35">
      <c r="B368" s="3"/>
      <c r="C368" s="26"/>
      <c r="D368" s="3"/>
    </row>
    <row r="369" spans="2:4" x14ac:dyDescent="0.35">
      <c r="B369" s="3"/>
      <c r="C369" s="26"/>
      <c r="D369" s="3"/>
    </row>
    <row r="370" spans="2:4" x14ac:dyDescent="0.35">
      <c r="B370" s="3"/>
      <c r="C370" s="26"/>
      <c r="D370" s="3"/>
    </row>
    <row r="371" spans="2:4" x14ac:dyDescent="0.35">
      <c r="B371" s="3"/>
      <c r="C371" s="26"/>
      <c r="D371" s="3"/>
    </row>
    <row r="372" spans="2:4" x14ac:dyDescent="0.35">
      <c r="B372" s="3"/>
      <c r="C372" s="26"/>
      <c r="D372" s="3"/>
    </row>
    <row r="373" spans="2:4" x14ac:dyDescent="0.35">
      <c r="B373" s="3"/>
      <c r="C373" s="26"/>
      <c r="D373" s="3"/>
    </row>
    <row r="374" spans="2:4" x14ac:dyDescent="0.35">
      <c r="B374" s="3"/>
      <c r="C374" s="26"/>
      <c r="D374" s="3"/>
    </row>
    <row r="375" spans="2:4" x14ac:dyDescent="0.35">
      <c r="B375" s="3"/>
      <c r="C375" s="26"/>
      <c r="D375" s="3"/>
    </row>
    <row r="376" spans="2:4" x14ac:dyDescent="0.35">
      <c r="B376" s="3"/>
      <c r="C376" s="26"/>
      <c r="D376" s="3"/>
    </row>
    <row r="377" spans="2:4" x14ac:dyDescent="0.35">
      <c r="B377" s="3"/>
      <c r="C377" s="26"/>
      <c r="D377" s="3"/>
    </row>
    <row r="378" spans="2:4" x14ac:dyDescent="0.35">
      <c r="B378" s="3"/>
      <c r="C378" s="26"/>
      <c r="D378" s="3"/>
    </row>
    <row r="379" spans="2:4" x14ac:dyDescent="0.35">
      <c r="B379" s="3"/>
      <c r="C379" s="26"/>
      <c r="D379" s="3"/>
    </row>
    <row r="380" spans="2:4" x14ac:dyDescent="0.35">
      <c r="B380" s="3"/>
      <c r="C380" s="26"/>
      <c r="D380" s="3"/>
    </row>
    <row r="381" spans="2:4" x14ac:dyDescent="0.35">
      <c r="B381" s="3"/>
      <c r="C381" s="26"/>
      <c r="D381" s="3"/>
    </row>
    <row r="382" spans="2:4" x14ac:dyDescent="0.35">
      <c r="B382" s="3"/>
      <c r="C382" s="26"/>
      <c r="D382" s="3"/>
    </row>
    <row r="383" spans="2:4" x14ac:dyDescent="0.35">
      <c r="B383" s="3"/>
      <c r="C383" s="26"/>
      <c r="D383" s="3"/>
    </row>
    <row r="384" spans="2:4" x14ac:dyDescent="0.35">
      <c r="B384" s="3"/>
      <c r="C384" s="26"/>
      <c r="D384" s="3"/>
    </row>
    <row r="385" spans="2:4" x14ac:dyDescent="0.35">
      <c r="B385" s="3"/>
      <c r="C385" s="26"/>
      <c r="D385" s="3"/>
    </row>
    <row r="386" spans="2:4" x14ac:dyDescent="0.35">
      <c r="B386" s="3"/>
      <c r="C386" s="26"/>
      <c r="D386" s="3"/>
    </row>
    <row r="387" spans="2:4" x14ac:dyDescent="0.35">
      <c r="B387" s="3"/>
      <c r="C387" s="26"/>
      <c r="D387" s="3"/>
    </row>
    <row r="388" spans="2:4" x14ac:dyDescent="0.35">
      <c r="B388" s="3"/>
      <c r="C388" s="26"/>
      <c r="D388" s="3"/>
    </row>
    <row r="389" spans="2:4" x14ac:dyDescent="0.35">
      <c r="B389" s="3"/>
      <c r="C389" s="26"/>
      <c r="D389" s="3"/>
    </row>
    <row r="390" spans="2:4" x14ac:dyDescent="0.35">
      <c r="B390" s="3"/>
      <c r="C390" s="26"/>
      <c r="D390" s="3"/>
    </row>
    <row r="391" spans="2:4" x14ac:dyDescent="0.35">
      <c r="B391" s="3"/>
      <c r="C391" s="26"/>
      <c r="D391" s="3"/>
    </row>
    <row r="392" spans="2:4" x14ac:dyDescent="0.35">
      <c r="B392" s="3"/>
      <c r="C392" s="26"/>
      <c r="D392" s="3"/>
    </row>
    <row r="393" spans="2:4" x14ac:dyDescent="0.35">
      <c r="B393" s="3"/>
      <c r="C393" s="26"/>
      <c r="D393" s="3"/>
    </row>
    <row r="394" spans="2:4" x14ac:dyDescent="0.35">
      <c r="B394" s="3"/>
      <c r="C394" s="26"/>
      <c r="D394" s="3"/>
    </row>
    <row r="395" spans="2:4" x14ac:dyDescent="0.35">
      <c r="B395" s="3"/>
      <c r="C395" s="26"/>
      <c r="D395" s="3"/>
    </row>
    <row r="396" spans="2:4" x14ac:dyDescent="0.35">
      <c r="B396" s="3"/>
      <c r="C396" s="26"/>
      <c r="D396" s="3"/>
    </row>
    <row r="397" spans="2:4" x14ac:dyDescent="0.35">
      <c r="B397" s="3"/>
      <c r="C397" s="26"/>
      <c r="D397" s="3"/>
    </row>
    <row r="398" spans="2:4" x14ac:dyDescent="0.35">
      <c r="B398" s="3"/>
      <c r="C398" s="26"/>
      <c r="D398" s="3"/>
    </row>
    <row r="399" spans="2:4" x14ac:dyDescent="0.35">
      <c r="B399" s="3"/>
      <c r="C399" s="26"/>
      <c r="D399" s="3"/>
    </row>
    <row r="400" spans="2:4" x14ac:dyDescent="0.35">
      <c r="B400" s="3"/>
      <c r="C400" s="26"/>
      <c r="D400" s="3"/>
    </row>
    <row r="401" spans="2:4" x14ac:dyDescent="0.35">
      <c r="B401" s="3"/>
      <c r="C401" s="26"/>
      <c r="D401" s="3"/>
    </row>
    <row r="402" spans="2:4" x14ac:dyDescent="0.35">
      <c r="B402" s="3"/>
      <c r="C402" s="26"/>
      <c r="D402" s="3"/>
    </row>
    <row r="403" spans="2:4" x14ac:dyDescent="0.35">
      <c r="B403" s="3"/>
      <c r="C403" s="26"/>
      <c r="D403" s="3"/>
    </row>
    <row r="404" spans="2:4" x14ac:dyDescent="0.35">
      <c r="B404" s="3"/>
      <c r="C404" s="26"/>
      <c r="D404" s="3"/>
    </row>
    <row r="405" spans="2:4" x14ac:dyDescent="0.35">
      <c r="B405" s="3"/>
      <c r="C405" s="26"/>
      <c r="D405" s="3"/>
    </row>
    <row r="406" spans="2:4" x14ac:dyDescent="0.35">
      <c r="B406" s="3"/>
      <c r="C406" s="26"/>
      <c r="D406" s="3"/>
    </row>
    <row r="407" spans="2:4" x14ac:dyDescent="0.35">
      <c r="B407" s="3"/>
      <c r="C407" s="26"/>
      <c r="D407" s="3"/>
    </row>
    <row r="408" spans="2:4" x14ac:dyDescent="0.35">
      <c r="B408" s="3"/>
      <c r="C408" s="26"/>
      <c r="D408" s="3"/>
    </row>
    <row r="409" spans="2:4" x14ac:dyDescent="0.35">
      <c r="B409" s="3"/>
      <c r="C409" s="26"/>
      <c r="D409" s="3"/>
    </row>
    <row r="410" spans="2:4" x14ac:dyDescent="0.35">
      <c r="B410" s="3"/>
      <c r="C410" s="26"/>
      <c r="D410" s="3"/>
    </row>
    <row r="411" spans="2:4" x14ac:dyDescent="0.35">
      <c r="B411" s="3"/>
      <c r="C411" s="26"/>
      <c r="D411" s="3"/>
    </row>
    <row r="412" spans="2:4" x14ac:dyDescent="0.35">
      <c r="B412" s="3"/>
      <c r="C412" s="26"/>
      <c r="D412" s="3"/>
    </row>
    <row r="413" spans="2:4" x14ac:dyDescent="0.35">
      <c r="B413" s="3"/>
      <c r="C413" s="26"/>
      <c r="D413" s="3"/>
    </row>
    <row r="414" spans="2:4" x14ac:dyDescent="0.35">
      <c r="B414" s="3"/>
      <c r="C414" s="26"/>
      <c r="D414" s="3"/>
    </row>
    <row r="415" spans="2:4" x14ac:dyDescent="0.35">
      <c r="B415" s="3"/>
      <c r="C415" s="26"/>
      <c r="D415" s="3"/>
    </row>
    <row r="416" spans="2:4" x14ac:dyDescent="0.35">
      <c r="B416" s="3"/>
      <c r="C416" s="26"/>
      <c r="D416" s="3"/>
    </row>
    <row r="417" spans="2:4" x14ac:dyDescent="0.35">
      <c r="B417" s="3"/>
      <c r="C417" s="26"/>
      <c r="D417" s="3"/>
    </row>
    <row r="418" spans="2:4" x14ac:dyDescent="0.35">
      <c r="B418" s="3"/>
      <c r="C418" s="26"/>
      <c r="D418" s="3"/>
    </row>
    <row r="419" spans="2:4" x14ac:dyDescent="0.35">
      <c r="B419" s="3"/>
      <c r="C419" s="26"/>
      <c r="D419" s="3"/>
    </row>
    <row r="420" spans="2:4" x14ac:dyDescent="0.35">
      <c r="B420" s="3"/>
      <c r="C420" s="26"/>
      <c r="D420" s="3"/>
    </row>
    <row r="421" spans="2:4" x14ac:dyDescent="0.35">
      <c r="B421" s="3"/>
      <c r="C421" s="26"/>
      <c r="D421" s="3"/>
    </row>
    <row r="422" spans="2:4" x14ac:dyDescent="0.35">
      <c r="B422" s="3"/>
      <c r="C422" s="26"/>
      <c r="D422" s="3"/>
    </row>
    <row r="423" spans="2:4" x14ac:dyDescent="0.35">
      <c r="B423" s="3"/>
      <c r="C423" s="26"/>
      <c r="D423" s="3"/>
    </row>
    <row r="424" spans="2:4" x14ac:dyDescent="0.35">
      <c r="B424" s="3"/>
      <c r="C424" s="26"/>
      <c r="D424" s="3"/>
    </row>
    <row r="425" spans="2:4" x14ac:dyDescent="0.35">
      <c r="B425" s="3"/>
      <c r="C425" s="26"/>
      <c r="D425" s="3"/>
    </row>
    <row r="426" spans="2:4" x14ac:dyDescent="0.35">
      <c r="B426" s="3"/>
      <c r="C426" s="26"/>
      <c r="D426" s="3"/>
    </row>
    <row r="427" spans="2:4" x14ac:dyDescent="0.35">
      <c r="B427" s="3"/>
      <c r="C427" s="26"/>
      <c r="D427" s="3"/>
    </row>
    <row r="428" spans="2:4" x14ac:dyDescent="0.35">
      <c r="B428" s="3"/>
      <c r="C428" s="26"/>
      <c r="D428" s="3"/>
    </row>
    <row r="429" spans="2:4" x14ac:dyDescent="0.35">
      <c r="B429" s="3"/>
      <c r="C429" s="26"/>
      <c r="D429" s="3"/>
    </row>
    <row r="430" spans="2:4" x14ac:dyDescent="0.35">
      <c r="B430" s="3"/>
      <c r="C430" s="26"/>
      <c r="D430" s="3"/>
    </row>
    <row r="431" spans="2:4" x14ac:dyDescent="0.35">
      <c r="B431" s="3"/>
      <c r="C431" s="26"/>
      <c r="D431" s="3"/>
    </row>
    <row r="432" spans="2:4" x14ac:dyDescent="0.35">
      <c r="B432" s="3"/>
      <c r="C432" s="26"/>
      <c r="D432" s="3"/>
    </row>
    <row r="433" spans="2:4" x14ac:dyDescent="0.35">
      <c r="B433" s="3"/>
      <c r="C433" s="26"/>
      <c r="D433" s="3"/>
    </row>
    <row r="434" spans="2:4" x14ac:dyDescent="0.35">
      <c r="B434" s="3"/>
      <c r="C434" s="26"/>
      <c r="D434" s="3"/>
    </row>
    <row r="435" spans="2:4" x14ac:dyDescent="0.35">
      <c r="B435" s="3"/>
      <c r="C435" s="26"/>
      <c r="D435" s="3"/>
    </row>
    <row r="436" spans="2:4" x14ac:dyDescent="0.35">
      <c r="B436" s="3"/>
      <c r="C436" s="26"/>
      <c r="D436" s="3"/>
    </row>
    <row r="437" spans="2:4" x14ac:dyDescent="0.35">
      <c r="B437" s="3"/>
      <c r="C437" s="26"/>
      <c r="D437" s="3"/>
    </row>
    <row r="438" spans="2:4" x14ac:dyDescent="0.35">
      <c r="B438" s="3"/>
      <c r="C438" s="26"/>
      <c r="D438" s="3"/>
    </row>
    <row r="439" spans="2:4" x14ac:dyDescent="0.35">
      <c r="B439" s="3"/>
      <c r="C439" s="26"/>
      <c r="D439" s="3"/>
    </row>
    <row r="440" spans="2:4" x14ac:dyDescent="0.35">
      <c r="B440" s="3"/>
      <c r="C440" s="26"/>
      <c r="D440" s="3"/>
    </row>
    <row r="441" spans="2:4" x14ac:dyDescent="0.35">
      <c r="B441" s="3"/>
      <c r="C441" s="26"/>
      <c r="D441" s="3"/>
    </row>
    <row r="442" spans="2:4" x14ac:dyDescent="0.35">
      <c r="B442" s="3"/>
      <c r="C442" s="26"/>
      <c r="D442" s="3"/>
    </row>
    <row r="443" spans="2:4" x14ac:dyDescent="0.35">
      <c r="B443" s="3"/>
      <c r="C443" s="26"/>
      <c r="D443" s="3"/>
    </row>
    <row r="444" spans="2:4" x14ac:dyDescent="0.35">
      <c r="B444" s="3"/>
      <c r="C444" s="26"/>
      <c r="D444" s="3"/>
    </row>
    <row r="445" spans="2:4" x14ac:dyDescent="0.35">
      <c r="B445" s="3"/>
      <c r="C445" s="26"/>
      <c r="D445" s="3"/>
    </row>
    <row r="446" spans="2:4" x14ac:dyDescent="0.35">
      <c r="B446" s="3"/>
      <c r="C446" s="26"/>
      <c r="D446" s="3"/>
    </row>
    <row r="447" spans="2:4" x14ac:dyDescent="0.35">
      <c r="B447" s="3"/>
      <c r="C447" s="26"/>
      <c r="D447" s="3"/>
    </row>
    <row r="448" spans="2:4" x14ac:dyDescent="0.35">
      <c r="B448" s="3"/>
      <c r="C448" s="26"/>
      <c r="D448" s="3"/>
    </row>
    <row r="449" spans="2:4" x14ac:dyDescent="0.35">
      <c r="B449" s="3"/>
      <c r="C449" s="26"/>
      <c r="D449" s="3"/>
    </row>
    <row r="450" spans="2:4" x14ac:dyDescent="0.35">
      <c r="B450" s="3"/>
      <c r="C450" s="26"/>
      <c r="D450" s="3"/>
    </row>
    <row r="451" spans="2:4" x14ac:dyDescent="0.35">
      <c r="B451" s="3"/>
      <c r="C451" s="26"/>
      <c r="D451" s="3"/>
    </row>
    <row r="452" spans="2:4" x14ac:dyDescent="0.35">
      <c r="B452" s="3"/>
      <c r="C452" s="26"/>
      <c r="D452" s="3"/>
    </row>
    <row r="453" spans="2:4" x14ac:dyDescent="0.35">
      <c r="B453" s="3"/>
      <c r="C453" s="26"/>
      <c r="D453" s="3"/>
    </row>
    <row r="454" spans="2:4" x14ac:dyDescent="0.35">
      <c r="B454" s="3"/>
      <c r="C454" s="26"/>
      <c r="D454" s="3"/>
    </row>
    <row r="455" spans="2:4" x14ac:dyDescent="0.35">
      <c r="B455" s="3"/>
      <c r="C455" s="26"/>
      <c r="D455" s="3"/>
    </row>
    <row r="456" spans="2:4" x14ac:dyDescent="0.35">
      <c r="B456" s="3"/>
      <c r="C456" s="26"/>
      <c r="D456" s="3"/>
    </row>
    <row r="457" spans="2:4" x14ac:dyDescent="0.35">
      <c r="B457" s="3"/>
      <c r="C457" s="26"/>
      <c r="D457" s="3"/>
    </row>
    <row r="458" spans="2:4" x14ac:dyDescent="0.35">
      <c r="B458" s="3"/>
      <c r="C458" s="26"/>
      <c r="D458" s="3"/>
    </row>
    <row r="459" spans="2:4" x14ac:dyDescent="0.35">
      <c r="B459" s="3"/>
      <c r="C459" s="26"/>
      <c r="D459" s="3"/>
    </row>
    <row r="460" spans="2:4" x14ac:dyDescent="0.35">
      <c r="B460" s="3"/>
      <c r="C460" s="26"/>
      <c r="D460" s="3"/>
    </row>
    <row r="461" spans="2:4" x14ac:dyDescent="0.35">
      <c r="B461" s="3"/>
      <c r="C461" s="26"/>
      <c r="D461" s="3"/>
    </row>
    <row r="462" spans="2:4" x14ac:dyDescent="0.35">
      <c r="B462" s="3"/>
      <c r="C462" s="26"/>
      <c r="D462" s="3"/>
    </row>
    <row r="463" spans="2:4" x14ac:dyDescent="0.35">
      <c r="B463" s="3"/>
      <c r="C463" s="26"/>
      <c r="D463" s="3"/>
    </row>
    <row r="464" spans="2:4" x14ac:dyDescent="0.35">
      <c r="B464" s="3"/>
      <c r="C464" s="26"/>
      <c r="D464" s="3"/>
    </row>
    <row r="465" spans="2:4" x14ac:dyDescent="0.35">
      <c r="B465" s="3"/>
      <c r="C465" s="26"/>
      <c r="D465" s="3"/>
    </row>
    <row r="466" spans="2:4" x14ac:dyDescent="0.35">
      <c r="B466" s="3"/>
      <c r="C466" s="26"/>
      <c r="D466" s="3"/>
    </row>
    <row r="467" spans="2:4" x14ac:dyDescent="0.35">
      <c r="B467" s="3"/>
      <c r="C467" s="26"/>
      <c r="D467" s="3"/>
    </row>
    <row r="468" spans="2:4" x14ac:dyDescent="0.35">
      <c r="B468" s="3"/>
      <c r="C468" s="26"/>
      <c r="D468" s="3"/>
    </row>
    <row r="469" spans="2:4" x14ac:dyDescent="0.35">
      <c r="B469" s="3"/>
      <c r="C469" s="26"/>
      <c r="D469" s="3"/>
    </row>
    <row r="470" spans="2:4" x14ac:dyDescent="0.35">
      <c r="B470" s="3"/>
      <c r="C470" s="26"/>
      <c r="D470" s="3"/>
    </row>
    <row r="471" spans="2:4" x14ac:dyDescent="0.35">
      <c r="B471" s="3"/>
      <c r="C471" s="26"/>
      <c r="D471" s="3"/>
    </row>
    <row r="472" spans="2:4" x14ac:dyDescent="0.35">
      <c r="B472" s="3"/>
      <c r="C472" s="26"/>
      <c r="D472" s="3"/>
    </row>
    <row r="473" spans="2:4" x14ac:dyDescent="0.35">
      <c r="B473" s="3"/>
      <c r="C473" s="26"/>
      <c r="D473" s="3"/>
    </row>
    <row r="474" spans="2:4" x14ac:dyDescent="0.35">
      <c r="B474" s="3"/>
      <c r="C474" s="26"/>
      <c r="D474" s="3"/>
    </row>
    <row r="475" spans="2:4" x14ac:dyDescent="0.35">
      <c r="B475" s="3"/>
      <c r="C475" s="26"/>
      <c r="D475" s="3"/>
    </row>
    <row r="476" spans="2:4" x14ac:dyDescent="0.35">
      <c r="B476" s="3"/>
      <c r="C476" s="26"/>
      <c r="D476" s="3"/>
    </row>
    <row r="477" spans="2:4" x14ac:dyDescent="0.35">
      <c r="B477" s="3"/>
      <c r="C477" s="26"/>
      <c r="D477" s="3"/>
    </row>
    <row r="478" spans="2:4" x14ac:dyDescent="0.35">
      <c r="B478" s="3"/>
      <c r="C478" s="26"/>
      <c r="D478" s="3"/>
    </row>
    <row r="479" spans="2:4" x14ac:dyDescent="0.35">
      <c r="B479" s="3"/>
      <c r="C479" s="26"/>
      <c r="D479" s="3"/>
    </row>
    <row r="480" spans="2:4" x14ac:dyDescent="0.35">
      <c r="B480" s="3"/>
      <c r="C480" s="26"/>
      <c r="D480" s="3"/>
    </row>
    <row r="481" spans="2:4" x14ac:dyDescent="0.35">
      <c r="B481" s="3"/>
      <c r="C481" s="26"/>
      <c r="D481" s="3"/>
    </row>
    <row r="482" spans="2:4" x14ac:dyDescent="0.35">
      <c r="B482" s="3"/>
      <c r="C482" s="26"/>
      <c r="D482" s="3"/>
    </row>
    <row r="483" spans="2:4" x14ac:dyDescent="0.35">
      <c r="B483" s="3"/>
      <c r="C483" s="26"/>
      <c r="D483" s="3"/>
    </row>
    <row r="484" spans="2:4" x14ac:dyDescent="0.35">
      <c r="B484" s="3"/>
      <c r="C484" s="26"/>
      <c r="D484" s="3"/>
    </row>
    <row r="485" spans="2:4" x14ac:dyDescent="0.35">
      <c r="B485" s="3"/>
      <c r="C485" s="26"/>
      <c r="D485" s="3"/>
    </row>
    <row r="486" spans="2:4" x14ac:dyDescent="0.35">
      <c r="B486" s="3"/>
      <c r="C486" s="26"/>
      <c r="D486" s="3"/>
    </row>
    <row r="487" spans="2:4" x14ac:dyDescent="0.35">
      <c r="B487" s="3"/>
      <c r="C487" s="26"/>
      <c r="D487" s="3"/>
    </row>
    <row r="488" spans="2:4" x14ac:dyDescent="0.35">
      <c r="B488" s="3"/>
      <c r="C488" s="26"/>
      <c r="D488" s="3"/>
    </row>
    <row r="489" spans="2:4" x14ac:dyDescent="0.35">
      <c r="B489" s="3"/>
      <c r="C489" s="26"/>
      <c r="D489" s="3"/>
    </row>
    <row r="490" spans="2:4" x14ac:dyDescent="0.35">
      <c r="B490" s="3"/>
      <c r="C490" s="26"/>
      <c r="D490" s="3"/>
    </row>
    <row r="491" spans="2:4" x14ac:dyDescent="0.35">
      <c r="B491" s="3"/>
      <c r="C491" s="26"/>
      <c r="D491" s="3"/>
    </row>
    <row r="492" spans="2:4" x14ac:dyDescent="0.35">
      <c r="B492" s="3"/>
      <c r="C492" s="26"/>
      <c r="D492" s="3"/>
    </row>
    <row r="493" spans="2:4" x14ac:dyDescent="0.35">
      <c r="B493" s="3"/>
      <c r="C493" s="26"/>
      <c r="D493" s="3"/>
    </row>
    <row r="494" spans="2:4" x14ac:dyDescent="0.35">
      <c r="B494" s="3"/>
      <c r="C494" s="26"/>
      <c r="D494" s="3"/>
    </row>
    <row r="495" spans="2:4" x14ac:dyDescent="0.35">
      <c r="B495" s="3"/>
      <c r="C495" s="26"/>
      <c r="D495" s="3"/>
    </row>
    <row r="496" spans="2:4" x14ac:dyDescent="0.35">
      <c r="B496" s="3"/>
      <c r="C496" s="26"/>
      <c r="D496" s="3"/>
    </row>
    <row r="497" spans="2:4" x14ac:dyDescent="0.35">
      <c r="B497" s="3"/>
      <c r="C497" s="26"/>
      <c r="D497" s="3"/>
    </row>
    <row r="498" spans="2:4" x14ac:dyDescent="0.35">
      <c r="B498" s="3"/>
      <c r="C498" s="26"/>
      <c r="D498" s="3"/>
    </row>
    <row r="499" spans="2:4" x14ac:dyDescent="0.35">
      <c r="B499" s="3"/>
      <c r="C499" s="26"/>
      <c r="D499" s="3"/>
    </row>
    <row r="500" spans="2:4" x14ac:dyDescent="0.35">
      <c r="B500" s="3"/>
      <c r="C500" s="26"/>
      <c r="D500" s="3"/>
    </row>
    <row r="501" spans="2:4" x14ac:dyDescent="0.35">
      <c r="B501" s="3"/>
      <c r="C501" s="26"/>
      <c r="D501" s="3"/>
    </row>
    <row r="502" spans="2:4" x14ac:dyDescent="0.35">
      <c r="B502" s="3"/>
      <c r="C502" s="26"/>
      <c r="D502" s="3"/>
    </row>
    <row r="503" spans="2:4" x14ac:dyDescent="0.35">
      <c r="B503" s="3"/>
      <c r="C503" s="26"/>
      <c r="D503" s="3"/>
    </row>
    <row r="504" spans="2:4" x14ac:dyDescent="0.35">
      <c r="B504" s="3"/>
      <c r="C504" s="26"/>
      <c r="D504" s="3"/>
    </row>
    <row r="505" spans="2:4" x14ac:dyDescent="0.35">
      <c r="B505" s="3"/>
      <c r="C505" s="26"/>
      <c r="D505" s="3"/>
    </row>
    <row r="506" spans="2:4" x14ac:dyDescent="0.35">
      <c r="B506" s="3"/>
      <c r="C506" s="26"/>
      <c r="D506" s="3"/>
    </row>
    <row r="507" spans="2:4" x14ac:dyDescent="0.35">
      <c r="B507" s="3"/>
      <c r="C507" s="26"/>
      <c r="D507" s="3"/>
    </row>
    <row r="508" spans="2:4" x14ac:dyDescent="0.35">
      <c r="B508" s="3"/>
      <c r="C508" s="26"/>
      <c r="D508" s="3"/>
    </row>
    <row r="509" spans="2:4" x14ac:dyDescent="0.35">
      <c r="B509" s="3"/>
      <c r="C509" s="26"/>
      <c r="D509" s="3"/>
    </row>
    <row r="510" spans="2:4" x14ac:dyDescent="0.35">
      <c r="B510" s="3"/>
      <c r="C510" s="26"/>
      <c r="D510" s="3"/>
    </row>
    <row r="511" spans="2:4" x14ac:dyDescent="0.35">
      <c r="B511" s="3"/>
      <c r="C511" s="26"/>
      <c r="D511" s="3"/>
    </row>
    <row r="512" spans="2:4" x14ac:dyDescent="0.35">
      <c r="B512" s="3"/>
      <c r="C512" s="26"/>
      <c r="D512" s="3"/>
    </row>
    <row r="513" spans="2:4" x14ac:dyDescent="0.35">
      <c r="B513" s="3"/>
      <c r="C513" s="26"/>
      <c r="D513" s="3"/>
    </row>
    <row r="514" spans="2:4" x14ac:dyDescent="0.35">
      <c r="B514" s="3"/>
      <c r="C514" s="26"/>
      <c r="D514" s="3"/>
    </row>
    <row r="515" spans="2:4" x14ac:dyDescent="0.35">
      <c r="B515" s="3"/>
      <c r="C515" s="26"/>
      <c r="D515" s="3"/>
    </row>
    <row r="516" spans="2:4" x14ac:dyDescent="0.35">
      <c r="B516" s="3"/>
      <c r="C516" s="26"/>
      <c r="D516" s="3"/>
    </row>
    <row r="517" spans="2:4" x14ac:dyDescent="0.35">
      <c r="B517" s="3"/>
      <c r="C517" s="26"/>
      <c r="D517" s="3"/>
    </row>
    <row r="518" spans="2:4" x14ac:dyDescent="0.35">
      <c r="B518" s="3"/>
      <c r="C518" s="26"/>
      <c r="D518" s="3"/>
    </row>
    <row r="519" spans="2:4" x14ac:dyDescent="0.35">
      <c r="B519" s="3"/>
      <c r="C519" s="26"/>
      <c r="D519" s="3"/>
    </row>
    <row r="520" spans="2:4" x14ac:dyDescent="0.35">
      <c r="B520" s="3"/>
      <c r="C520" s="26"/>
      <c r="D520" s="3"/>
    </row>
    <row r="521" spans="2:4" x14ac:dyDescent="0.35">
      <c r="B521" s="3"/>
      <c r="C521" s="26"/>
      <c r="D521" s="3"/>
    </row>
    <row r="522" spans="2:4" x14ac:dyDescent="0.35">
      <c r="B522" s="3"/>
      <c r="C522" s="26"/>
      <c r="D522" s="3"/>
    </row>
    <row r="523" spans="2:4" x14ac:dyDescent="0.35">
      <c r="B523" s="3"/>
      <c r="C523" s="26"/>
      <c r="D523" s="3"/>
    </row>
    <row r="524" spans="2:4" x14ac:dyDescent="0.35">
      <c r="B524" s="3"/>
      <c r="C524" s="26"/>
      <c r="D524" s="3"/>
    </row>
    <row r="525" spans="2:4" x14ac:dyDescent="0.35">
      <c r="B525" s="3"/>
      <c r="C525" s="26"/>
      <c r="D525" s="3"/>
    </row>
    <row r="526" spans="2:4" x14ac:dyDescent="0.35">
      <c r="B526" s="3"/>
      <c r="C526" s="26"/>
      <c r="D526" s="3"/>
    </row>
    <row r="527" spans="2:4" x14ac:dyDescent="0.35">
      <c r="B527" s="3"/>
      <c r="C527" s="26"/>
      <c r="D527" s="3"/>
    </row>
    <row r="528" spans="2:4" x14ac:dyDescent="0.35">
      <c r="B528" s="3"/>
      <c r="C528" s="26"/>
      <c r="D528" s="3"/>
    </row>
    <row r="529" spans="2:4" x14ac:dyDescent="0.35">
      <c r="B529" s="3"/>
      <c r="C529" s="26"/>
      <c r="D529" s="3"/>
    </row>
    <row r="530" spans="2:4" x14ac:dyDescent="0.35">
      <c r="B530" s="3"/>
      <c r="C530" s="26"/>
      <c r="D530" s="3"/>
    </row>
    <row r="531" spans="2:4" x14ac:dyDescent="0.35">
      <c r="B531" s="3"/>
      <c r="C531" s="26"/>
      <c r="D531" s="3"/>
    </row>
    <row r="532" spans="2:4" x14ac:dyDescent="0.35">
      <c r="B532" s="3"/>
      <c r="C532" s="26"/>
      <c r="D532" s="3"/>
    </row>
    <row r="533" spans="2:4" x14ac:dyDescent="0.35">
      <c r="B533" s="3"/>
      <c r="C533" s="26"/>
      <c r="D533" s="3"/>
    </row>
    <row r="534" spans="2:4" x14ac:dyDescent="0.35">
      <c r="B534" s="3"/>
      <c r="C534" s="26"/>
      <c r="D534" s="3"/>
    </row>
    <row r="535" spans="2:4" x14ac:dyDescent="0.35">
      <c r="B535" s="3"/>
      <c r="C535" s="26"/>
      <c r="D535" s="3"/>
    </row>
    <row r="536" spans="2:4" x14ac:dyDescent="0.35">
      <c r="B536" s="3"/>
      <c r="C536" s="26"/>
      <c r="D536" s="3"/>
    </row>
    <row r="537" spans="2:4" x14ac:dyDescent="0.35">
      <c r="B537" s="3"/>
      <c r="C537" s="26"/>
      <c r="D537" s="3"/>
    </row>
    <row r="538" spans="2:4" x14ac:dyDescent="0.35">
      <c r="B538" s="3"/>
      <c r="C538" s="26"/>
      <c r="D538" s="3"/>
    </row>
    <row r="539" spans="2:4" x14ac:dyDescent="0.35">
      <c r="B539" s="3"/>
      <c r="C539" s="26"/>
      <c r="D539" s="3"/>
    </row>
    <row r="540" spans="2:4" x14ac:dyDescent="0.35">
      <c r="B540" s="3"/>
      <c r="C540" s="26"/>
      <c r="D540" s="3"/>
    </row>
    <row r="541" spans="2:4" x14ac:dyDescent="0.35">
      <c r="B541" s="3"/>
      <c r="C541" s="26"/>
      <c r="D541" s="3"/>
    </row>
    <row r="542" spans="2:4" x14ac:dyDescent="0.35">
      <c r="B542" s="3"/>
      <c r="C542" s="26"/>
      <c r="D542" s="3"/>
    </row>
    <row r="543" spans="2:4" x14ac:dyDescent="0.35">
      <c r="B543" s="3"/>
      <c r="C543" s="26"/>
      <c r="D543" s="3"/>
    </row>
    <row r="544" spans="2:4" x14ac:dyDescent="0.35">
      <c r="B544" s="3"/>
      <c r="C544" s="26"/>
      <c r="D544" s="3"/>
    </row>
    <row r="545" spans="2:4" x14ac:dyDescent="0.35">
      <c r="B545" s="3"/>
      <c r="C545" s="26"/>
      <c r="D545" s="3"/>
    </row>
    <row r="546" spans="2:4" x14ac:dyDescent="0.35">
      <c r="B546" s="3"/>
      <c r="C546" s="26"/>
      <c r="D546" s="3"/>
    </row>
    <row r="547" spans="2:4" x14ac:dyDescent="0.35">
      <c r="B547" s="3"/>
      <c r="C547" s="26"/>
      <c r="D547" s="3"/>
    </row>
    <row r="548" spans="2:4" x14ac:dyDescent="0.35">
      <c r="B548" s="3"/>
      <c r="C548" s="26"/>
      <c r="D548" s="3"/>
    </row>
    <row r="549" spans="2:4" x14ac:dyDescent="0.35">
      <c r="B549" s="3"/>
      <c r="C549" s="26"/>
      <c r="D549" s="3"/>
    </row>
    <row r="550" spans="2:4" x14ac:dyDescent="0.35">
      <c r="B550" s="3"/>
      <c r="C550" s="26"/>
      <c r="D550" s="3"/>
    </row>
    <row r="551" spans="2:4" x14ac:dyDescent="0.35">
      <c r="B551" s="3"/>
      <c r="C551" s="26"/>
      <c r="D551" s="3"/>
    </row>
    <row r="552" spans="2:4" x14ac:dyDescent="0.35">
      <c r="B552" s="3"/>
      <c r="C552" s="26"/>
      <c r="D552" s="3"/>
    </row>
    <row r="553" spans="2:4" x14ac:dyDescent="0.35">
      <c r="B553" s="3"/>
      <c r="C553" s="26"/>
      <c r="D553" s="3"/>
    </row>
    <row r="554" spans="2:4" x14ac:dyDescent="0.35">
      <c r="B554" s="3"/>
      <c r="C554" s="26"/>
      <c r="D554" s="3"/>
    </row>
    <row r="555" spans="2:4" x14ac:dyDescent="0.35">
      <c r="B555" s="3"/>
      <c r="C555" s="26"/>
      <c r="D555" s="3"/>
    </row>
    <row r="556" spans="2:4" x14ac:dyDescent="0.35">
      <c r="B556" s="3"/>
      <c r="C556" s="26"/>
      <c r="D556" s="3"/>
    </row>
    <row r="557" spans="2:4" x14ac:dyDescent="0.35">
      <c r="B557" s="3"/>
      <c r="C557" s="26"/>
      <c r="D557" s="3"/>
    </row>
    <row r="558" spans="2:4" x14ac:dyDescent="0.35">
      <c r="B558" s="3"/>
      <c r="C558" s="26"/>
      <c r="D558" s="3"/>
    </row>
    <row r="559" spans="2:4" x14ac:dyDescent="0.35">
      <c r="B559" s="3"/>
      <c r="C559" s="26"/>
      <c r="D559" s="3"/>
    </row>
    <row r="560" spans="2:4" x14ac:dyDescent="0.35">
      <c r="B560" s="3"/>
      <c r="C560" s="26"/>
      <c r="D560" s="3"/>
    </row>
    <row r="561" spans="2:4" x14ac:dyDescent="0.35">
      <c r="B561" s="3"/>
      <c r="C561" s="26"/>
      <c r="D561" s="3"/>
    </row>
    <row r="562" spans="2:4" x14ac:dyDescent="0.35">
      <c r="B562" s="3"/>
      <c r="C562" s="26"/>
      <c r="D562" s="3"/>
    </row>
    <row r="563" spans="2:4" x14ac:dyDescent="0.35">
      <c r="B563" s="3"/>
      <c r="C563" s="26"/>
      <c r="D563" s="3"/>
    </row>
    <row r="564" spans="2:4" x14ac:dyDescent="0.35">
      <c r="B564" s="3"/>
      <c r="C564" s="26"/>
      <c r="D564" s="3"/>
    </row>
    <row r="565" spans="2:4" x14ac:dyDescent="0.35">
      <c r="B565" s="3"/>
      <c r="C565" s="26"/>
      <c r="D565" s="3"/>
    </row>
    <row r="566" spans="2:4" x14ac:dyDescent="0.35">
      <c r="B566" s="3"/>
      <c r="C566" s="26"/>
      <c r="D566" s="3"/>
    </row>
    <row r="567" spans="2:4" x14ac:dyDescent="0.35">
      <c r="B567" s="3"/>
      <c r="C567" s="26"/>
      <c r="D567" s="3"/>
    </row>
    <row r="568" spans="2:4" x14ac:dyDescent="0.35">
      <c r="B568" s="3"/>
      <c r="C568" s="26"/>
      <c r="D568" s="3"/>
    </row>
    <row r="569" spans="2:4" x14ac:dyDescent="0.35">
      <c r="B569" s="3"/>
      <c r="C569" s="26"/>
      <c r="D569" s="3"/>
    </row>
    <row r="570" spans="2:4" x14ac:dyDescent="0.35">
      <c r="B570" s="3"/>
      <c r="C570" s="26"/>
      <c r="D570" s="3"/>
    </row>
    <row r="571" spans="2:4" x14ac:dyDescent="0.35">
      <c r="B571" s="3"/>
      <c r="C571" s="26"/>
      <c r="D571" s="3"/>
    </row>
    <row r="572" spans="2:4" x14ac:dyDescent="0.35">
      <c r="B572" s="3"/>
      <c r="C572" s="26"/>
      <c r="D572" s="3"/>
    </row>
    <row r="573" spans="2:4" x14ac:dyDescent="0.35">
      <c r="B573" s="3"/>
      <c r="C573" s="26"/>
      <c r="D573" s="3"/>
    </row>
    <row r="574" spans="2:4" x14ac:dyDescent="0.35">
      <c r="B574" s="3"/>
      <c r="C574" s="26"/>
      <c r="D574" s="3"/>
    </row>
    <row r="575" spans="2:4" x14ac:dyDescent="0.35">
      <c r="B575" s="3"/>
      <c r="C575" s="26"/>
      <c r="D575" s="3"/>
    </row>
    <row r="576" spans="2:4" x14ac:dyDescent="0.35">
      <c r="B576" s="3"/>
      <c r="C576" s="26"/>
      <c r="D576" s="3"/>
    </row>
    <row r="577" spans="2:4" x14ac:dyDescent="0.35">
      <c r="B577" s="3"/>
      <c r="C577" s="26"/>
      <c r="D577" s="3"/>
    </row>
    <row r="578" spans="2:4" x14ac:dyDescent="0.35">
      <c r="B578" s="3"/>
      <c r="C578" s="26"/>
      <c r="D578" s="3"/>
    </row>
    <row r="579" spans="2:4" x14ac:dyDescent="0.35">
      <c r="B579" s="3"/>
      <c r="C579" s="26"/>
      <c r="D579" s="3"/>
    </row>
    <row r="580" spans="2:4" x14ac:dyDescent="0.35">
      <c r="B580" s="3"/>
      <c r="C580" s="26"/>
      <c r="D580" s="3"/>
    </row>
    <row r="581" spans="2:4" x14ac:dyDescent="0.35">
      <c r="B581" s="3"/>
      <c r="C581" s="26"/>
      <c r="D581" s="3"/>
    </row>
    <row r="582" spans="2:4" x14ac:dyDescent="0.35">
      <c r="B582" s="3"/>
      <c r="C582" s="26"/>
      <c r="D582" s="3"/>
    </row>
    <row r="583" spans="2:4" x14ac:dyDescent="0.35">
      <c r="B583" s="3"/>
      <c r="C583" s="26"/>
      <c r="D583" s="3"/>
    </row>
    <row r="584" spans="2:4" x14ac:dyDescent="0.35">
      <c r="B584" s="3"/>
      <c r="C584" s="26"/>
      <c r="D584" s="3"/>
    </row>
    <row r="585" spans="2:4" x14ac:dyDescent="0.35">
      <c r="B585" s="3"/>
      <c r="C585" s="26"/>
      <c r="D585" s="3"/>
    </row>
    <row r="586" spans="2:4" x14ac:dyDescent="0.35">
      <c r="B586" s="3"/>
      <c r="C586" s="26"/>
      <c r="D586" s="3"/>
    </row>
    <row r="587" spans="2:4" x14ac:dyDescent="0.35">
      <c r="B587" s="3"/>
      <c r="C587" s="26"/>
      <c r="D587" s="3"/>
    </row>
    <row r="588" spans="2:4" x14ac:dyDescent="0.35">
      <c r="B588" s="3"/>
      <c r="C588" s="26"/>
      <c r="D588" s="3"/>
    </row>
    <row r="589" spans="2:4" x14ac:dyDescent="0.35">
      <c r="B589" s="3"/>
      <c r="C589" s="26"/>
      <c r="D589" s="3"/>
    </row>
    <row r="590" spans="2:4" x14ac:dyDescent="0.35">
      <c r="B590" s="3"/>
      <c r="C590" s="26"/>
      <c r="D590" s="3"/>
    </row>
    <row r="591" spans="2:4" x14ac:dyDescent="0.35">
      <c r="B591" s="3"/>
      <c r="C591" s="26"/>
      <c r="D591" s="3"/>
    </row>
    <row r="592" spans="2:4" x14ac:dyDescent="0.35">
      <c r="B592" s="3"/>
      <c r="C592" s="26"/>
      <c r="D592" s="3"/>
    </row>
    <row r="593" spans="2:4" x14ac:dyDescent="0.35">
      <c r="B593" s="3"/>
      <c r="C593" s="26"/>
      <c r="D593" s="3"/>
    </row>
    <row r="594" spans="2:4" x14ac:dyDescent="0.35">
      <c r="B594" s="3"/>
      <c r="C594" s="26"/>
      <c r="D594" s="3"/>
    </row>
    <row r="595" spans="2:4" x14ac:dyDescent="0.35">
      <c r="B595" s="3"/>
      <c r="C595" s="26"/>
      <c r="D595" s="3"/>
    </row>
    <row r="596" spans="2:4" x14ac:dyDescent="0.35">
      <c r="B596" s="3"/>
      <c r="C596" s="26"/>
      <c r="D596" s="3"/>
    </row>
    <row r="597" spans="2:4" x14ac:dyDescent="0.35">
      <c r="B597" s="3"/>
      <c r="C597" s="26"/>
      <c r="D597" s="3"/>
    </row>
    <row r="598" spans="2:4" x14ac:dyDescent="0.35">
      <c r="B598" s="3"/>
      <c r="C598" s="26"/>
      <c r="D598" s="3"/>
    </row>
    <row r="599" spans="2:4" x14ac:dyDescent="0.35">
      <c r="B599" s="3"/>
      <c r="C599" s="26"/>
      <c r="D599" s="3"/>
    </row>
    <row r="600" spans="2:4" x14ac:dyDescent="0.35">
      <c r="B600" s="3"/>
      <c r="C600" s="26"/>
      <c r="D600" s="3"/>
    </row>
    <row r="601" spans="2:4" x14ac:dyDescent="0.35">
      <c r="B601" s="3"/>
      <c r="C601" s="26"/>
      <c r="D601" s="3"/>
    </row>
    <row r="602" spans="2:4" x14ac:dyDescent="0.35">
      <c r="B602" s="3"/>
      <c r="C602" s="26"/>
      <c r="D602" s="3"/>
    </row>
    <row r="603" spans="2:4" x14ac:dyDescent="0.35">
      <c r="B603" s="3"/>
      <c r="C603" s="26"/>
      <c r="D603" s="3"/>
    </row>
    <row r="604" spans="2:4" x14ac:dyDescent="0.35">
      <c r="B604" s="3"/>
      <c r="C604" s="26"/>
      <c r="D604" s="3"/>
    </row>
    <row r="605" spans="2:4" x14ac:dyDescent="0.35">
      <c r="B605" s="3"/>
      <c r="C605" s="26"/>
      <c r="D605" s="3"/>
    </row>
    <row r="606" spans="2:4" x14ac:dyDescent="0.35">
      <c r="B606" s="3"/>
      <c r="C606" s="26"/>
      <c r="D606" s="3"/>
    </row>
    <row r="607" spans="2:4" x14ac:dyDescent="0.35">
      <c r="B607" s="3"/>
      <c r="C607" s="26"/>
      <c r="D607" s="3"/>
    </row>
    <row r="608" spans="2:4" x14ac:dyDescent="0.35">
      <c r="B608" s="3"/>
      <c r="C608" s="26"/>
      <c r="D608" s="3"/>
    </row>
    <row r="609" spans="2:4" x14ac:dyDescent="0.35">
      <c r="B609" s="3"/>
      <c r="C609" s="26"/>
      <c r="D609" s="3"/>
    </row>
    <row r="610" spans="2:4" x14ac:dyDescent="0.35">
      <c r="B610" s="3"/>
      <c r="C610" s="26"/>
      <c r="D610" s="3"/>
    </row>
    <row r="611" spans="2:4" x14ac:dyDescent="0.35">
      <c r="B611" s="3"/>
      <c r="C611" s="26"/>
      <c r="D611" s="3"/>
    </row>
    <row r="612" spans="2:4" x14ac:dyDescent="0.35">
      <c r="B612" s="3"/>
      <c r="C612" s="26"/>
      <c r="D612" s="3"/>
    </row>
    <row r="613" spans="2:4" x14ac:dyDescent="0.35">
      <c r="B613" s="3"/>
      <c r="C613" s="26"/>
      <c r="D613" s="3"/>
    </row>
    <row r="614" spans="2:4" x14ac:dyDescent="0.35">
      <c r="B614" s="3"/>
      <c r="C614" s="26"/>
      <c r="D614" s="3"/>
    </row>
    <row r="615" spans="2:4" x14ac:dyDescent="0.35">
      <c r="B615" s="3"/>
      <c r="C615" s="26"/>
      <c r="D615" s="3"/>
    </row>
    <row r="616" spans="2:4" x14ac:dyDescent="0.35">
      <c r="B616" s="3"/>
      <c r="C616" s="26"/>
      <c r="D616" s="3"/>
    </row>
    <row r="617" spans="2:4" x14ac:dyDescent="0.35">
      <c r="B617" s="3"/>
      <c r="C617" s="26"/>
      <c r="D617" s="3"/>
    </row>
    <row r="618" spans="2:4" x14ac:dyDescent="0.35">
      <c r="B618" s="3"/>
      <c r="C618" s="26"/>
      <c r="D618" s="3"/>
    </row>
    <row r="619" spans="2:4" x14ac:dyDescent="0.35">
      <c r="B619" s="3"/>
      <c r="C619" s="26"/>
      <c r="D619" s="3"/>
    </row>
    <row r="620" spans="2:4" x14ac:dyDescent="0.35">
      <c r="B620" s="3"/>
      <c r="C620" s="26"/>
      <c r="D620" s="3"/>
    </row>
    <row r="621" spans="2:4" x14ac:dyDescent="0.35">
      <c r="B621" s="3"/>
      <c r="C621" s="26"/>
      <c r="D621" s="3"/>
    </row>
    <row r="622" spans="2:4" x14ac:dyDescent="0.35">
      <c r="B622" s="3"/>
      <c r="C622" s="26"/>
      <c r="D622" s="3"/>
    </row>
    <row r="623" spans="2:4" x14ac:dyDescent="0.35">
      <c r="B623" s="3"/>
      <c r="C623" s="26"/>
      <c r="D623" s="3"/>
    </row>
    <row r="624" spans="2:4" x14ac:dyDescent="0.35">
      <c r="B624" s="3"/>
      <c r="C624" s="26"/>
      <c r="D624" s="3"/>
    </row>
    <row r="625" spans="2:4" x14ac:dyDescent="0.35">
      <c r="B625" s="3"/>
      <c r="C625" s="26"/>
      <c r="D625" s="3"/>
    </row>
    <row r="626" spans="2:4" x14ac:dyDescent="0.35">
      <c r="B626" s="3"/>
      <c r="C626" s="26"/>
      <c r="D626" s="3"/>
    </row>
    <row r="627" spans="2:4" x14ac:dyDescent="0.35">
      <c r="B627" s="3"/>
      <c r="C627" s="26"/>
      <c r="D627" s="3"/>
    </row>
    <row r="628" spans="2:4" x14ac:dyDescent="0.35">
      <c r="B628" s="3"/>
      <c r="C628" s="26"/>
      <c r="D628" s="3"/>
    </row>
    <row r="629" spans="2:4" x14ac:dyDescent="0.35">
      <c r="B629" s="3"/>
      <c r="C629" s="26"/>
      <c r="D629" s="3"/>
    </row>
    <row r="630" spans="2:4" x14ac:dyDescent="0.35">
      <c r="B630" s="3"/>
      <c r="C630" s="26"/>
      <c r="D630" s="3"/>
    </row>
    <row r="631" spans="2:4" x14ac:dyDescent="0.35">
      <c r="B631" s="3"/>
      <c r="C631" s="26"/>
      <c r="D631" s="3"/>
    </row>
    <row r="632" spans="2:4" x14ac:dyDescent="0.35">
      <c r="B632" s="3"/>
      <c r="C632" s="26"/>
      <c r="D632" s="3"/>
    </row>
    <row r="633" spans="2:4" x14ac:dyDescent="0.35">
      <c r="B633" s="3"/>
      <c r="C633" s="26"/>
      <c r="D633" s="3"/>
    </row>
    <row r="634" spans="2:4" x14ac:dyDescent="0.35">
      <c r="B634" s="3"/>
      <c r="C634" s="26"/>
      <c r="D634" s="3"/>
    </row>
    <row r="635" spans="2:4" x14ac:dyDescent="0.35">
      <c r="B635" s="3"/>
      <c r="C635" s="26"/>
      <c r="D635" s="3"/>
    </row>
    <row r="636" spans="2:4" x14ac:dyDescent="0.35">
      <c r="B636" s="3"/>
      <c r="C636" s="26"/>
      <c r="D636" s="3"/>
    </row>
    <row r="637" spans="2:4" x14ac:dyDescent="0.35">
      <c r="B637" s="3"/>
      <c r="C637" s="26"/>
      <c r="D637" s="3"/>
    </row>
    <row r="638" spans="2:4" x14ac:dyDescent="0.35">
      <c r="B638" s="3"/>
      <c r="C638" s="26"/>
      <c r="D638" s="3"/>
    </row>
    <row r="639" spans="2:4" x14ac:dyDescent="0.35">
      <c r="B639" s="3"/>
      <c r="C639" s="26"/>
      <c r="D639" s="3"/>
    </row>
    <row r="640" spans="2:4" x14ac:dyDescent="0.35">
      <c r="B640" s="3"/>
      <c r="C640" s="26"/>
      <c r="D640" s="3"/>
    </row>
    <row r="641" spans="2:4" x14ac:dyDescent="0.35">
      <c r="B641" s="3"/>
      <c r="C641" s="26"/>
      <c r="D641" s="3"/>
    </row>
    <row r="642" spans="2:4" x14ac:dyDescent="0.35">
      <c r="B642" s="3"/>
      <c r="C642" s="26"/>
      <c r="D642" s="3"/>
    </row>
    <row r="643" spans="2:4" x14ac:dyDescent="0.35">
      <c r="B643" s="3"/>
      <c r="C643" s="26"/>
      <c r="D643" s="3"/>
    </row>
    <row r="644" spans="2:4" x14ac:dyDescent="0.35">
      <c r="B644" s="3"/>
      <c r="C644" s="26"/>
      <c r="D644" s="3"/>
    </row>
    <row r="645" spans="2:4" x14ac:dyDescent="0.35">
      <c r="B645" s="3"/>
      <c r="C645" s="26"/>
      <c r="D645" s="3"/>
    </row>
    <row r="646" spans="2:4" x14ac:dyDescent="0.35">
      <c r="B646" s="3"/>
      <c r="C646" s="26"/>
      <c r="D646" s="3"/>
    </row>
    <row r="647" spans="2:4" x14ac:dyDescent="0.35">
      <c r="B647" s="3"/>
      <c r="C647" s="26"/>
      <c r="D647" s="3"/>
    </row>
    <row r="648" spans="2:4" x14ac:dyDescent="0.35">
      <c r="B648" s="3"/>
      <c r="C648" s="26"/>
      <c r="D648" s="3"/>
    </row>
    <row r="649" spans="2:4" x14ac:dyDescent="0.35">
      <c r="B649" s="3"/>
      <c r="C649" s="26"/>
      <c r="D649" s="3"/>
    </row>
    <row r="650" spans="2:4" x14ac:dyDescent="0.35">
      <c r="B650" s="3"/>
      <c r="C650" s="26"/>
      <c r="D650" s="3"/>
    </row>
    <row r="651" spans="2:4" x14ac:dyDescent="0.35">
      <c r="B651" s="3"/>
      <c r="C651" s="26"/>
      <c r="D651" s="3"/>
    </row>
    <row r="652" spans="2:4" x14ac:dyDescent="0.35">
      <c r="B652" s="3"/>
      <c r="C652" s="26"/>
      <c r="D652" s="3"/>
    </row>
    <row r="653" spans="2:4" x14ac:dyDescent="0.35">
      <c r="B653" s="3"/>
      <c r="C653" s="26"/>
      <c r="D653" s="3"/>
    </row>
    <row r="654" spans="2:4" x14ac:dyDescent="0.35">
      <c r="B654" s="3"/>
      <c r="C654" s="26"/>
      <c r="D654" s="3"/>
    </row>
    <row r="655" spans="2:4" x14ac:dyDescent="0.35">
      <c r="B655" s="3"/>
      <c r="C655" s="26"/>
      <c r="D655" s="3"/>
    </row>
    <row r="656" spans="2:4" x14ac:dyDescent="0.35">
      <c r="B656" s="3"/>
      <c r="C656" s="26"/>
      <c r="D656" s="3"/>
    </row>
    <row r="657" spans="2:4" x14ac:dyDescent="0.35">
      <c r="B657" s="3"/>
      <c r="C657" s="26"/>
      <c r="D657" s="3"/>
    </row>
    <row r="658" spans="2:4" x14ac:dyDescent="0.35">
      <c r="B658" s="3"/>
      <c r="C658" s="26"/>
      <c r="D658" s="3"/>
    </row>
    <row r="659" spans="2:4" x14ac:dyDescent="0.35">
      <c r="B659" s="3"/>
      <c r="C659" s="26"/>
      <c r="D659" s="3"/>
    </row>
    <row r="660" spans="2:4" x14ac:dyDescent="0.35">
      <c r="B660" s="3"/>
      <c r="C660" s="26"/>
      <c r="D660" s="3"/>
    </row>
    <row r="661" spans="2:4" x14ac:dyDescent="0.35">
      <c r="B661" s="3"/>
      <c r="C661" s="26"/>
      <c r="D661" s="3"/>
    </row>
    <row r="662" spans="2:4" x14ac:dyDescent="0.35">
      <c r="B662" s="3"/>
      <c r="C662" s="26"/>
      <c r="D662" s="3"/>
    </row>
    <row r="663" spans="2:4" x14ac:dyDescent="0.35">
      <c r="B663" s="3"/>
      <c r="C663" s="26"/>
      <c r="D663" s="3"/>
    </row>
    <row r="664" spans="2:4" x14ac:dyDescent="0.35">
      <c r="B664" s="3"/>
      <c r="C664" s="26"/>
      <c r="D664" s="3"/>
    </row>
    <row r="665" spans="2:4" x14ac:dyDescent="0.35">
      <c r="B665" s="3"/>
      <c r="C665" s="26"/>
      <c r="D665" s="3"/>
    </row>
    <row r="666" spans="2:4" x14ac:dyDescent="0.35">
      <c r="B666" s="3"/>
      <c r="C666" s="26"/>
      <c r="D666" s="3"/>
    </row>
    <row r="667" spans="2:4" x14ac:dyDescent="0.35">
      <c r="B667" s="3"/>
      <c r="C667" s="26"/>
      <c r="D667" s="3"/>
    </row>
    <row r="668" spans="2:4" x14ac:dyDescent="0.35">
      <c r="B668" s="3"/>
      <c r="C668" s="26"/>
      <c r="D668" s="3"/>
    </row>
    <row r="669" spans="2:4" x14ac:dyDescent="0.35">
      <c r="B669" s="3"/>
      <c r="C669" s="26"/>
      <c r="D669" s="3"/>
    </row>
    <row r="670" spans="2:4" x14ac:dyDescent="0.35">
      <c r="B670" s="3"/>
      <c r="C670" s="26"/>
      <c r="D670" s="3"/>
    </row>
    <row r="671" spans="2:4" x14ac:dyDescent="0.35">
      <c r="B671" s="3"/>
      <c r="C671" s="26"/>
      <c r="D671" s="3"/>
    </row>
    <row r="672" spans="2:4" x14ac:dyDescent="0.35">
      <c r="B672" s="3"/>
      <c r="C672" s="26"/>
      <c r="D672" s="3"/>
    </row>
    <row r="673" spans="2:4" x14ac:dyDescent="0.35">
      <c r="B673" s="3"/>
      <c r="C673" s="26"/>
      <c r="D673" s="3"/>
    </row>
    <row r="674" spans="2:4" x14ac:dyDescent="0.35">
      <c r="B674" s="3"/>
      <c r="C674" s="26"/>
      <c r="D674" s="3"/>
    </row>
    <row r="675" spans="2:4" x14ac:dyDescent="0.35">
      <c r="B675" s="3"/>
      <c r="C675" s="26"/>
      <c r="D675" s="3"/>
    </row>
    <row r="676" spans="2:4" x14ac:dyDescent="0.35">
      <c r="B676" s="3"/>
      <c r="C676" s="26"/>
      <c r="D676" s="3"/>
    </row>
    <row r="677" spans="2:4" x14ac:dyDescent="0.35">
      <c r="B677" s="3"/>
      <c r="C677" s="26"/>
      <c r="D677" s="3"/>
    </row>
    <row r="678" spans="2:4" x14ac:dyDescent="0.35">
      <c r="B678" s="3"/>
      <c r="C678" s="26"/>
      <c r="D678" s="3"/>
    </row>
    <row r="679" spans="2:4" x14ac:dyDescent="0.35">
      <c r="B679" s="3"/>
      <c r="C679" s="26"/>
      <c r="D679" s="3"/>
    </row>
    <row r="680" spans="2:4" x14ac:dyDescent="0.35">
      <c r="B680" s="3"/>
      <c r="C680" s="26"/>
      <c r="D680" s="3"/>
    </row>
    <row r="681" spans="2:4" x14ac:dyDescent="0.35">
      <c r="B681" s="3"/>
      <c r="C681" s="26"/>
      <c r="D681" s="3"/>
    </row>
    <row r="682" spans="2:4" x14ac:dyDescent="0.35">
      <c r="B682" s="3"/>
      <c r="C682" s="26"/>
      <c r="D682" s="3"/>
    </row>
    <row r="683" spans="2:4" x14ac:dyDescent="0.35">
      <c r="B683" s="3"/>
      <c r="C683" s="26"/>
      <c r="D683" s="3"/>
    </row>
    <row r="684" spans="2:4" x14ac:dyDescent="0.35">
      <c r="B684" s="3"/>
      <c r="C684" s="26"/>
      <c r="D684" s="3"/>
    </row>
    <row r="685" spans="2:4" x14ac:dyDescent="0.35">
      <c r="B685" s="3"/>
      <c r="C685" s="26"/>
      <c r="D685" s="3"/>
    </row>
    <row r="686" spans="2:4" x14ac:dyDescent="0.35">
      <c r="B686" s="3"/>
      <c r="C686" s="26"/>
      <c r="D686" s="3"/>
    </row>
    <row r="687" spans="2:4" x14ac:dyDescent="0.35">
      <c r="B687" s="3"/>
      <c r="C687" s="26"/>
      <c r="D687" s="3"/>
    </row>
    <row r="688" spans="2:4" x14ac:dyDescent="0.35">
      <c r="B688" s="3"/>
      <c r="C688" s="26"/>
      <c r="D688" s="3"/>
    </row>
    <row r="689" spans="2:4" x14ac:dyDescent="0.35">
      <c r="B689" s="3"/>
      <c r="C689" s="26"/>
      <c r="D689" s="3"/>
    </row>
    <row r="690" spans="2:4" x14ac:dyDescent="0.35">
      <c r="B690" s="3"/>
      <c r="C690" s="26"/>
      <c r="D690" s="3"/>
    </row>
    <row r="691" spans="2:4" x14ac:dyDescent="0.35">
      <c r="B691" s="3"/>
      <c r="C691" s="26"/>
      <c r="D691" s="3"/>
    </row>
    <row r="692" spans="2:4" x14ac:dyDescent="0.35">
      <c r="B692" s="3"/>
      <c r="C692" s="26"/>
      <c r="D692" s="3"/>
    </row>
    <row r="693" spans="2:4" x14ac:dyDescent="0.35">
      <c r="B693" s="3"/>
      <c r="C693" s="26"/>
      <c r="D693" s="3"/>
    </row>
    <row r="694" spans="2:4" x14ac:dyDescent="0.35">
      <c r="B694" s="3"/>
      <c r="C694" s="26"/>
      <c r="D694" s="3"/>
    </row>
    <row r="695" spans="2:4" x14ac:dyDescent="0.35">
      <c r="B695" s="3"/>
      <c r="C695" s="26"/>
      <c r="D695" s="3"/>
    </row>
    <row r="696" spans="2:4" x14ac:dyDescent="0.35">
      <c r="B696" s="3"/>
      <c r="C696" s="26"/>
      <c r="D696" s="3"/>
    </row>
    <row r="697" spans="2:4" x14ac:dyDescent="0.35">
      <c r="B697" s="3"/>
      <c r="C697" s="26"/>
      <c r="D697" s="3"/>
    </row>
    <row r="698" spans="2:4" x14ac:dyDescent="0.35">
      <c r="B698" s="3"/>
      <c r="C698" s="26"/>
      <c r="D698" s="3"/>
    </row>
    <row r="699" spans="2:4" x14ac:dyDescent="0.35">
      <c r="B699" s="3"/>
      <c r="C699" s="26"/>
      <c r="D699" s="3"/>
    </row>
    <row r="700" spans="2:4" x14ac:dyDescent="0.35">
      <c r="B700" s="3"/>
      <c r="C700" s="26"/>
      <c r="D700" s="3"/>
    </row>
    <row r="701" spans="2:4" x14ac:dyDescent="0.35">
      <c r="B701" s="3"/>
      <c r="C701" s="26"/>
      <c r="D701" s="3"/>
    </row>
    <row r="702" spans="2:4" x14ac:dyDescent="0.35">
      <c r="B702" s="3"/>
      <c r="C702" s="26"/>
      <c r="D702" s="3"/>
    </row>
    <row r="703" spans="2:4" x14ac:dyDescent="0.35">
      <c r="B703" s="3"/>
      <c r="C703" s="26"/>
      <c r="D703" s="3"/>
    </row>
    <row r="704" spans="2:4" x14ac:dyDescent="0.35">
      <c r="B704" s="3"/>
      <c r="C704" s="26"/>
      <c r="D704" s="3"/>
    </row>
    <row r="705" spans="2:4" x14ac:dyDescent="0.35">
      <c r="B705" s="3"/>
      <c r="C705" s="26"/>
      <c r="D705" s="3"/>
    </row>
    <row r="706" spans="2:4" x14ac:dyDescent="0.35">
      <c r="B706" s="3"/>
      <c r="C706" s="26"/>
      <c r="D706" s="3"/>
    </row>
    <row r="707" spans="2:4" x14ac:dyDescent="0.35">
      <c r="B707" s="3"/>
      <c r="C707" s="26"/>
      <c r="D707" s="3"/>
    </row>
    <row r="708" spans="2:4" x14ac:dyDescent="0.35">
      <c r="B708" s="3"/>
      <c r="C708" s="26"/>
      <c r="D708" s="3"/>
    </row>
    <row r="709" spans="2:4" x14ac:dyDescent="0.35">
      <c r="B709" s="3"/>
      <c r="C709" s="26"/>
      <c r="D709" s="3"/>
    </row>
    <row r="710" spans="2:4" x14ac:dyDescent="0.35">
      <c r="B710" s="3"/>
      <c r="C710" s="26"/>
      <c r="D710" s="3"/>
    </row>
    <row r="711" spans="2:4" x14ac:dyDescent="0.35">
      <c r="B711" s="3"/>
      <c r="C711" s="26"/>
      <c r="D711" s="3"/>
    </row>
    <row r="712" spans="2:4" x14ac:dyDescent="0.35">
      <c r="B712" s="3"/>
      <c r="C712" s="26"/>
      <c r="D712" s="3"/>
    </row>
    <row r="713" spans="2:4" x14ac:dyDescent="0.35">
      <c r="B713" s="3"/>
      <c r="C713" s="26"/>
      <c r="D713" s="3"/>
    </row>
    <row r="714" spans="2:4" x14ac:dyDescent="0.35">
      <c r="B714" s="3"/>
      <c r="C714" s="26"/>
      <c r="D714" s="3"/>
    </row>
    <row r="715" spans="2:4" x14ac:dyDescent="0.35">
      <c r="B715" s="3"/>
      <c r="C715" s="26"/>
      <c r="D715" s="3"/>
    </row>
    <row r="716" spans="2:4" x14ac:dyDescent="0.35">
      <c r="B716" s="3"/>
      <c r="C716" s="26"/>
      <c r="D716" s="3"/>
    </row>
    <row r="717" spans="2:4" x14ac:dyDescent="0.35">
      <c r="B717" s="3"/>
      <c r="C717" s="26"/>
      <c r="D717" s="3"/>
    </row>
    <row r="718" spans="2:4" x14ac:dyDescent="0.35">
      <c r="B718" s="3"/>
      <c r="C718" s="26"/>
      <c r="D718" s="3"/>
    </row>
    <row r="719" spans="2:4" x14ac:dyDescent="0.35">
      <c r="B719" s="3"/>
      <c r="C719" s="26"/>
      <c r="D719" s="3"/>
    </row>
    <row r="720" spans="2:4" x14ac:dyDescent="0.35">
      <c r="B720" s="3"/>
      <c r="C720" s="26"/>
      <c r="D720" s="3"/>
    </row>
    <row r="721" spans="2:4" x14ac:dyDescent="0.35">
      <c r="B721" s="3"/>
      <c r="C721" s="26"/>
      <c r="D721" s="3"/>
    </row>
    <row r="722" spans="2:4" x14ac:dyDescent="0.35">
      <c r="B722" s="3"/>
      <c r="C722" s="26"/>
      <c r="D722" s="3"/>
    </row>
    <row r="723" spans="2:4" x14ac:dyDescent="0.35">
      <c r="B723" s="3"/>
      <c r="C723" s="26"/>
      <c r="D723" s="3"/>
    </row>
    <row r="724" spans="2:4" x14ac:dyDescent="0.35">
      <c r="B724" s="3"/>
      <c r="C724" s="26"/>
      <c r="D724" s="3"/>
    </row>
    <row r="725" spans="2:4" x14ac:dyDescent="0.35">
      <c r="B725" s="3"/>
      <c r="C725" s="26"/>
      <c r="D725" s="3"/>
    </row>
    <row r="726" spans="2:4" x14ac:dyDescent="0.35">
      <c r="B726" s="3"/>
      <c r="C726" s="26"/>
      <c r="D726" s="3"/>
    </row>
    <row r="727" spans="2:4" x14ac:dyDescent="0.35">
      <c r="B727" s="3"/>
      <c r="C727" s="26"/>
      <c r="D727" s="3"/>
    </row>
    <row r="728" spans="2:4" x14ac:dyDescent="0.35">
      <c r="B728" s="3"/>
      <c r="C728" s="26"/>
      <c r="D728" s="3"/>
    </row>
    <row r="729" spans="2:4" x14ac:dyDescent="0.35">
      <c r="B729" s="3"/>
      <c r="C729" s="26"/>
      <c r="D729" s="3"/>
    </row>
    <row r="730" spans="2:4" x14ac:dyDescent="0.35">
      <c r="B730" s="3"/>
      <c r="C730" s="26"/>
      <c r="D730" s="3"/>
    </row>
    <row r="731" spans="2:4" x14ac:dyDescent="0.35">
      <c r="B731" s="3"/>
      <c r="C731" s="26"/>
      <c r="D731" s="3"/>
    </row>
    <row r="732" spans="2:4" x14ac:dyDescent="0.35">
      <c r="B732" s="3"/>
      <c r="C732" s="26"/>
      <c r="D732" s="3"/>
    </row>
    <row r="733" spans="2:4" x14ac:dyDescent="0.35">
      <c r="B733" s="3"/>
      <c r="C733" s="26"/>
      <c r="D733" s="3"/>
    </row>
    <row r="734" spans="2:4" x14ac:dyDescent="0.35">
      <c r="B734" s="3"/>
      <c r="C734" s="26"/>
      <c r="D734" s="3"/>
    </row>
    <row r="735" spans="2:4" x14ac:dyDescent="0.35">
      <c r="B735" s="3"/>
      <c r="C735" s="26"/>
      <c r="D735" s="3"/>
    </row>
    <row r="736" spans="2:4" x14ac:dyDescent="0.35">
      <c r="B736" s="3"/>
      <c r="C736" s="26"/>
      <c r="D736" s="3"/>
    </row>
    <row r="737" spans="2:4" x14ac:dyDescent="0.35">
      <c r="B737" s="3"/>
      <c r="C737" s="26"/>
      <c r="D737" s="3"/>
    </row>
    <row r="738" spans="2:4" x14ac:dyDescent="0.35">
      <c r="B738" s="3"/>
      <c r="C738" s="26"/>
      <c r="D738" s="3"/>
    </row>
    <row r="739" spans="2:4" x14ac:dyDescent="0.35">
      <c r="B739" s="3"/>
      <c r="C739" s="26"/>
      <c r="D739" s="3"/>
    </row>
    <row r="740" spans="2:4" x14ac:dyDescent="0.35">
      <c r="B740" s="3"/>
      <c r="C740" s="26"/>
      <c r="D740" s="3"/>
    </row>
    <row r="741" spans="2:4" x14ac:dyDescent="0.35">
      <c r="B741" s="3"/>
      <c r="C741" s="26"/>
      <c r="D741" s="3"/>
    </row>
    <row r="742" spans="2:4" x14ac:dyDescent="0.35">
      <c r="B742" s="3"/>
      <c r="C742" s="26"/>
      <c r="D742" s="3"/>
    </row>
    <row r="743" spans="2:4" x14ac:dyDescent="0.35">
      <c r="B743" s="3"/>
      <c r="C743" s="26"/>
      <c r="D743" s="3"/>
    </row>
    <row r="744" spans="2:4" x14ac:dyDescent="0.35">
      <c r="B744" s="3"/>
      <c r="C744" s="26"/>
      <c r="D744" s="3"/>
    </row>
    <row r="745" spans="2:4" x14ac:dyDescent="0.35">
      <c r="B745" s="3"/>
      <c r="C745" s="26"/>
      <c r="D745" s="3"/>
    </row>
    <row r="746" spans="2:4" x14ac:dyDescent="0.35">
      <c r="B746" s="3"/>
      <c r="C746" s="26"/>
      <c r="D746" s="3"/>
    </row>
    <row r="747" spans="2:4" x14ac:dyDescent="0.35">
      <c r="B747" s="3"/>
      <c r="C747" s="26"/>
      <c r="D747" s="3"/>
    </row>
    <row r="748" spans="2:4" x14ac:dyDescent="0.35">
      <c r="B748" s="3"/>
      <c r="C748" s="26"/>
      <c r="D748" s="3"/>
    </row>
    <row r="749" spans="2:4" x14ac:dyDescent="0.35">
      <c r="B749" s="3"/>
      <c r="C749" s="26"/>
      <c r="D749" s="3"/>
    </row>
    <row r="750" spans="2:4" x14ac:dyDescent="0.35">
      <c r="B750" s="3"/>
      <c r="C750" s="26"/>
      <c r="D750" s="3"/>
    </row>
    <row r="751" spans="2:4" x14ac:dyDescent="0.35">
      <c r="B751" s="3"/>
      <c r="C751" s="26"/>
      <c r="D751" s="3"/>
    </row>
    <row r="752" spans="2:4" x14ac:dyDescent="0.35">
      <c r="B752" s="3"/>
      <c r="C752" s="26"/>
      <c r="D752" s="3"/>
    </row>
    <row r="753" spans="2:4" x14ac:dyDescent="0.35">
      <c r="B753" s="3"/>
      <c r="C753" s="26"/>
      <c r="D753" s="3"/>
    </row>
    <row r="754" spans="2:4" x14ac:dyDescent="0.35">
      <c r="B754" s="3"/>
      <c r="C754" s="26"/>
      <c r="D754" s="3"/>
    </row>
    <row r="755" spans="2:4" x14ac:dyDescent="0.35">
      <c r="B755" s="3"/>
      <c r="C755" s="26"/>
      <c r="D755" s="3"/>
    </row>
    <row r="756" spans="2:4" x14ac:dyDescent="0.35">
      <c r="B756" s="3"/>
      <c r="C756" s="26"/>
      <c r="D756" s="3"/>
    </row>
    <row r="757" spans="2:4" x14ac:dyDescent="0.35">
      <c r="B757" s="3"/>
      <c r="C757" s="26"/>
      <c r="D757" s="3"/>
    </row>
    <row r="758" spans="2:4" x14ac:dyDescent="0.35">
      <c r="B758" s="3"/>
      <c r="C758" s="26"/>
      <c r="D758" s="3"/>
    </row>
    <row r="759" spans="2:4" x14ac:dyDescent="0.35">
      <c r="B759" s="3"/>
      <c r="C759" s="26"/>
      <c r="D759" s="3"/>
    </row>
    <row r="760" spans="2:4" x14ac:dyDescent="0.35">
      <c r="B760" s="3"/>
      <c r="C760" s="26"/>
      <c r="D760" s="3"/>
    </row>
    <row r="761" spans="2:4" x14ac:dyDescent="0.35">
      <c r="B761" s="3"/>
      <c r="C761" s="26"/>
      <c r="D761" s="3"/>
    </row>
    <row r="762" spans="2:4" x14ac:dyDescent="0.35">
      <c r="B762" s="3"/>
      <c r="C762" s="26"/>
      <c r="D762" s="3"/>
    </row>
    <row r="763" spans="2:4" x14ac:dyDescent="0.35">
      <c r="B763" s="3"/>
      <c r="C763" s="26"/>
      <c r="D763" s="3"/>
    </row>
    <row r="764" spans="2:4" x14ac:dyDescent="0.35">
      <c r="B764" s="3"/>
      <c r="C764" s="26"/>
      <c r="D764" s="3"/>
    </row>
    <row r="765" spans="2:4" x14ac:dyDescent="0.35">
      <c r="B765" s="3"/>
      <c r="C765" s="26"/>
      <c r="D765" s="3"/>
    </row>
    <row r="766" spans="2:4" x14ac:dyDescent="0.35">
      <c r="B766" s="3"/>
      <c r="C766" s="26"/>
      <c r="D766" s="3"/>
    </row>
    <row r="767" spans="2:4" x14ac:dyDescent="0.35">
      <c r="B767" s="3"/>
      <c r="C767" s="26"/>
      <c r="D767" s="3"/>
    </row>
    <row r="768" spans="2:4" x14ac:dyDescent="0.35">
      <c r="B768" s="3"/>
      <c r="C768" s="26"/>
      <c r="D768" s="3"/>
    </row>
    <row r="769" spans="2:4" x14ac:dyDescent="0.35">
      <c r="B769" s="3"/>
      <c r="C769" s="26"/>
      <c r="D769" s="3"/>
    </row>
    <row r="770" spans="2:4" x14ac:dyDescent="0.35">
      <c r="B770" s="3"/>
      <c r="C770" s="26"/>
      <c r="D770" s="3"/>
    </row>
    <row r="771" spans="2:4" x14ac:dyDescent="0.35">
      <c r="B771" s="3"/>
      <c r="C771" s="26"/>
      <c r="D771" s="3"/>
    </row>
    <row r="772" spans="2:4" x14ac:dyDescent="0.35">
      <c r="B772" s="3"/>
      <c r="C772" s="26"/>
      <c r="D772" s="3"/>
    </row>
    <row r="773" spans="2:4" x14ac:dyDescent="0.35">
      <c r="B773" s="3"/>
      <c r="C773" s="26"/>
      <c r="D773" s="3"/>
    </row>
    <row r="774" spans="2:4" x14ac:dyDescent="0.35">
      <c r="B774" s="3"/>
      <c r="C774" s="26"/>
      <c r="D774" s="3"/>
    </row>
    <row r="775" spans="2:4" x14ac:dyDescent="0.35">
      <c r="B775" s="3"/>
      <c r="C775" s="26"/>
      <c r="D775" s="3"/>
    </row>
    <row r="776" spans="2:4" x14ac:dyDescent="0.35">
      <c r="B776" s="3"/>
      <c r="C776" s="26"/>
      <c r="D776" s="3"/>
    </row>
    <row r="777" spans="2:4" x14ac:dyDescent="0.35">
      <c r="B777" s="3"/>
      <c r="C777" s="26"/>
      <c r="D777" s="3"/>
    </row>
    <row r="778" spans="2:4" x14ac:dyDescent="0.35">
      <c r="B778" s="3"/>
      <c r="C778" s="26"/>
      <c r="D778" s="3"/>
    </row>
    <row r="779" spans="2:4" x14ac:dyDescent="0.35">
      <c r="B779" s="3"/>
      <c r="C779" s="26"/>
      <c r="D779" s="3"/>
    </row>
    <row r="780" spans="2:4" x14ac:dyDescent="0.35">
      <c r="B780" s="3"/>
      <c r="C780" s="26"/>
      <c r="D780" s="3"/>
    </row>
    <row r="781" spans="2:4" x14ac:dyDescent="0.35">
      <c r="B781" s="3"/>
      <c r="C781" s="26"/>
      <c r="D781" s="3"/>
    </row>
    <row r="782" spans="2:4" x14ac:dyDescent="0.35">
      <c r="B782" s="3"/>
      <c r="C782" s="26"/>
      <c r="D782" s="3"/>
    </row>
    <row r="783" spans="2:4" x14ac:dyDescent="0.35">
      <c r="B783" s="3"/>
      <c r="C783" s="26"/>
      <c r="D783" s="3"/>
    </row>
    <row r="784" spans="2:4" x14ac:dyDescent="0.35">
      <c r="B784" s="3"/>
      <c r="C784" s="26"/>
      <c r="D784" s="3"/>
    </row>
    <row r="785" spans="2:4" x14ac:dyDescent="0.35">
      <c r="B785" s="3"/>
      <c r="C785" s="26"/>
      <c r="D785" s="3"/>
    </row>
    <row r="786" spans="2:4" x14ac:dyDescent="0.35">
      <c r="B786" s="3"/>
      <c r="C786" s="26"/>
      <c r="D786" s="3"/>
    </row>
    <row r="787" spans="2:4" x14ac:dyDescent="0.35">
      <c r="B787" s="3"/>
      <c r="C787" s="26"/>
      <c r="D787" s="3"/>
    </row>
    <row r="788" spans="2:4" x14ac:dyDescent="0.35">
      <c r="B788" s="3"/>
      <c r="C788" s="26"/>
      <c r="D788" s="3"/>
    </row>
    <row r="789" spans="2:4" x14ac:dyDescent="0.35">
      <c r="B789" s="3"/>
      <c r="C789" s="26"/>
      <c r="D789" s="3"/>
    </row>
    <row r="790" spans="2:4" x14ac:dyDescent="0.35">
      <c r="B790" s="3"/>
      <c r="C790" s="26"/>
      <c r="D790" s="3"/>
    </row>
    <row r="791" spans="2:4" x14ac:dyDescent="0.35">
      <c r="B791" s="3"/>
      <c r="C791" s="26"/>
      <c r="D791" s="3"/>
    </row>
    <row r="792" spans="2:4" x14ac:dyDescent="0.35">
      <c r="B792" s="3"/>
      <c r="C792" s="26"/>
      <c r="D792" s="3"/>
    </row>
    <row r="793" spans="2:4" x14ac:dyDescent="0.35">
      <c r="B793" s="3"/>
      <c r="C793" s="26"/>
      <c r="D793" s="3"/>
    </row>
    <row r="794" spans="2:4" x14ac:dyDescent="0.35">
      <c r="B794" s="3"/>
      <c r="C794" s="26"/>
      <c r="D794" s="3"/>
    </row>
    <row r="795" spans="2:4" x14ac:dyDescent="0.35">
      <c r="B795" s="3"/>
      <c r="C795" s="26"/>
      <c r="D795" s="3"/>
    </row>
    <row r="796" spans="2:4" x14ac:dyDescent="0.35">
      <c r="B796" s="3"/>
      <c r="C796" s="26"/>
      <c r="D796" s="3"/>
    </row>
    <row r="797" spans="2:4" x14ac:dyDescent="0.35">
      <c r="B797" s="3"/>
      <c r="C797" s="26"/>
      <c r="D797" s="3"/>
    </row>
    <row r="798" spans="2:4" x14ac:dyDescent="0.35">
      <c r="B798" s="3"/>
      <c r="C798" s="26"/>
      <c r="D798" s="3"/>
    </row>
    <row r="799" spans="2:4" x14ac:dyDescent="0.35">
      <c r="B799" s="3"/>
      <c r="C799" s="26"/>
      <c r="D799" s="3"/>
    </row>
    <row r="800" spans="2:4" x14ac:dyDescent="0.35">
      <c r="B800" s="3"/>
      <c r="C800" s="26"/>
      <c r="D800" s="3"/>
    </row>
    <row r="801" spans="2:4" x14ac:dyDescent="0.35">
      <c r="B801" s="3"/>
      <c r="C801" s="26"/>
      <c r="D801" s="3"/>
    </row>
    <row r="802" spans="2:4" x14ac:dyDescent="0.35">
      <c r="B802" s="3"/>
      <c r="C802" s="26"/>
      <c r="D802" s="3"/>
    </row>
    <row r="803" spans="2:4" x14ac:dyDescent="0.35">
      <c r="B803" s="3"/>
      <c r="C803" s="26"/>
      <c r="D803" s="3"/>
    </row>
    <row r="804" spans="2:4" x14ac:dyDescent="0.35">
      <c r="B804" s="3"/>
      <c r="C804" s="26"/>
      <c r="D804" s="3"/>
    </row>
    <row r="805" spans="2:4" x14ac:dyDescent="0.35">
      <c r="B805" s="3"/>
      <c r="C805" s="26"/>
      <c r="D805" s="3"/>
    </row>
    <row r="806" spans="2:4" x14ac:dyDescent="0.35">
      <c r="B806" s="3"/>
      <c r="C806" s="26"/>
      <c r="D806" s="3"/>
    </row>
    <row r="807" spans="2:4" x14ac:dyDescent="0.35">
      <c r="B807" s="3"/>
      <c r="C807" s="26"/>
      <c r="D807" s="3"/>
    </row>
    <row r="808" spans="2:4" x14ac:dyDescent="0.35">
      <c r="B808" s="3"/>
      <c r="C808" s="26"/>
      <c r="D808" s="3"/>
    </row>
    <row r="809" spans="2:4" x14ac:dyDescent="0.35">
      <c r="B809" s="3"/>
      <c r="C809" s="26"/>
      <c r="D809" s="3"/>
    </row>
    <row r="810" spans="2:4" x14ac:dyDescent="0.35">
      <c r="B810" s="3"/>
      <c r="C810" s="26"/>
      <c r="D810" s="3"/>
    </row>
    <row r="811" spans="2:4" x14ac:dyDescent="0.35">
      <c r="B811" s="3"/>
      <c r="C811" s="26"/>
      <c r="D811" s="3"/>
    </row>
    <row r="812" spans="2:4" x14ac:dyDescent="0.35">
      <c r="B812" s="3"/>
      <c r="C812" s="26"/>
      <c r="D812" s="3"/>
    </row>
    <row r="813" spans="2:4" x14ac:dyDescent="0.35">
      <c r="B813" s="3"/>
      <c r="C813" s="26"/>
      <c r="D813" s="3"/>
    </row>
    <row r="814" spans="2:4" x14ac:dyDescent="0.35">
      <c r="B814" s="3"/>
      <c r="C814" s="26"/>
      <c r="D814" s="3"/>
    </row>
    <row r="815" spans="2:4" x14ac:dyDescent="0.35">
      <c r="B815" s="3"/>
      <c r="C815" s="26"/>
      <c r="D815" s="3"/>
    </row>
    <row r="816" spans="2:4" x14ac:dyDescent="0.35">
      <c r="B816" s="3"/>
      <c r="C816" s="26"/>
      <c r="D816" s="3"/>
    </row>
    <row r="817" spans="2:4" x14ac:dyDescent="0.35">
      <c r="B817" s="3"/>
      <c r="C817" s="26"/>
      <c r="D817" s="3"/>
    </row>
    <row r="818" spans="2:4" x14ac:dyDescent="0.35">
      <c r="B818" s="3"/>
      <c r="C818" s="26"/>
      <c r="D818" s="3"/>
    </row>
    <row r="819" spans="2:4" x14ac:dyDescent="0.35">
      <c r="B819" s="3"/>
      <c r="C819" s="26"/>
      <c r="D819" s="3"/>
    </row>
    <row r="820" spans="2:4" x14ac:dyDescent="0.35">
      <c r="B820" s="3"/>
      <c r="C820" s="26"/>
      <c r="D820" s="3"/>
    </row>
    <row r="821" spans="2:4" x14ac:dyDescent="0.35">
      <c r="B821" s="3"/>
      <c r="C821" s="26"/>
      <c r="D821" s="3"/>
    </row>
    <row r="822" spans="2:4" x14ac:dyDescent="0.35">
      <c r="B822" s="3"/>
      <c r="C822" s="26"/>
      <c r="D822" s="3"/>
    </row>
    <row r="823" spans="2:4" x14ac:dyDescent="0.35">
      <c r="B823" s="3"/>
      <c r="C823" s="26"/>
      <c r="D823" s="3"/>
    </row>
    <row r="824" spans="2:4" x14ac:dyDescent="0.35">
      <c r="B824" s="3"/>
      <c r="C824" s="26"/>
      <c r="D824" s="3"/>
    </row>
    <row r="825" spans="2:4" x14ac:dyDescent="0.35">
      <c r="B825" s="3"/>
      <c r="C825" s="26"/>
      <c r="D825" s="3"/>
    </row>
    <row r="826" spans="2:4" x14ac:dyDescent="0.35">
      <c r="B826" s="3"/>
      <c r="C826" s="26"/>
      <c r="D826" s="3"/>
    </row>
    <row r="827" spans="2:4" x14ac:dyDescent="0.35">
      <c r="B827" s="3"/>
      <c r="C827" s="26"/>
      <c r="D827" s="3"/>
    </row>
    <row r="828" spans="2:4" x14ac:dyDescent="0.35">
      <c r="B828" s="3"/>
      <c r="C828" s="26"/>
      <c r="D828" s="3"/>
    </row>
    <row r="829" spans="2:4" x14ac:dyDescent="0.35">
      <c r="B829" s="3"/>
      <c r="C829" s="26"/>
      <c r="D829" s="3"/>
    </row>
    <row r="830" spans="2:4" x14ac:dyDescent="0.35">
      <c r="B830" s="3"/>
      <c r="C830" s="26"/>
      <c r="D830" s="3"/>
    </row>
    <row r="831" spans="2:4" x14ac:dyDescent="0.35">
      <c r="B831" s="3"/>
      <c r="C831" s="26"/>
      <c r="D831" s="3"/>
    </row>
    <row r="832" spans="2:4" x14ac:dyDescent="0.35">
      <c r="B832" s="3"/>
      <c r="C832" s="26"/>
      <c r="D832" s="3"/>
    </row>
    <row r="833" spans="2:4" x14ac:dyDescent="0.35">
      <c r="B833" s="3"/>
      <c r="C833" s="26"/>
      <c r="D833" s="3"/>
    </row>
    <row r="834" spans="2:4" x14ac:dyDescent="0.35">
      <c r="B834" s="3"/>
      <c r="C834" s="26"/>
      <c r="D834" s="3"/>
    </row>
    <row r="835" spans="2:4" x14ac:dyDescent="0.35">
      <c r="B835" s="3"/>
      <c r="C835" s="26"/>
      <c r="D835" s="3"/>
    </row>
    <row r="836" spans="2:4" x14ac:dyDescent="0.35">
      <c r="B836" s="3"/>
      <c r="C836" s="26"/>
      <c r="D836" s="3"/>
    </row>
    <row r="837" spans="2:4" x14ac:dyDescent="0.35">
      <c r="B837" s="3"/>
      <c r="C837" s="26"/>
      <c r="D837" s="3"/>
    </row>
    <row r="838" spans="2:4" x14ac:dyDescent="0.35">
      <c r="B838" s="3"/>
      <c r="C838" s="26"/>
      <c r="D838" s="3"/>
    </row>
    <row r="839" spans="2:4" x14ac:dyDescent="0.35">
      <c r="B839" s="3"/>
      <c r="C839" s="26"/>
      <c r="D839" s="3"/>
    </row>
    <row r="840" spans="2:4" x14ac:dyDescent="0.35">
      <c r="B840" s="3"/>
      <c r="C840" s="26"/>
      <c r="D840" s="3"/>
    </row>
    <row r="841" spans="2:4" x14ac:dyDescent="0.35">
      <c r="B841" s="3"/>
      <c r="C841" s="26"/>
      <c r="D841" s="3"/>
    </row>
    <row r="842" spans="2:4" x14ac:dyDescent="0.35">
      <c r="B842" s="3"/>
      <c r="C842" s="26"/>
      <c r="D842" s="3"/>
    </row>
    <row r="843" spans="2:4" x14ac:dyDescent="0.35">
      <c r="B843" s="3"/>
      <c r="C843" s="26"/>
      <c r="D843" s="3"/>
    </row>
    <row r="844" spans="2:4" x14ac:dyDescent="0.35">
      <c r="B844" s="3"/>
      <c r="C844" s="26"/>
      <c r="D844" s="3"/>
    </row>
    <row r="845" spans="2:4" x14ac:dyDescent="0.35">
      <c r="B845" s="3"/>
      <c r="C845" s="26"/>
      <c r="D845" s="3"/>
    </row>
    <row r="846" spans="2:4" x14ac:dyDescent="0.35">
      <c r="B846" s="3"/>
      <c r="C846" s="26"/>
      <c r="D846" s="3"/>
    </row>
    <row r="847" spans="2:4" x14ac:dyDescent="0.35">
      <c r="B847" s="3"/>
      <c r="C847" s="26"/>
      <c r="D847" s="3"/>
    </row>
    <row r="848" spans="2:4" x14ac:dyDescent="0.35">
      <c r="B848" s="3"/>
      <c r="C848" s="26"/>
      <c r="D848" s="3"/>
    </row>
    <row r="849" spans="2:4" x14ac:dyDescent="0.35">
      <c r="B849" s="3"/>
      <c r="C849" s="26"/>
      <c r="D849" s="3"/>
    </row>
    <row r="850" spans="2:4" x14ac:dyDescent="0.35">
      <c r="B850" s="3"/>
      <c r="C850" s="26"/>
      <c r="D850" s="3"/>
    </row>
    <row r="851" spans="2:4" x14ac:dyDescent="0.35">
      <c r="B851" s="3"/>
      <c r="C851" s="26"/>
      <c r="D851" s="3"/>
    </row>
    <row r="852" spans="2:4" x14ac:dyDescent="0.35">
      <c r="B852" s="3"/>
      <c r="C852" s="26"/>
      <c r="D852" s="3"/>
    </row>
    <row r="853" spans="2:4" x14ac:dyDescent="0.35">
      <c r="B853" s="3"/>
      <c r="C853" s="26"/>
      <c r="D853" s="3"/>
    </row>
    <row r="854" spans="2:4" x14ac:dyDescent="0.35">
      <c r="B854" s="3"/>
      <c r="C854" s="26"/>
      <c r="D854" s="3"/>
    </row>
    <row r="855" spans="2:4" x14ac:dyDescent="0.35">
      <c r="B855" s="3"/>
      <c r="C855" s="26"/>
      <c r="D855" s="3"/>
    </row>
    <row r="856" spans="2:4" x14ac:dyDescent="0.35">
      <c r="B856" s="3"/>
      <c r="C856" s="26"/>
      <c r="D856" s="3"/>
    </row>
    <row r="857" spans="2:4" x14ac:dyDescent="0.35">
      <c r="B857" s="3"/>
      <c r="C857" s="26"/>
      <c r="D857" s="3"/>
    </row>
    <row r="858" spans="2:4" x14ac:dyDescent="0.35">
      <c r="B858" s="3"/>
      <c r="C858" s="26"/>
      <c r="D858" s="3"/>
    </row>
    <row r="859" spans="2:4" x14ac:dyDescent="0.35">
      <c r="B859" s="3"/>
      <c r="C859" s="26"/>
      <c r="D859" s="3"/>
    </row>
    <row r="860" spans="2:4" x14ac:dyDescent="0.35">
      <c r="B860" s="3"/>
      <c r="C860" s="26"/>
      <c r="D860" s="3"/>
    </row>
    <row r="861" spans="2:4" x14ac:dyDescent="0.35">
      <c r="B861" s="3"/>
      <c r="C861" s="26"/>
      <c r="D861" s="3"/>
    </row>
    <row r="862" spans="2:4" x14ac:dyDescent="0.35">
      <c r="B862" s="3"/>
      <c r="C862" s="26"/>
      <c r="D862" s="3"/>
    </row>
    <row r="863" spans="2:4" x14ac:dyDescent="0.35">
      <c r="B863" s="3"/>
      <c r="C863" s="26"/>
      <c r="D863" s="3"/>
    </row>
    <row r="864" spans="2:4" x14ac:dyDescent="0.35">
      <c r="B864" s="3"/>
      <c r="C864" s="26"/>
      <c r="D864" s="3"/>
    </row>
    <row r="865" spans="2:4" x14ac:dyDescent="0.35">
      <c r="B865" s="3"/>
      <c r="C865" s="26"/>
      <c r="D865" s="3"/>
    </row>
    <row r="866" spans="2:4" x14ac:dyDescent="0.35">
      <c r="B866" s="3"/>
      <c r="C866" s="26"/>
      <c r="D866" s="3"/>
    </row>
    <row r="867" spans="2:4" x14ac:dyDescent="0.35">
      <c r="B867" s="3"/>
      <c r="C867" s="26"/>
      <c r="D867" s="3"/>
    </row>
    <row r="868" spans="2:4" x14ac:dyDescent="0.35">
      <c r="B868" s="3"/>
      <c r="C868" s="26"/>
      <c r="D868" s="3"/>
    </row>
    <row r="869" spans="2:4" x14ac:dyDescent="0.35">
      <c r="B869" s="3"/>
      <c r="C869" s="26"/>
      <c r="D869" s="3"/>
    </row>
    <row r="870" spans="2:4" x14ac:dyDescent="0.35">
      <c r="B870" s="3"/>
      <c r="C870" s="26"/>
      <c r="D870" s="3"/>
    </row>
    <row r="871" spans="2:4" x14ac:dyDescent="0.35">
      <c r="B871" s="3"/>
      <c r="C871" s="26"/>
      <c r="D871" s="3"/>
    </row>
    <row r="872" spans="2:4" x14ac:dyDescent="0.35">
      <c r="B872" s="3"/>
      <c r="C872" s="26"/>
      <c r="D872" s="3"/>
    </row>
    <row r="873" spans="2:4" x14ac:dyDescent="0.35">
      <c r="B873" s="3"/>
      <c r="C873" s="26"/>
      <c r="D873" s="3"/>
    </row>
    <row r="874" spans="2:4" x14ac:dyDescent="0.35">
      <c r="B874" s="3"/>
      <c r="C874" s="26"/>
      <c r="D874" s="3"/>
    </row>
    <row r="875" spans="2:4" x14ac:dyDescent="0.35">
      <c r="B875" s="3"/>
      <c r="C875" s="26"/>
      <c r="D875" s="3"/>
    </row>
    <row r="876" spans="2:4" x14ac:dyDescent="0.35">
      <c r="B876" s="3"/>
      <c r="C876" s="26"/>
      <c r="D876" s="3"/>
    </row>
    <row r="877" spans="2:4" x14ac:dyDescent="0.35">
      <c r="B877" s="3"/>
      <c r="C877" s="26"/>
      <c r="D877" s="3"/>
    </row>
    <row r="878" spans="2:4" x14ac:dyDescent="0.35">
      <c r="B878" s="3"/>
      <c r="C878" s="26"/>
      <c r="D878" s="3"/>
    </row>
    <row r="879" spans="2:4" x14ac:dyDescent="0.35">
      <c r="B879" s="3"/>
      <c r="C879" s="26"/>
      <c r="D879" s="3"/>
    </row>
    <row r="880" spans="2:4" x14ac:dyDescent="0.35">
      <c r="B880" s="3"/>
      <c r="C880" s="26"/>
      <c r="D880" s="3"/>
    </row>
    <row r="881" spans="2:4" x14ac:dyDescent="0.35">
      <c r="B881" s="3"/>
      <c r="C881" s="26"/>
      <c r="D881" s="3"/>
    </row>
    <row r="882" spans="2:4" x14ac:dyDescent="0.35">
      <c r="B882" s="3"/>
      <c r="C882" s="26"/>
      <c r="D882" s="3"/>
    </row>
    <row r="883" spans="2:4" x14ac:dyDescent="0.35">
      <c r="B883" s="3"/>
      <c r="C883" s="26"/>
      <c r="D883" s="3"/>
    </row>
    <row r="884" spans="2:4" x14ac:dyDescent="0.35">
      <c r="B884" s="3"/>
      <c r="C884" s="26"/>
      <c r="D884" s="3"/>
    </row>
    <row r="885" spans="2:4" x14ac:dyDescent="0.35">
      <c r="B885" s="3"/>
      <c r="C885" s="26"/>
      <c r="D885" s="3"/>
    </row>
    <row r="886" spans="2:4" x14ac:dyDescent="0.35">
      <c r="B886" s="3"/>
      <c r="C886" s="26"/>
      <c r="D886" s="3"/>
    </row>
    <row r="887" spans="2:4" x14ac:dyDescent="0.35">
      <c r="B887" s="3"/>
      <c r="C887" s="26"/>
      <c r="D887" s="3"/>
    </row>
    <row r="888" spans="2:4" x14ac:dyDescent="0.35">
      <c r="B888" s="3"/>
      <c r="C888" s="26"/>
      <c r="D888" s="3"/>
    </row>
    <row r="889" spans="2:4" x14ac:dyDescent="0.35">
      <c r="B889" s="3"/>
      <c r="C889" s="26"/>
      <c r="D889" s="3"/>
    </row>
    <row r="890" spans="2:4" x14ac:dyDescent="0.35">
      <c r="B890" s="3"/>
      <c r="C890" s="26"/>
      <c r="D890" s="3"/>
    </row>
    <row r="891" spans="2:4" x14ac:dyDescent="0.35">
      <c r="B891" s="3"/>
      <c r="C891" s="26"/>
      <c r="D891" s="3"/>
    </row>
    <row r="892" spans="2:4" x14ac:dyDescent="0.35">
      <c r="B892" s="3"/>
      <c r="C892" s="26"/>
      <c r="D892" s="3"/>
    </row>
    <row r="893" spans="2:4" x14ac:dyDescent="0.35">
      <c r="B893" s="3"/>
      <c r="C893" s="26"/>
      <c r="D893" s="3"/>
    </row>
    <row r="894" spans="2:4" x14ac:dyDescent="0.35">
      <c r="B894" s="3"/>
      <c r="C894" s="26"/>
      <c r="D894" s="3"/>
    </row>
    <row r="895" spans="2:4" x14ac:dyDescent="0.35">
      <c r="B895" s="3"/>
      <c r="C895" s="26"/>
      <c r="D895" s="3"/>
    </row>
    <row r="896" spans="2:4" x14ac:dyDescent="0.35">
      <c r="B896" s="3"/>
      <c r="C896" s="26"/>
      <c r="D896" s="3"/>
    </row>
    <row r="897" spans="2:4" x14ac:dyDescent="0.35">
      <c r="B897" s="3"/>
      <c r="C897" s="26"/>
      <c r="D897" s="3"/>
    </row>
    <row r="898" spans="2:4" x14ac:dyDescent="0.35">
      <c r="B898" s="3"/>
      <c r="C898" s="26"/>
      <c r="D898" s="3"/>
    </row>
    <row r="899" spans="2:4" x14ac:dyDescent="0.35">
      <c r="B899" s="3"/>
      <c r="C899" s="26"/>
      <c r="D899" s="3"/>
    </row>
    <row r="900" spans="2:4" x14ac:dyDescent="0.35">
      <c r="B900" s="3"/>
      <c r="C900" s="26"/>
      <c r="D900" s="3"/>
    </row>
    <row r="901" spans="2:4" x14ac:dyDescent="0.35">
      <c r="B901" s="3"/>
      <c r="C901" s="26"/>
      <c r="D901" s="3"/>
    </row>
    <row r="902" spans="2:4" x14ac:dyDescent="0.35">
      <c r="B902" s="3"/>
      <c r="C902" s="26"/>
      <c r="D902" s="3"/>
    </row>
    <row r="903" spans="2:4" x14ac:dyDescent="0.35">
      <c r="B903" s="3"/>
      <c r="C903" s="26"/>
      <c r="D903" s="3"/>
    </row>
    <row r="904" spans="2:4" x14ac:dyDescent="0.35">
      <c r="B904" s="3"/>
      <c r="C904" s="26"/>
      <c r="D904" s="3"/>
    </row>
    <row r="905" spans="2:4" x14ac:dyDescent="0.35">
      <c r="B905" s="3"/>
      <c r="C905" s="26"/>
      <c r="D905" s="3"/>
    </row>
    <row r="906" spans="2:4" x14ac:dyDescent="0.35">
      <c r="B906" s="3"/>
      <c r="C906" s="26"/>
      <c r="D906" s="3"/>
    </row>
    <row r="907" spans="2:4" x14ac:dyDescent="0.35">
      <c r="B907" s="3"/>
      <c r="C907" s="26"/>
      <c r="D907" s="3"/>
    </row>
    <row r="908" spans="2:4" x14ac:dyDescent="0.35">
      <c r="B908" s="3"/>
      <c r="C908" s="26"/>
      <c r="D908" s="3"/>
    </row>
    <row r="909" spans="2:4" x14ac:dyDescent="0.35">
      <c r="B909" s="3"/>
      <c r="C909" s="26"/>
      <c r="D909" s="3"/>
    </row>
    <row r="910" spans="2:4" x14ac:dyDescent="0.35">
      <c r="B910" s="3"/>
      <c r="C910" s="26"/>
      <c r="D910" s="3"/>
    </row>
    <row r="911" spans="2:4" x14ac:dyDescent="0.35">
      <c r="B911" s="3"/>
      <c r="C911" s="26"/>
      <c r="D911" s="3"/>
    </row>
    <row r="912" spans="2:4" x14ac:dyDescent="0.35">
      <c r="B912" s="3"/>
      <c r="C912" s="26"/>
      <c r="D912" s="3"/>
    </row>
    <row r="913" spans="2:4" x14ac:dyDescent="0.35">
      <c r="B913" s="3"/>
      <c r="C913" s="26"/>
      <c r="D913" s="3"/>
    </row>
    <row r="914" spans="2:4" x14ac:dyDescent="0.35">
      <c r="B914" s="3"/>
      <c r="C914" s="26"/>
      <c r="D914" s="3"/>
    </row>
    <row r="915" spans="2:4" x14ac:dyDescent="0.35">
      <c r="B915" s="3"/>
      <c r="C915" s="26"/>
      <c r="D915" s="3"/>
    </row>
    <row r="916" spans="2:4" x14ac:dyDescent="0.35">
      <c r="B916" s="3"/>
      <c r="C916" s="26"/>
      <c r="D916" s="3"/>
    </row>
    <row r="917" spans="2:4" x14ac:dyDescent="0.35">
      <c r="B917" s="3"/>
      <c r="C917" s="26"/>
      <c r="D917" s="3"/>
    </row>
    <row r="918" spans="2:4" x14ac:dyDescent="0.35">
      <c r="B918" s="3"/>
      <c r="C918" s="26"/>
      <c r="D918" s="3"/>
    </row>
    <row r="919" spans="2:4" x14ac:dyDescent="0.35">
      <c r="B919" s="3"/>
      <c r="C919" s="26"/>
      <c r="D919" s="3"/>
    </row>
    <row r="920" spans="2:4" x14ac:dyDescent="0.35">
      <c r="B920" s="3"/>
      <c r="C920" s="26"/>
      <c r="D920" s="3"/>
    </row>
    <row r="921" spans="2:4" x14ac:dyDescent="0.35">
      <c r="B921" s="3"/>
      <c r="C921" s="26"/>
      <c r="D921" s="3"/>
    </row>
    <row r="922" spans="2:4" x14ac:dyDescent="0.35">
      <c r="B922" s="3"/>
      <c r="C922" s="26"/>
      <c r="D922" s="3"/>
    </row>
    <row r="923" spans="2:4" x14ac:dyDescent="0.35">
      <c r="B923" s="3"/>
      <c r="C923" s="26"/>
      <c r="D923" s="3"/>
    </row>
    <row r="924" spans="2:4" x14ac:dyDescent="0.35">
      <c r="B924" s="3"/>
      <c r="C924" s="26"/>
      <c r="D924" s="3"/>
    </row>
    <row r="925" spans="2:4" x14ac:dyDescent="0.35">
      <c r="B925" s="3"/>
      <c r="C925" s="26"/>
      <c r="D925" s="3"/>
    </row>
    <row r="926" spans="2:4" x14ac:dyDescent="0.35">
      <c r="B926" s="3"/>
      <c r="C926" s="26"/>
      <c r="D926" s="3"/>
    </row>
    <row r="927" spans="2:4" x14ac:dyDescent="0.35">
      <c r="B927" s="3"/>
      <c r="C927" s="26"/>
      <c r="D927" s="3"/>
    </row>
    <row r="928" spans="2:4" x14ac:dyDescent="0.35">
      <c r="B928" s="3"/>
      <c r="C928" s="26"/>
      <c r="D928" s="3"/>
    </row>
    <row r="929" spans="2:4" x14ac:dyDescent="0.35">
      <c r="B929" s="3"/>
      <c r="C929" s="26"/>
      <c r="D929" s="3"/>
    </row>
    <row r="930" spans="2:4" x14ac:dyDescent="0.35">
      <c r="B930" s="3"/>
      <c r="C930" s="26"/>
      <c r="D930" s="3"/>
    </row>
    <row r="931" spans="2:4" x14ac:dyDescent="0.35">
      <c r="B931" s="3"/>
      <c r="C931" s="26"/>
      <c r="D931" s="3"/>
    </row>
    <row r="932" spans="2:4" x14ac:dyDescent="0.35">
      <c r="B932" s="3"/>
      <c r="C932" s="26"/>
      <c r="D932" s="3"/>
    </row>
    <row r="933" spans="2:4" x14ac:dyDescent="0.35">
      <c r="B933" s="3"/>
      <c r="C933" s="26"/>
      <c r="D933" s="3"/>
    </row>
    <row r="934" spans="2:4" x14ac:dyDescent="0.35">
      <c r="B934" s="3"/>
      <c r="C934" s="26"/>
      <c r="D934" s="3"/>
    </row>
    <row r="935" spans="2:4" x14ac:dyDescent="0.35">
      <c r="B935" s="3"/>
      <c r="C935" s="26"/>
      <c r="D935" s="3"/>
    </row>
    <row r="936" spans="2:4" x14ac:dyDescent="0.35">
      <c r="B936" s="3"/>
      <c r="C936" s="26"/>
      <c r="D936" s="3"/>
    </row>
    <row r="937" spans="2:4" x14ac:dyDescent="0.35">
      <c r="B937" s="3"/>
      <c r="C937" s="26"/>
      <c r="D937" s="3"/>
    </row>
    <row r="938" spans="2:4" x14ac:dyDescent="0.35">
      <c r="B938" s="3"/>
      <c r="C938" s="26"/>
      <c r="D938" s="3"/>
    </row>
    <row r="939" spans="2:4" x14ac:dyDescent="0.35">
      <c r="B939" s="3"/>
      <c r="C939" s="26"/>
      <c r="D939" s="3"/>
    </row>
    <row r="940" spans="2:4" x14ac:dyDescent="0.35">
      <c r="B940" s="3"/>
      <c r="C940" s="26"/>
      <c r="D940" s="3"/>
    </row>
    <row r="941" spans="2:4" x14ac:dyDescent="0.35">
      <c r="B941" s="3"/>
      <c r="C941" s="26"/>
      <c r="D941" s="3"/>
    </row>
    <row r="942" spans="2:4" x14ac:dyDescent="0.35">
      <c r="B942" s="3"/>
      <c r="C942" s="26"/>
      <c r="D942" s="3"/>
    </row>
    <row r="943" spans="2:4" x14ac:dyDescent="0.35">
      <c r="B943" s="3"/>
      <c r="C943" s="26"/>
      <c r="D943" s="3"/>
    </row>
    <row r="944" spans="2:4" x14ac:dyDescent="0.35">
      <c r="B944" s="3"/>
      <c r="C944" s="26"/>
      <c r="D944" s="3"/>
    </row>
    <row r="945" spans="2:4" x14ac:dyDescent="0.35">
      <c r="B945" s="3"/>
      <c r="C945" s="26"/>
      <c r="D945" s="3"/>
    </row>
    <row r="946" spans="2:4" x14ac:dyDescent="0.35">
      <c r="B946" s="3"/>
      <c r="C946" s="26"/>
      <c r="D946" s="3"/>
    </row>
    <row r="947" spans="2:4" x14ac:dyDescent="0.35">
      <c r="B947" s="3"/>
      <c r="C947" s="26"/>
      <c r="D947" s="3"/>
    </row>
    <row r="948" spans="2:4" x14ac:dyDescent="0.35">
      <c r="B948" s="3"/>
      <c r="C948" s="26"/>
      <c r="D948" s="3"/>
    </row>
    <row r="949" spans="2:4" x14ac:dyDescent="0.35">
      <c r="B949" s="3"/>
      <c r="C949" s="26"/>
      <c r="D949" s="3"/>
    </row>
    <row r="950" spans="2:4" x14ac:dyDescent="0.35">
      <c r="B950" s="3"/>
      <c r="C950" s="26"/>
      <c r="D950" s="3"/>
    </row>
    <row r="951" spans="2:4" x14ac:dyDescent="0.35">
      <c r="B951" s="3"/>
      <c r="C951" s="26"/>
      <c r="D951" s="3"/>
    </row>
    <row r="952" spans="2:4" x14ac:dyDescent="0.35">
      <c r="B952" s="3"/>
      <c r="C952" s="26"/>
      <c r="D952" s="3"/>
    </row>
    <row r="953" spans="2:4" x14ac:dyDescent="0.35">
      <c r="B953" s="3"/>
      <c r="C953" s="26"/>
      <c r="D953" s="3"/>
    </row>
    <row r="954" spans="2:4" x14ac:dyDescent="0.35">
      <c r="B954" s="3"/>
      <c r="C954" s="26"/>
      <c r="D954" s="3"/>
    </row>
    <row r="955" spans="2:4" x14ac:dyDescent="0.35">
      <c r="B955" s="3"/>
      <c r="C955" s="26"/>
      <c r="D955" s="3"/>
    </row>
    <row r="956" spans="2:4" x14ac:dyDescent="0.35">
      <c r="B956" s="3"/>
      <c r="C956" s="26"/>
      <c r="D956" s="3"/>
    </row>
    <row r="957" spans="2:4" x14ac:dyDescent="0.35">
      <c r="B957" s="3"/>
      <c r="C957" s="26"/>
      <c r="D957" s="3"/>
    </row>
    <row r="958" spans="2:4" x14ac:dyDescent="0.35">
      <c r="B958" s="3"/>
      <c r="C958" s="26"/>
      <c r="D958" s="3"/>
    </row>
    <row r="959" spans="2:4" x14ac:dyDescent="0.35">
      <c r="B959" s="3"/>
      <c r="C959" s="26"/>
      <c r="D959" s="3"/>
    </row>
    <row r="960" spans="2:4" x14ac:dyDescent="0.35">
      <c r="B960" s="3"/>
      <c r="C960" s="26"/>
      <c r="D960" s="3"/>
    </row>
    <row r="961" spans="2:4" x14ac:dyDescent="0.35">
      <c r="B961" s="3"/>
      <c r="C961" s="26"/>
      <c r="D961" s="3"/>
    </row>
    <row r="962" spans="2:4" x14ac:dyDescent="0.35">
      <c r="B962" s="3"/>
      <c r="C962" s="26"/>
      <c r="D962" s="3"/>
    </row>
    <row r="963" spans="2:4" x14ac:dyDescent="0.35">
      <c r="B963" s="3"/>
      <c r="C963" s="26"/>
      <c r="D963" s="3"/>
    </row>
    <row r="964" spans="2:4" x14ac:dyDescent="0.35">
      <c r="B964" s="3"/>
      <c r="C964" s="26"/>
      <c r="D964" s="3"/>
    </row>
    <row r="965" spans="2:4" x14ac:dyDescent="0.35">
      <c r="B965" s="3"/>
      <c r="C965" s="26"/>
      <c r="D965" s="3"/>
    </row>
    <row r="966" spans="2:4" x14ac:dyDescent="0.35">
      <c r="B966" s="3"/>
      <c r="C966" s="26"/>
      <c r="D966" s="3"/>
    </row>
    <row r="967" spans="2:4" x14ac:dyDescent="0.35">
      <c r="B967" s="3"/>
      <c r="C967" s="26"/>
      <c r="D967" s="3"/>
    </row>
    <row r="968" spans="2:4" x14ac:dyDescent="0.35">
      <c r="B968" s="3"/>
      <c r="C968" s="26"/>
      <c r="D968" s="3"/>
    </row>
    <row r="969" spans="2:4" x14ac:dyDescent="0.35">
      <c r="B969" s="3"/>
      <c r="C969" s="26"/>
      <c r="D969" s="3"/>
    </row>
    <row r="970" spans="2:4" x14ac:dyDescent="0.35">
      <c r="B970" s="3"/>
      <c r="C970" s="26"/>
      <c r="D970" s="3"/>
    </row>
    <row r="971" spans="2:4" x14ac:dyDescent="0.35">
      <c r="B971" s="3"/>
      <c r="C971" s="26"/>
      <c r="D971" s="3"/>
    </row>
    <row r="972" spans="2:4" x14ac:dyDescent="0.35">
      <c r="B972" s="3"/>
      <c r="C972" s="26"/>
      <c r="D972" s="3"/>
    </row>
    <row r="973" spans="2:4" x14ac:dyDescent="0.35">
      <c r="B973" s="3"/>
      <c r="C973" s="26"/>
      <c r="D973" s="3"/>
    </row>
    <row r="974" spans="2:4" x14ac:dyDescent="0.35">
      <c r="B974" s="3"/>
      <c r="C974" s="26"/>
      <c r="D974" s="3"/>
    </row>
    <row r="975" spans="2:4" x14ac:dyDescent="0.35">
      <c r="B975" s="3"/>
      <c r="C975" s="26"/>
      <c r="D975" s="3"/>
    </row>
    <row r="976" spans="2:4" x14ac:dyDescent="0.35">
      <c r="B976" s="3"/>
      <c r="C976" s="26"/>
      <c r="D976" s="3"/>
    </row>
    <row r="977" spans="2:4" x14ac:dyDescent="0.35">
      <c r="B977" s="3"/>
      <c r="C977" s="26"/>
      <c r="D977" s="3"/>
    </row>
    <row r="978" spans="2:4" x14ac:dyDescent="0.35">
      <c r="B978" s="3"/>
      <c r="C978" s="26"/>
      <c r="D978" s="3"/>
    </row>
    <row r="979" spans="2:4" x14ac:dyDescent="0.35">
      <c r="B979" s="3"/>
      <c r="C979" s="26"/>
      <c r="D979" s="3"/>
    </row>
    <row r="980" spans="2:4" x14ac:dyDescent="0.35">
      <c r="B980" s="3"/>
      <c r="C980" s="26"/>
      <c r="D980" s="3"/>
    </row>
    <row r="981" spans="2:4" x14ac:dyDescent="0.35">
      <c r="B981" s="3"/>
      <c r="C981" s="26"/>
      <c r="D981" s="3"/>
    </row>
    <row r="982" spans="2:4" x14ac:dyDescent="0.35">
      <c r="B982" s="3"/>
      <c r="C982" s="26"/>
      <c r="D982" s="3"/>
    </row>
    <row r="983" spans="2:4" x14ac:dyDescent="0.35">
      <c r="B983" s="3"/>
      <c r="C983" s="26"/>
      <c r="D983" s="3"/>
    </row>
    <row r="984" spans="2:4" x14ac:dyDescent="0.35">
      <c r="B984" s="3"/>
      <c r="C984" s="26"/>
      <c r="D984" s="3"/>
    </row>
    <row r="985" spans="2:4" x14ac:dyDescent="0.35">
      <c r="B985" s="3"/>
      <c r="C985" s="26"/>
      <c r="D985" s="3"/>
    </row>
    <row r="986" spans="2:4" x14ac:dyDescent="0.35">
      <c r="B986" s="3"/>
      <c r="C986" s="26"/>
      <c r="D986" s="3"/>
    </row>
    <row r="987" spans="2:4" x14ac:dyDescent="0.35">
      <c r="B987" s="3"/>
      <c r="C987" s="26"/>
      <c r="D987" s="3"/>
    </row>
    <row r="988" spans="2:4" x14ac:dyDescent="0.35">
      <c r="B988" s="3"/>
      <c r="C988" s="26"/>
      <c r="D988" s="3"/>
    </row>
    <row r="989" spans="2:4" x14ac:dyDescent="0.35">
      <c r="B989" s="3"/>
      <c r="C989" s="26"/>
      <c r="D989" s="3"/>
    </row>
    <row r="990" spans="2:4" x14ac:dyDescent="0.35">
      <c r="B990" s="3"/>
      <c r="C990" s="26"/>
      <c r="D990" s="3"/>
    </row>
    <row r="991" spans="2:4" x14ac:dyDescent="0.35">
      <c r="B991" s="3"/>
      <c r="C991" s="26"/>
      <c r="D991" s="3"/>
    </row>
    <row r="992" spans="2:4" x14ac:dyDescent="0.35">
      <c r="B992" s="3"/>
      <c r="C992" s="26"/>
      <c r="D992" s="3"/>
    </row>
    <row r="993" spans="2:4" x14ac:dyDescent="0.35">
      <c r="B993" s="3"/>
      <c r="C993" s="26"/>
      <c r="D993" s="3"/>
    </row>
    <row r="994" spans="2:4" x14ac:dyDescent="0.35">
      <c r="B994" s="3"/>
      <c r="C994" s="26"/>
      <c r="D994" s="3"/>
    </row>
    <row r="995" spans="2:4" x14ac:dyDescent="0.35">
      <c r="B995" s="3"/>
      <c r="C995" s="26"/>
      <c r="D995" s="3"/>
    </row>
    <row r="996" spans="2:4" x14ac:dyDescent="0.35">
      <c r="B996" s="3"/>
      <c r="C996" s="26"/>
      <c r="D996" s="3"/>
    </row>
    <row r="997" spans="2:4" x14ac:dyDescent="0.35">
      <c r="B997" s="3"/>
      <c r="C997" s="26"/>
      <c r="D997" s="3"/>
    </row>
    <row r="998" spans="2:4" x14ac:dyDescent="0.35">
      <c r="B998" s="3"/>
      <c r="C998" s="26"/>
      <c r="D998" s="3"/>
    </row>
    <row r="999" spans="2:4" x14ac:dyDescent="0.35">
      <c r="B999" s="3"/>
      <c r="C999" s="26"/>
      <c r="D999" s="3"/>
    </row>
    <row r="1000" spans="2:4" x14ac:dyDescent="0.35">
      <c r="B1000" s="3"/>
      <c r="C1000" s="26"/>
      <c r="D1000" s="3"/>
    </row>
    <row r="1001" spans="2:4" x14ac:dyDescent="0.35">
      <c r="B1001" s="3"/>
      <c r="C1001" s="26"/>
      <c r="D1001" s="3"/>
    </row>
    <row r="1002" spans="2:4" x14ac:dyDescent="0.35">
      <c r="B1002" s="3"/>
      <c r="C1002" s="26"/>
      <c r="D1002" s="3"/>
    </row>
    <row r="1003" spans="2:4" x14ac:dyDescent="0.35">
      <c r="B1003" s="3"/>
      <c r="C1003" s="26"/>
      <c r="D1003" s="3"/>
    </row>
    <row r="1004" spans="2:4" x14ac:dyDescent="0.35">
      <c r="B1004" s="3"/>
      <c r="C1004" s="26"/>
      <c r="D1004" s="3"/>
    </row>
    <row r="1005" spans="2:4" x14ac:dyDescent="0.35">
      <c r="B1005" s="3"/>
      <c r="C1005" s="26"/>
      <c r="D1005" s="3"/>
    </row>
    <row r="1006" spans="2:4" x14ac:dyDescent="0.35">
      <c r="B1006" s="3"/>
      <c r="C1006" s="26"/>
      <c r="D1006" s="3"/>
    </row>
    <row r="1007" spans="2:4" x14ac:dyDescent="0.35">
      <c r="B1007" s="3"/>
      <c r="C1007" s="26"/>
      <c r="D1007" s="3"/>
    </row>
    <row r="1008" spans="2:4" x14ac:dyDescent="0.35">
      <c r="B1008" s="3"/>
      <c r="C1008" s="26"/>
      <c r="D1008" s="3"/>
    </row>
    <row r="1009" spans="2:4" x14ac:dyDescent="0.35">
      <c r="B1009" s="3"/>
      <c r="C1009" s="26"/>
      <c r="D1009" s="3"/>
    </row>
    <row r="1010" spans="2:4" x14ac:dyDescent="0.35">
      <c r="B1010" s="3"/>
      <c r="C1010" s="26"/>
      <c r="D1010" s="3"/>
    </row>
    <row r="1011" spans="2:4" x14ac:dyDescent="0.35">
      <c r="B1011" s="3"/>
      <c r="C1011" s="26"/>
      <c r="D1011" s="3"/>
    </row>
    <row r="1012" spans="2:4" x14ac:dyDescent="0.35">
      <c r="B1012" s="3"/>
      <c r="C1012" s="26"/>
      <c r="D1012" s="3"/>
    </row>
    <row r="1013" spans="2:4" x14ac:dyDescent="0.35">
      <c r="B1013" s="3"/>
      <c r="C1013" s="26"/>
      <c r="D1013" s="3"/>
    </row>
    <row r="1014" spans="2:4" x14ac:dyDescent="0.35">
      <c r="B1014" s="3"/>
      <c r="C1014" s="26"/>
      <c r="D1014" s="3"/>
    </row>
    <row r="1015" spans="2:4" x14ac:dyDescent="0.35">
      <c r="B1015" s="3"/>
      <c r="C1015" s="26"/>
      <c r="D1015" s="3"/>
    </row>
    <row r="1016" spans="2:4" x14ac:dyDescent="0.35">
      <c r="B1016" s="3"/>
      <c r="C1016" s="26"/>
      <c r="D1016" s="3"/>
    </row>
    <row r="1017" spans="2:4" x14ac:dyDescent="0.35">
      <c r="B1017" s="3"/>
      <c r="C1017" s="26"/>
      <c r="D1017" s="3"/>
    </row>
    <row r="1018" spans="2:4" x14ac:dyDescent="0.35">
      <c r="B1018" s="3"/>
      <c r="C1018" s="26"/>
      <c r="D1018" s="3"/>
    </row>
    <row r="1019" spans="2:4" x14ac:dyDescent="0.35">
      <c r="B1019" s="3"/>
      <c r="C1019" s="26"/>
      <c r="D1019" s="3"/>
    </row>
    <row r="1020" spans="2:4" x14ac:dyDescent="0.35">
      <c r="B1020" s="3"/>
      <c r="C1020" s="26"/>
      <c r="D1020" s="3"/>
    </row>
    <row r="1021" spans="2:4" x14ac:dyDescent="0.35">
      <c r="B1021" s="3"/>
      <c r="C1021" s="26"/>
      <c r="D1021" s="3"/>
    </row>
    <row r="1022" spans="2:4" x14ac:dyDescent="0.35">
      <c r="B1022" s="3"/>
      <c r="C1022" s="26"/>
      <c r="D1022" s="3"/>
    </row>
    <row r="1023" spans="2:4" x14ac:dyDescent="0.35">
      <c r="B1023" s="3"/>
      <c r="C1023" s="26"/>
      <c r="D1023" s="3"/>
    </row>
    <row r="1024" spans="2:4" x14ac:dyDescent="0.35">
      <c r="B1024" s="3"/>
      <c r="C1024" s="26"/>
      <c r="D1024" s="3"/>
    </row>
    <row r="1025" spans="2:4" x14ac:dyDescent="0.35">
      <c r="B1025" s="3"/>
      <c r="C1025" s="26"/>
      <c r="D1025" s="3"/>
    </row>
    <row r="1026" spans="2:4" x14ac:dyDescent="0.35">
      <c r="B1026" s="3"/>
      <c r="C1026" s="26"/>
      <c r="D1026" s="3"/>
    </row>
    <row r="1027" spans="2:4" x14ac:dyDescent="0.35">
      <c r="B1027" s="3"/>
      <c r="C1027" s="26"/>
      <c r="D1027" s="3"/>
    </row>
    <row r="1028" spans="2:4" x14ac:dyDescent="0.35">
      <c r="B1028" s="3"/>
      <c r="C1028" s="26"/>
      <c r="D1028" s="3"/>
    </row>
    <row r="1029" spans="2:4" x14ac:dyDescent="0.35">
      <c r="B1029" s="3"/>
      <c r="C1029" s="26"/>
      <c r="D1029" s="3"/>
    </row>
    <row r="1030" spans="2:4" x14ac:dyDescent="0.35">
      <c r="B1030" s="3"/>
      <c r="C1030" s="26"/>
      <c r="D1030" s="3"/>
    </row>
    <row r="1031" spans="2:4" x14ac:dyDescent="0.35">
      <c r="B1031" s="3"/>
      <c r="C1031" s="26"/>
      <c r="D1031" s="3"/>
    </row>
    <row r="1032" spans="2:4" x14ac:dyDescent="0.35">
      <c r="B1032" s="3"/>
      <c r="C1032" s="26"/>
      <c r="D1032" s="3"/>
    </row>
    <row r="1033" spans="2:4" x14ac:dyDescent="0.35">
      <c r="B1033" s="3"/>
      <c r="C1033" s="26"/>
      <c r="D1033" s="3"/>
    </row>
    <row r="1034" spans="2:4" x14ac:dyDescent="0.35">
      <c r="B1034" s="3"/>
      <c r="C1034" s="26"/>
      <c r="D1034" s="3"/>
    </row>
    <row r="1035" spans="2:4" x14ac:dyDescent="0.35">
      <c r="B1035" s="3"/>
      <c r="C1035" s="26"/>
      <c r="D1035" s="3"/>
    </row>
    <row r="1036" spans="2:4" x14ac:dyDescent="0.35">
      <c r="B1036" s="3"/>
      <c r="C1036" s="26"/>
      <c r="D1036" s="3"/>
    </row>
    <row r="1037" spans="2:4" x14ac:dyDescent="0.35">
      <c r="B1037" s="3"/>
      <c r="C1037" s="26"/>
      <c r="D1037" s="3"/>
    </row>
    <row r="1038" spans="2:4" x14ac:dyDescent="0.35">
      <c r="B1038" s="3"/>
      <c r="C1038" s="26"/>
      <c r="D1038" s="3"/>
    </row>
    <row r="1039" spans="2:4" x14ac:dyDescent="0.35">
      <c r="B1039" s="3"/>
      <c r="C1039" s="26"/>
      <c r="D1039" s="3"/>
    </row>
    <row r="1040" spans="2:4" x14ac:dyDescent="0.35">
      <c r="B1040" s="3"/>
      <c r="C1040" s="26"/>
      <c r="D1040" s="3"/>
    </row>
    <row r="1041" spans="2:4" x14ac:dyDescent="0.35">
      <c r="B1041" s="3"/>
      <c r="C1041" s="26"/>
      <c r="D1041" s="3"/>
    </row>
    <row r="1042" spans="2:4" x14ac:dyDescent="0.35">
      <c r="B1042" s="3"/>
      <c r="C1042" s="26"/>
      <c r="D1042" s="3"/>
    </row>
    <row r="1043" spans="2:4" x14ac:dyDescent="0.35">
      <c r="B1043" s="3"/>
      <c r="C1043" s="26"/>
      <c r="D1043" s="3"/>
    </row>
    <row r="1044" spans="2:4" x14ac:dyDescent="0.35">
      <c r="B1044" s="3"/>
      <c r="C1044" s="26"/>
      <c r="D1044" s="3"/>
    </row>
    <row r="1045" spans="2:4" x14ac:dyDescent="0.35">
      <c r="B1045" s="3"/>
      <c r="C1045" s="26"/>
      <c r="D1045" s="3"/>
    </row>
    <row r="1046" spans="2:4" x14ac:dyDescent="0.35">
      <c r="B1046" s="3"/>
      <c r="C1046" s="26"/>
      <c r="D1046" s="3"/>
    </row>
    <row r="1047" spans="2:4" x14ac:dyDescent="0.35">
      <c r="B1047" s="3"/>
      <c r="C1047" s="26"/>
      <c r="D1047" s="3"/>
    </row>
    <row r="1048" spans="2:4" x14ac:dyDescent="0.35">
      <c r="B1048" s="3"/>
      <c r="C1048" s="26"/>
      <c r="D1048" s="3"/>
    </row>
    <row r="1049" spans="2:4" x14ac:dyDescent="0.35">
      <c r="B1049" s="3"/>
      <c r="C1049" s="26"/>
      <c r="D1049" s="3"/>
    </row>
    <row r="1050" spans="2:4" x14ac:dyDescent="0.35">
      <c r="B1050" s="3"/>
      <c r="C1050" s="26"/>
      <c r="D1050" s="3"/>
    </row>
    <row r="1051" spans="2:4" x14ac:dyDescent="0.35">
      <c r="B1051" s="3"/>
      <c r="C1051" s="26"/>
      <c r="D1051" s="3"/>
    </row>
    <row r="1052" spans="2:4" x14ac:dyDescent="0.35">
      <c r="B1052" s="3"/>
      <c r="C1052" s="26"/>
      <c r="D1052" s="3"/>
    </row>
    <row r="1053" spans="2:4" x14ac:dyDescent="0.35">
      <c r="B1053" s="3"/>
      <c r="C1053" s="26"/>
      <c r="D1053" s="3"/>
    </row>
    <row r="1054" spans="2:4" x14ac:dyDescent="0.35">
      <c r="B1054" s="3"/>
      <c r="C1054" s="26"/>
      <c r="D1054" s="3"/>
    </row>
    <row r="1055" spans="2:4" x14ac:dyDescent="0.35">
      <c r="B1055" s="3"/>
      <c r="C1055" s="26"/>
      <c r="D1055" s="3"/>
    </row>
    <row r="1056" spans="2:4" x14ac:dyDescent="0.35">
      <c r="B1056" s="3"/>
      <c r="C1056" s="26"/>
      <c r="D1056" s="3"/>
    </row>
    <row r="1057" spans="2:4" x14ac:dyDescent="0.35">
      <c r="B1057" s="3"/>
      <c r="C1057" s="26"/>
      <c r="D1057" s="3"/>
    </row>
    <row r="1058" spans="2:4" x14ac:dyDescent="0.35">
      <c r="B1058" s="3"/>
      <c r="C1058" s="26"/>
      <c r="D1058" s="3"/>
    </row>
    <row r="1059" spans="2:4" x14ac:dyDescent="0.35">
      <c r="B1059" s="3"/>
      <c r="C1059" s="26"/>
      <c r="D1059" s="3"/>
    </row>
    <row r="1060" spans="2:4" x14ac:dyDescent="0.35">
      <c r="B1060" s="3"/>
      <c r="C1060" s="26"/>
      <c r="D1060" s="3"/>
    </row>
    <row r="1061" spans="2:4" x14ac:dyDescent="0.35">
      <c r="B1061" s="3"/>
      <c r="C1061" s="26"/>
      <c r="D1061" s="3"/>
    </row>
    <row r="1062" spans="2:4" x14ac:dyDescent="0.35">
      <c r="B1062" s="3"/>
      <c r="C1062" s="26"/>
      <c r="D1062" s="3"/>
    </row>
    <row r="1063" spans="2:4" x14ac:dyDescent="0.35">
      <c r="B1063" s="3"/>
      <c r="C1063" s="26"/>
      <c r="D1063" s="3"/>
    </row>
    <row r="1064" spans="2:4" x14ac:dyDescent="0.35">
      <c r="B1064" s="3"/>
      <c r="C1064" s="26"/>
      <c r="D1064" s="3"/>
    </row>
    <row r="1065" spans="2:4" x14ac:dyDescent="0.35">
      <c r="B1065" s="3"/>
      <c r="C1065" s="26"/>
      <c r="D1065" s="3"/>
    </row>
    <row r="1066" spans="2:4" x14ac:dyDescent="0.35">
      <c r="B1066" s="3"/>
      <c r="C1066" s="26"/>
      <c r="D1066" s="3"/>
    </row>
    <row r="1067" spans="2:4" x14ac:dyDescent="0.35">
      <c r="B1067" s="3"/>
      <c r="C1067" s="26"/>
      <c r="D1067" s="3"/>
    </row>
    <row r="1068" spans="2:4" x14ac:dyDescent="0.35">
      <c r="B1068" s="3"/>
      <c r="C1068" s="26"/>
      <c r="D1068" s="3"/>
    </row>
    <row r="1069" spans="2:4" x14ac:dyDescent="0.35">
      <c r="B1069" s="3"/>
      <c r="C1069" s="26"/>
      <c r="D1069" s="3"/>
    </row>
    <row r="1070" spans="2:4" x14ac:dyDescent="0.35">
      <c r="B1070" s="3"/>
      <c r="C1070" s="26"/>
      <c r="D1070" s="3"/>
    </row>
    <row r="1071" spans="2:4" x14ac:dyDescent="0.35">
      <c r="B1071" s="3"/>
      <c r="C1071" s="26"/>
      <c r="D1071" s="3"/>
    </row>
    <row r="1072" spans="2:4" x14ac:dyDescent="0.35">
      <c r="B1072" s="3"/>
      <c r="C1072" s="26"/>
      <c r="D1072" s="3"/>
    </row>
    <row r="1073" spans="2:4" x14ac:dyDescent="0.35">
      <c r="B1073" s="3"/>
      <c r="C1073" s="26"/>
      <c r="D1073" s="3"/>
    </row>
    <row r="1074" spans="2:4" x14ac:dyDescent="0.35">
      <c r="B1074" s="3"/>
      <c r="C1074" s="26"/>
      <c r="D1074" s="3"/>
    </row>
    <row r="1075" spans="2:4" x14ac:dyDescent="0.35">
      <c r="B1075" s="3"/>
      <c r="C1075" s="26"/>
      <c r="D1075" s="3"/>
    </row>
    <row r="1076" spans="2:4" x14ac:dyDescent="0.35">
      <c r="B1076" s="3"/>
      <c r="C1076" s="26"/>
      <c r="D1076" s="3"/>
    </row>
    <row r="1077" spans="2:4" x14ac:dyDescent="0.35">
      <c r="B1077" s="3"/>
      <c r="C1077" s="26"/>
      <c r="D1077" s="3"/>
    </row>
    <row r="1078" spans="2:4" x14ac:dyDescent="0.35">
      <c r="B1078" s="3"/>
      <c r="C1078" s="26"/>
      <c r="D1078" s="3"/>
    </row>
    <row r="1079" spans="2:4" x14ac:dyDescent="0.35">
      <c r="B1079" s="3"/>
      <c r="C1079" s="26"/>
      <c r="D1079" s="3"/>
    </row>
    <row r="1080" spans="2:4" x14ac:dyDescent="0.35">
      <c r="B1080" s="3"/>
      <c r="C1080" s="26"/>
      <c r="D1080" s="3"/>
    </row>
    <row r="1081" spans="2:4" x14ac:dyDescent="0.35">
      <c r="B1081" s="3"/>
      <c r="C1081" s="26"/>
      <c r="D1081" s="3"/>
    </row>
    <row r="1082" spans="2:4" x14ac:dyDescent="0.35">
      <c r="B1082" s="3"/>
      <c r="C1082" s="26"/>
      <c r="D1082" s="3"/>
    </row>
    <row r="1083" spans="2:4" x14ac:dyDescent="0.35">
      <c r="B1083" s="3"/>
      <c r="C1083" s="26"/>
      <c r="D1083" s="3"/>
    </row>
    <row r="1084" spans="2:4" x14ac:dyDescent="0.35">
      <c r="B1084" s="3"/>
      <c r="C1084" s="26"/>
      <c r="D1084" s="3"/>
    </row>
    <row r="1085" spans="2:4" x14ac:dyDescent="0.35">
      <c r="B1085" s="3"/>
      <c r="C1085" s="26"/>
      <c r="D1085" s="3"/>
    </row>
    <row r="1086" spans="2:4" x14ac:dyDescent="0.35">
      <c r="B1086" s="3"/>
      <c r="C1086" s="26"/>
      <c r="D1086" s="3"/>
    </row>
    <row r="1087" spans="2:4" x14ac:dyDescent="0.35">
      <c r="B1087" s="3"/>
      <c r="C1087" s="26"/>
      <c r="D1087" s="3"/>
    </row>
    <row r="1088" spans="2:4" x14ac:dyDescent="0.35">
      <c r="B1088" s="3"/>
      <c r="C1088" s="26"/>
      <c r="D1088" s="3"/>
    </row>
    <row r="1089" spans="2:4" x14ac:dyDescent="0.35">
      <c r="B1089" s="3"/>
      <c r="C1089" s="26"/>
      <c r="D1089" s="3"/>
    </row>
    <row r="1090" spans="2:4" x14ac:dyDescent="0.35">
      <c r="B1090" s="3"/>
      <c r="C1090" s="26"/>
      <c r="D1090" s="3"/>
    </row>
    <row r="1091" spans="2:4" x14ac:dyDescent="0.35">
      <c r="B1091" s="3"/>
      <c r="C1091" s="26"/>
      <c r="D1091" s="3"/>
    </row>
    <row r="1092" spans="2:4" x14ac:dyDescent="0.35">
      <c r="B1092" s="3"/>
      <c r="C1092" s="26"/>
      <c r="D1092" s="3"/>
    </row>
    <row r="1093" spans="2:4" x14ac:dyDescent="0.35">
      <c r="B1093" s="3"/>
      <c r="C1093" s="26"/>
      <c r="D1093" s="3"/>
    </row>
    <row r="1094" spans="2:4" x14ac:dyDescent="0.35">
      <c r="B1094" s="3"/>
      <c r="C1094" s="26"/>
      <c r="D1094" s="3"/>
    </row>
    <row r="1095" spans="2:4" x14ac:dyDescent="0.35">
      <c r="B1095" s="3"/>
      <c r="C1095" s="26"/>
      <c r="D1095" s="3"/>
    </row>
    <row r="1096" spans="2:4" x14ac:dyDescent="0.35">
      <c r="B1096" s="3"/>
      <c r="C1096" s="26"/>
      <c r="D1096" s="3"/>
    </row>
    <row r="1097" spans="2:4" x14ac:dyDescent="0.35">
      <c r="B1097" s="3"/>
      <c r="C1097" s="26"/>
      <c r="D1097" s="3"/>
    </row>
    <row r="1098" spans="2:4" x14ac:dyDescent="0.35">
      <c r="B1098" s="3"/>
      <c r="C1098" s="26"/>
      <c r="D1098" s="3"/>
    </row>
    <row r="1099" spans="2:4" x14ac:dyDescent="0.35">
      <c r="B1099" s="3"/>
      <c r="C1099" s="26"/>
      <c r="D1099" s="3"/>
    </row>
    <row r="1100" spans="2:4" x14ac:dyDescent="0.35">
      <c r="B1100" s="3"/>
      <c r="C1100" s="26"/>
      <c r="D1100" s="3"/>
    </row>
    <row r="1101" spans="2:4" x14ac:dyDescent="0.35">
      <c r="B1101" s="3"/>
      <c r="C1101" s="26"/>
      <c r="D1101" s="3"/>
    </row>
    <row r="1102" spans="2:4" x14ac:dyDescent="0.35">
      <c r="B1102" s="3"/>
      <c r="C1102" s="26"/>
      <c r="D1102" s="3"/>
    </row>
    <row r="1103" spans="2:4" x14ac:dyDescent="0.35">
      <c r="B1103" s="3"/>
      <c r="C1103" s="26"/>
      <c r="D1103" s="3"/>
    </row>
    <row r="1104" spans="2:4" x14ac:dyDescent="0.35">
      <c r="B1104" s="3"/>
      <c r="C1104" s="26"/>
      <c r="D1104" s="3"/>
    </row>
    <row r="1105" spans="2:4" x14ac:dyDescent="0.35">
      <c r="B1105" s="3"/>
      <c r="C1105" s="26"/>
      <c r="D1105" s="3"/>
    </row>
    <row r="1106" spans="2:4" x14ac:dyDescent="0.35">
      <c r="B1106" s="3"/>
      <c r="C1106" s="26"/>
      <c r="D1106" s="3"/>
    </row>
    <row r="1107" spans="2:4" x14ac:dyDescent="0.35">
      <c r="B1107" s="3"/>
      <c r="C1107" s="26"/>
      <c r="D1107" s="3"/>
    </row>
    <row r="1108" spans="2:4" x14ac:dyDescent="0.35">
      <c r="B1108" s="3"/>
      <c r="C1108" s="26"/>
      <c r="D1108" s="3"/>
    </row>
    <row r="1109" spans="2:4" x14ac:dyDescent="0.35">
      <c r="B1109" s="3"/>
      <c r="C1109" s="26"/>
      <c r="D1109" s="3"/>
    </row>
    <row r="1110" spans="2:4" x14ac:dyDescent="0.35">
      <c r="B1110" s="3"/>
      <c r="C1110" s="26"/>
      <c r="D1110" s="3"/>
    </row>
    <row r="1111" spans="2:4" x14ac:dyDescent="0.35">
      <c r="B1111" s="3"/>
      <c r="C1111" s="26"/>
      <c r="D1111" s="3"/>
    </row>
    <row r="1112" spans="2:4" x14ac:dyDescent="0.35">
      <c r="B1112" s="3"/>
      <c r="C1112" s="26"/>
      <c r="D1112" s="3"/>
    </row>
    <row r="1113" spans="2:4" x14ac:dyDescent="0.35">
      <c r="B1113" s="3"/>
      <c r="C1113" s="26"/>
      <c r="D1113" s="3"/>
    </row>
    <row r="1114" spans="2:4" x14ac:dyDescent="0.35">
      <c r="B1114" s="3"/>
      <c r="C1114" s="26"/>
      <c r="D1114" s="3"/>
    </row>
    <row r="1115" spans="2:4" x14ac:dyDescent="0.35">
      <c r="B1115" s="3"/>
      <c r="C1115" s="26"/>
      <c r="D1115" s="3"/>
    </row>
    <row r="1116" spans="2:4" x14ac:dyDescent="0.35">
      <c r="B1116" s="3"/>
      <c r="C1116" s="26"/>
      <c r="D1116" s="3"/>
    </row>
    <row r="1117" spans="2:4" x14ac:dyDescent="0.35">
      <c r="B1117" s="3"/>
      <c r="C1117" s="26"/>
      <c r="D1117" s="3"/>
    </row>
    <row r="1118" spans="2:4" x14ac:dyDescent="0.35">
      <c r="B1118" s="3"/>
      <c r="C1118" s="26"/>
      <c r="D1118" s="3"/>
    </row>
    <row r="1119" spans="2:4" x14ac:dyDescent="0.35">
      <c r="B1119" s="3"/>
      <c r="C1119" s="26"/>
      <c r="D1119" s="3"/>
    </row>
    <row r="1120" spans="2:4" x14ac:dyDescent="0.35">
      <c r="B1120" s="3"/>
      <c r="C1120" s="26"/>
      <c r="D1120" s="3"/>
    </row>
    <row r="1121" spans="2:4" x14ac:dyDescent="0.35">
      <c r="B1121" s="3"/>
      <c r="C1121" s="26"/>
      <c r="D1121" s="3"/>
    </row>
    <row r="1122" spans="2:4" x14ac:dyDescent="0.35">
      <c r="B1122" s="3"/>
      <c r="C1122" s="26"/>
      <c r="D1122" s="3"/>
    </row>
    <row r="1123" spans="2:4" x14ac:dyDescent="0.35">
      <c r="B1123" s="3"/>
      <c r="C1123" s="26"/>
      <c r="D1123" s="3"/>
    </row>
    <row r="1124" spans="2:4" x14ac:dyDescent="0.35">
      <c r="B1124" s="3"/>
      <c r="C1124" s="26"/>
      <c r="D1124" s="3"/>
    </row>
    <row r="1125" spans="2:4" x14ac:dyDescent="0.35">
      <c r="B1125" s="3"/>
      <c r="C1125" s="26"/>
      <c r="D1125" s="3"/>
    </row>
    <row r="1126" spans="2:4" x14ac:dyDescent="0.35">
      <c r="B1126" s="3"/>
      <c r="C1126" s="26"/>
      <c r="D1126" s="3"/>
    </row>
    <row r="1127" spans="2:4" x14ac:dyDescent="0.35">
      <c r="B1127" s="3"/>
      <c r="C1127" s="26"/>
      <c r="D1127" s="3"/>
    </row>
    <row r="1128" spans="2:4" x14ac:dyDescent="0.35">
      <c r="B1128" s="3"/>
      <c r="C1128" s="26"/>
      <c r="D1128" s="3"/>
    </row>
    <row r="1129" spans="2:4" x14ac:dyDescent="0.35">
      <c r="B1129" s="3"/>
      <c r="C1129" s="26"/>
      <c r="D1129" s="3"/>
    </row>
    <row r="1130" spans="2:4" x14ac:dyDescent="0.35">
      <c r="B1130" s="3"/>
      <c r="C1130" s="26"/>
      <c r="D1130" s="3"/>
    </row>
    <row r="1131" spans="2:4" x14ac:dyDescent="0.35">
      <c r="B1131" s="3"/>
      <c r="C1131" s="26"/>
      <c r="D1131" s="3"/>
    </row>
    <row r="1132" spans="2:4" x14ac:dyDescent="0.35">
      <c r="B1132" s="3"/>
      <c r="C1132" s="26"/>
      <c r="D1132" s="3"/>
    </row>
    <row r="1133" spans="2:4" x14ac:dyDescent="0.35">
      <c r="B1133" s="3"/>
      <c r="C1133" s="26"/>
      <c r="D1133" s="3"/>
    </row>
    <row r="1134" spans="2:4" x14ac:dyDescent="0.35">
      <c r="B1134" s="3"/>
      <c r="C1134" s="26"/>
      <c r="D1134" s="3"/>
    </row>
    <row r="1135" spans="2:4" x14ac:dyDescent="0.35">
      <c r="B1135" s="3"/>
      <c r="C1135" s="26"/>
      <c r="D1135" s="3"/>
    </row>
    <row r="1136" spans="2:4" x14ac:dyDescent="0.35">
      <c r="B1136" s="3"/>
      <c r="C1136" s="26"/>
      <c r="D1136" s="3"/>
    </row>
    <row r="1137" spans="2:4" x14ac:dyDescent="0.35">
      <c r="B1137" s="3"/>
      <c r="C1137" s="26"/>
      <c r="D1137" s="3"/>
    </row>
    <row r="1138" spans="2:4" x14ac:dyDescent="0.35">
      <c r="B1138" s="3"/>
      <c r="C1138" s="26"/>
      <c r="D1138" s="3"/>
    </row>
    <row r="1139" spans="2:4" x14ac:dyDescent="0.35">
      <c r="B1139" s="3"/>
      <c r="C1139" s="26"/>
      <c r="D1139" s="3"/>
    </row>
    <row r="1140" spans="2:4" x14ac:dyDescent="0.35">
      <c r="B1140" s="3"/>
      <c r="C1140" s="26"/>
      <c r="D1140" s="3"/>
    </row>
    <row r="1141" spans="2:4" x14ac:dyDescent="0.35">
      <c r="B1141" s="3"/>
      <c r="C1141" s="26"/>
      <c r="D1141" s="3"/>
    </row>
    <row r="1142" spans="2:4" x14ac:dyDescent="0.35">
      <c r="B1142" s="3"/>
      <c r="C1142" s="26"/>
      <c r="D1142" s="3"/>
    </row>
    <row r="1143" spans="2:4" x14ac:dyDescent="0.35">
      <c r="B1143" s="3"/>
      <c r="C1143" s="26"/>
      <c r="D1143" s="3"/>
    </row>
    <row r="1144" spans="2:4" x14ac:dyDescent="0.35">
      <c r="B1144" s="3"/>
      <c r="C1144" s="26"/>
      <c r="D1144" s="3"/>
    </row>
    <row r="1145" spans="2:4" x14ac:dyDescent="0.35">
      <c r="B1145" s="3"/>
      <c r="C1145" s="26"/>
      <c r="D1145" s="3"/>
    </row>
    <row r="1146" spans="2:4" x14ac:dyDescent="0.35">
      <c r="B1146" s="3"/>
      <c r="C1146" s="26"/>
      <c r="D1146" s="3"/>
    </row>
    <row r="1147" spans="2:4" x14ac:dyDescent="0.35">
      <c r="B1147" s="3"/>
      <c r="C1147" s="26"/>
      <c r="D1147" s="3"/>
    </row>
    <row r="1148" spans="2:4" x14ac:dyDescent="0.35">
      <c r="B1148" s="3"/>
      <c r="C1148" s="26"/>
      <c r="D1148" s="3"/>
    </row>
    <row r="1149" spans="2:4" x14ac:dyDescent="0.35">
      <c r="B1149" s="3"/>
      <c r="C1149" s="26"/>
      <c r="D1149" s="3"/>
    </row>
    <row r="1150" spans="2:4" x14ac:dyDescent="0.35">
      <c r="B1150" s="3"/>
      <c r="C1150" s="26"/>
      <c r="D1150" s="3"/>
    </row>
    <row r="1151" spans="2:4" x14ac:dyDescent="0.35">
      <c r="B1151" s="3"/>
      <c r="C1151" s="26"/>
      <c r="D1151" s="3"/>
    </row>
    <row r="1152" spans="2:4" x14ac:dyDescent="0.35">
      <c r="B1152" s="3"/>
      <c r="C1152" s="26"/>
      <c r="D1152" s="3"/>
    </row>
    <row r="1153" spans="2:4" x14ac:dyDescent="0.35">
      <c r="B1153" s="3"/>
      <c r="C1153" s="26"/>
      <c r="D1153" s="3"/>
    </row>
    <row r="1154" spans="2:4" x14ac:dyDescent="0.35">
      <c r="B1154" s="3"/>
      <c r="C1154" s="26"/>
      <c r="D1154" s="3"/>
    </row>
    <row r="1155" spans="2:4" x14ac:dyDescent="0.35">
      <c r="B1155" s="3"/>
      <c r="C1155" s="26"/>
      <c r="D1155" s="3"/>
    </row>
    <row r="1156" spans="2:4" x14ac:dyDescent="0.35">
      <c r="B1156" s="3"/>
      <c r="C1156" s="26"/>
      <c r="D1156" s="3"/>
    </row>
    <row r="1157" spans="2:4" x14ac:dyDescent="0.35">
      <c r="B1157" s="3"/>
      <c r="C1157" s="26"/>
      <c r="D1157" s="3"/>
    </row>
    <row r="1158" spans="2:4" x14ac:dyDescent="0.35">
      <c r="B1158" s="3"/>
      <c r="C1158" s="26"/>
      <c r="D1158" s="3"/>
    </row>
    <row r="1159" spans="2:4" x14ac:dyDescent="0.35">
      <c r="B1159" s="3"/>
      <c r="C1159" s="26"/>
      <c r="D1159" s="3"/>
    </row>
    <row r="1160" spans="2:4" x14ac:dyDescent="0.35">
      <c r="B1160" s="3"/>
      <c r="C1160" s="26"/>
      <c r="D1160" s="3"/>
    </row>
    <row r="1161" spans="2:4" x14ac:dyDescent="0.35">
      <c r="B1161" s="3"/>
      <c r="C1161" s="26"/>
      <c r="D1161" s="3"/>
    </row>
    <row r="1162" spans="2:4" x14ac:dyDescent="0.35">
      <c r="B1162" s="3"/>
      <c r="C1162" s="26"/>
      <c r="D1162" s="3"/>
    </row>
    <row r="1163" spans="2:4" x14ac:dyDescent="0.35">
      <c r="B1163" s="3"/>
      <c r="C1163" s="26"/>
      <c r="D1163" s="3"/>
    </row>
    <row r="1164" spans="2:4" x14ac:dyDescent="0.35">
      <c r="B1164" s="3"/>
      <c r="C1164" s="26"/>
      <c r="D1164" s="3"/>
    </row>
    <row r="1165" spans="2:4" x14ac:dyDescent="0.35">
      <c r="B1165" s="3"/>
      <c r="C1165" s="26"/>
      <c r="D1165" s="3"/>
    </row>
    <row r="1166" spans="2:4" x14ac:dyDescent="0.35">
      <c r="B1166" s="3"/>
      <c r="C1166" s="26"/>
      <c r="D1166" s="3"/>
    </row>
    <row r="1167" spans="2:4" x14ac:dyDescent="0.35">
      <c r="B1167" s="3"/>
      <c r="C1167" s="26"/>
      <c r="D1167" s="3"/>
    </row>
    <row r="1168" spans="2:4" x14ac:dyDescent="0.35">
      <c r="B1168" s="3"/>
      <c r="C1168" s="26"/>
      <c r="D1168" s="3"/>
    </row>
    <row r="1169" spans="2:4" x14ac:dyDescent="0.35">
      <c r="B1169" s="3"/>
      <c r="C1169" s="26"/>
      <c r="D1169" s="3"/>
    </row>
    <row r="1170" spans="2:4" x14ac:dyDescent="0.35">
      <c r="B1170" s="3"/>
      <c r="C1170" s="26"/>
      <c r="D1170" s="3"/>
    </row>
    <row r="1171" spans="2:4" x14ac:dyDescent="0.35">
      <c r="B1171" s="3"/>
      <c r="C1171" s="26"/>
      <c r="D1171" s="3"/>
    </row>
    <row r="1172" spans="2:4" x14ac:dyDescent="0.35">
      <c r="B1172" s="3"/>
      <c r="C1172" s="26"/>
      <c r="D1172" s="3"/>
    </row>
    <row r="1173" spans="2:4" x14ac:dyDescent="0.35">
      <c r="B1173" s="3"/>
      <c r="C1173" s="26"/>
      <c r="D1173" s="3"/>
    </row>
    <row r="1174" spans="2:4" x14ac:dyDescent="0.35">
      <c r="B1174" s="3"/>
      <c r="C1174" s="26"/>
      <c r="D1174" s="3"/>
    </row>
    <row r="1175" spans="2:4" x14ac:dyDescent="0.35">
      <c r="B1175" s="3"/>
      <c r="C1175" s="26"/>
      <c r="D1175" s="3"/>
    </row>
    <row r="1176" spans="2:4" x14ac:dyDescent="0.35">
      <c r="B1176" s="3"/>
      <c r="C1176" s="26"/>
      <c r="D1176" s="3"/>
    </row>
    <row r="1177" spans="2:4" x14ac:dyDescent="0.35">
      <c r="B1177" s="3"/>
      <c r="C1177" s="26"/>
      <c r="D1177" s="3"/>
    </row>
    <row r="1178" spans="2:4" x14ac:dyDescent="0.35">
      <c r="B1178" s="3"/>
      <c r="C1178" s="26"/>
      <c r="D1178" s="3"/>
    </row>
    <row r="1179" spans="2:4" x14ac:dyDescent="0.35">
      <c r="B1179" s="3"/>
      <c r="C1179" s="26"/>
      <c r="D1179" s="3"/>
    </row>
    <row r="1180" spans="2:4" x14ac:dyDescent="0.35">
      <c r="B1180" s="3"/>
      <c r="C1180" s="26"/>
      <c r="D1180" s="3"/>
    </row>
    <row r="1181" spans="2:4" x14ac:dyDescent="0.35">
      <c r="B1181" s="3"/>
      <c r="C1181" s="26"/>
      <c r="D1181" s="3"/>
    </row>
    <row r="1182" spans="2:4" x14ac:dyDescent="0.35">
      <c r="B1182" s="3"/>
      <c r="C1182" s="26"/>
      <c r="D1182" s="3"/>
    </row>
    <row r="1183" spans="2:4" x14ac:dyDescent="0.35">
      <c r="B1183" s="3"/>
      <c r="C1183" s="26"/>
      <c r="D1183" s="3"/>
    </row>
    <row r="1184" spans="2:4" x14ac:dyDescent="0.35">
      <c r="B1184" s="3"/>
      <c r="C1184" s="26"/>
      <c r="D1184" s="3"/>
    </row>
    <row r="1185" spans="2:4" x14ac:dyDescent="0.35">
      <c r="B1185" s="3"/>
      <c r="C1185" s="26"/>
      <c r="D1185" s="3"/>
    </row>
    <row r="1186" spans="2:4" x14ac:dyDescent="0.35">
      <c r="B1186" s="3"/>
      <c r="C1186" s="26"/>
      <c r="D1186" s="3"/>
    </row>
    <row r="1187" spans="2:4" x14ac:dyDescent="0.35">
      <c r="B1187" s="3"/>
      <c r="C1187" s="26"/>
      <c r="D1187" s="3"/>
    </row>
    <row r="1188" spans="2:4" x14ac:dyDescent="0.35">
      <c r="B1188" s="3"/>
      <c r="C1188" s="26"/>
      <c r="D1188" s="3"/>
    </row>
    <row r="1189" spans="2:4" x14ac:dyDescent="0.35">
      <c r="B1189" s="3"/>
      <c r="C1189" s="26"/>
      <c r="D1189" s="3"/>
    </row>
    <row r="1190" spans="2:4" x14ac:dyDescent="0.35">
      <c r="B1190" s="3"/>
      <c r="C1190" s="26"/>
      <c r="D1190" s="3"/>
    </row>
    <row r="1191" spans="2:4" x14ac:dyDescent="0.35">
      <c r="B1191" s="3"/>
      <c r="C1191" s="26"/>
      <c r="D1191" s="3"/>
    </row>
    <row r="1192" spans="2:4" x14ac:dyDescent="0.35">
      <c r="B1192" s="3"/>
      <c r="C1192" s="26"/>
      <c r="D1192" s="3"/>
    </row>
    <row r="1193" spans="2:4" x14ac:dyDescent="0.35">
      <c r="B1193" s="3"/>
      <c r="C1193" s="26"/>
      <c r="D1193" s="3"/>
    </row>
    <row r="1194" spans="2:4" x14ac:dyDescent="0.35">
      <c r="B1194" s="3"/>
      <c r="C1194" s="26"/>
      <c r="D1194" s="3"/>
    </row>
    <row r="1195" spans="2:4" x14ac:dyDescent="0.35">
      <c r="B1195" s="3"/>
      <c r="C1195" s="26"/>
      <c r="D1195" s="3"/>
    </row>
    <row r="1196" spans="2:4" x14ac:dyDescent="0.35">
      <c r="B1196" s="3"/>
      <c r="C1196" s="26"/>
      <c r="D1196" s="3"/>
    </row>
    <row r="1197" spans="2:4" x14ac:dyDescent="0.35">
      <c r="B1197" s="3"/>
      <c r="C1197" s="26"/>
      <c r="D1197" s="3"/>
    </row>
    <row r="1198" spans="2:4" x14ac:dyDescent="0.35">
      <c r="B1198" s="3"/>
      <c r="C1198" s="26"/>
      <c r="D1198" s="3"/>
    </row>
    <row r="1199" spans="2:4" x14ac:dyDescent="0.35">
      <c r="B1199" s="3"/>
      <c r="C1199" s="26"/>
      <c r="D1199" s="3"/>
    </row>
    <row r="1200" spans="2:4" x14ac:dyDescent="0.35">
      <c r="B1200" s="3"/>
      <c r="C1200" s="26"/>
      <c r="D1200" s="3"/>
    </row>
    <row r="1201" spans="2:4" x14ac:dyDescent="0.35">
      <c r="B1201" s="3"/>
      <c r="C1201" s="26"/>
      <c r="D1201" s="3"/>
    </row>
    <row r="1202" spans="2:4" x14ac:dyDescent="0.35">
      <c r="B1202" s="3"/>
      <c r="C1202" s="26"/>
      <c r="D1202" s="3"/>
    </row>
    <row r="1203" spans="2:4" x14ac:dyDescent="0.35">
      <c r="B1203" s="3"/>
      <c r="C1203" s="26"/>
      <c r="D1203" s="3"/>
    </row>
    <row r="1204" spans="2:4" x14ac:dyDescent="0.35">
      <c r="B1204" s="3"/>
      <c r="C1204" s="26"/>
      <c r="D1204" s="3"/>
    </row>
    <row r="1205" spans="2:4" x14ac:dyDescent="0.35">
      <c r="B1205" s="3"/>
      <c r="C1205" s="26"/>
      <c r="D1205" s="3"/>
    </row>
    <row r="1206" spans="2:4" x14ac:dyDescent="0.35">
      <c r="B1206" s="3"/>
      <c r="C1206" s="26"/>
      <c r="D1206" s="3"/>
    </row>
    <row r="1207" spans="2:4" x14ac:dyDescent="0.35">
      <c r="B1207" s="3"/>
      <c r="C1207" s="26"/>
      <c r="D1207" s="3"/>
    </row>
    <row r="1208" spans="2:4" x14ac:dyDescent="0.35">
      <c r="B1208" s="3"/>
      <c r="C1208" s="26"/>
      <c r="D1208" s="3"/>
    </row>
    <row r="1209" spans="2:4" x14ac:dyDescent="0.35">
      <c r="B1209" s="3"/>
      <c r="C1209" s="26"/>
      <c r="D1209" s="3"/>
    </row>
    <row r="1210" spans="2:4" x14ac:dyDescent="0.35">
      <c r="B1210" s="3"/>
      <c r="C1210" s="26"/>
      <c r="D1210" s="3"/>
    </row>
    <row r="1211" spans="2:4" x14ac:dyDescent="0.35">
      <c r="B1211" s="3"/>
      <c r="C1211" s="26"/>
      <c r="D1211" s="3"/>
    </row>
    <row r="1212" spans="2:4" x14ac:dyDescent="0.35">
      <c r="B1212" s="3"/>
      <c r="C1212" s="26"/>
      <c r="D1212" s="3"/>
    </row>
    <row r="1213" spans="2:4" x14ac:dyDescent="0.35">
      <c r="B1213" s="3"/>
      <c r="C1213" s="26"/>
      <c r="D1213" s="3"/>
    </row>
    <row r="1214" spans="2:4" x14ac:dyDescent="0.35">
      <c r="B1214" s="3"/>
      <c r="C1214" s="26"/>
      <c r="D1214" s="3"/>
    </row>
    <row r="1215" spans="2:4" x14ac:dyDescent="0.35">
      <c r="B1215" s="3"/>
      <c r="C1215" s="26"/>
      <c r="D1215" s="3"/>
    </row>
    <row r="1216" spans="2:4" x14ac:dyDescent="0.35">
      <c r="B1216" s="3"/>
      <c r="C1216" s="26"/>
      <c r="D1216" s="3"/>
    </row>
    <row r="1217" spans="2:4" x14ac:dyDescent="0.35">
      <c r="B1217" s="3"/>
      <c r="C1217" s="26"/>
      <c r="D1217" s="3"/>
    </row>
    <row r="1218" spans="2:4" x14ac:dyDescent="0.35">
      <c r="B1218" s="3"/>
      <c r="C1218" s="26"/>
      <c r="D1218" s="3"/>
    </row>
    <row r="1219" spans="2:4" x14ac:dyDescent="0.35">
      <c r="B1219" s="3"/>
      <c r="C1219" s="26"/>
      <c r="D1219" s="3"/>
    </row>
    <row r="1220" spans="2:4" x14ac:dyDescent="0.35">
      <c r="B1220" s="3"/>
      <c r="C1220" s="26"/>
      <c r="D1220" s="3"/>
    </row>
    <row r="1221" spans="2:4" x14ac:dyDescent="0.35">
      <c r="B1221" s="3"/>
      <c r="C1221" s="26"/>
      <c r="D1221" s="3"/>
    </row>
    <row r="1222" spans="2:4" x14ac:dyDescent="0.35">
      <c r="B1222" s="3"/>
      <c r="C1222" s="26"/>
      <c r="D1222" s="3"/>
    </row>
    <row r="1223" spans="2:4" x14ac:dyDescent="0.35">
      <c r="B1223" s="3"/>
      <c r="C1223" s="26"/>
      <c r="D1223" s="3"/>
    </row>
    <row r="1224" spans="2:4" x14ac:dyDescent="0.35">
      <c r="B1224" s="3"/>
      <c r="C1224" s="26"/>
      <c r="D1224" s="3"/>
    </row>
    <row r="1225" spans="2:4" x14ac:dyDescent="0.35">
      <c r="B1225" s="3"/>
      <c r="C1225" s="26"/>
      <c r="D1225" s="3"/>
    </row>
    <row r="1226" spans="2:4" x14ac:dyDescent="0.35">
      <c r="B1226" s="3"/>
      <c r="C1226" s="26"/>
      <c r="D1226" s="3"/>
    </row>
    <row r="1227" spans="2:4" x14ac:dyDescent="0.35">
      <c r="B1227" s="3"/>
      <c r="C1227" s="26"/>
      <c r="D1227" s="3"/>
    </row>
    <row r="1228" spans="2:4" x14ac:dyDescent="0.35">
      <c r="B1228" s="3"/>
      <c r="C1228" s="26"/>
      <c r="D1228" s="3"/>
    </row>
    <row r="1229" spans="2:4" x14ac:dyDescent="0.35">
      <c r="B1229" s="3"/>
      <c r="C1229" s="26"/>
      <c r="D1229" s="3"/>
    </row>
    <row r="1230" spans="2:4" x14ac:dyDescent="0.35">
      <c r="B1230" s="3"/>
      <c r="C1230" s="26"/>
      <c r="D1230" s="3"/>
    </row>
    <row r="1231" spans="2:4" x14ac:dyDescent="0.35">
      <c r="B1231" s="3"/>
      <c r="C1231" s="26"/>
      <c r="D1231" s="3"/>
    </row>
    <row r="1232" spans="2:4" x14ac:dyDescent="0.35">
      <c r="B1232" s="3"/>
      <c r="C1232" s="26"/>
      <c r="D1232" s="3"/>
    </row>
    <row r="1233" spans="2:4" x14ac:dyDescent="0.35">
      <c r="B1233" s="3"/>
      <c r="C1233" s="26"/>
      <c r="D1233" s="3"/>
    </row>
    <row r="1234" spans="2:4" x14ac:dyDescent="0.35">
      <c r="B1234" s="3"/>
      <c r="C1234" s="26"/>
      <c r="D1234" s="3"/>
    </row>
    <row r="1235" spans="2:4" x14ac:dyDescent="0.35">
      <c r="B1235" s="3"/>
      <c r="C1235" s="26"/>
      <c r="D1235" s="3"/>
    </row>
    <row r="1236" spans="2:4" x14ac:dyDescent="0.35">
      <c r="B1236" s="3"/>
      <c r="C1236" s="26"/>
      <c r="D1236" s="3"/>
    </row>
    <row r="1237" spans="2:4" x14ac:dyDescent="0.35">
      <c r="B1237" s="3"/>
      <c r="C1237" s="26"/>
      <c r="D1237" s="3"/>
    </row>
    <row r="1238" spans="2:4" x14ac:dyDescent="0.35">
      <c r="B1238" s="3"/>
      <c r="C1238" s="26"/>
      <c r="D1238" s="3"/>
    </row>
    <row r="1239" spans="2:4" x14ac:dyDescent="0.35">
      <c r="B1239" s="3"/>
      <c r="C1239" s="26"/>
      <c r="D1239" s="3"/>
    </row>
    <row r="1240" spans="2:4" x14ac:dyDescent="0.35">
      <c r="B1240" s="3"/>
      <c r="C1240" s="26"/>
      <c r="D1240" s="3"/>
    </row>
    <row r="1241" spans="2:4" x14ac:dyDescent="0.35">
      <c r="B1241" s="3"/>
      <c r="C1241" s="26"/>
      <c r="D1241" s="3"/>
    </row>
    <row r="1242" spans="2:4" x14ac:dyDescent="0.35">
      <c r="B1242" s="3"/>
      <c r="C1242" s="26"/>
      <c r="D1242" s="3"/>
    </row>
    <row r="1243" spans="2:4" x14ac:dyDescent="0.35">
      <c r="B1243" s="3"/>
      <c r="C1243" s="26"/>
      <c r="D1243" s="3"/>
    </row>
    <row r="1244" spans="2:4" x14ac:dyDescent="0.35">
      <c r="B1244" s="3"/>
      <c r="C1244" s="26"/>
      <c r="D1244" s="3"/>
    </row>
    <row r="1245" spans="2:4" x14ac:dyDescent="0.35">
      <c r="B1245" s="3"/>
      <c r="C1245" s="26"/>
      <c r="D1245" s="3"/>
    </row>
    <row r="1246" spans="2:4" x14ac:dyDescent="0.35">
      <c r="B1246" s="3"/>
      <c r="C1246" s="26"/>
      <c r="D1246" s="3"/>
    </row>
    <row r="1247" spans="2:4" x14ac:dyDescent="0.35">
      <c r="B1247" s="3"/>
      <c r="C1247" s="26"/>
      <c r="D1247" s="3"/>
    </row>
    <row r="1248" spans="2:4" x14ac:dyDescent="0.35">
      <c r="B1248" s="3"/>
      <c r="C1248" s="26"/>
      <c r="D1248" s="3"/>
    </row>
    <row r="1249" spans="2:4" x14ac:dyDescent="0.35">
      <c r="B1249" s="3"/>
      <c r="C1249" s="26"/>
      <c r="D1249" s="3"/>
    </row>
    <row r="1250" spans="2:4" x14ac:dyDescent="0.35">
      <c r="B1250" s="3"/>
      <c r="C1250" s="26"/>
      <c r="D1250" s="3"/>
    </row>
    <row r="1251" spans="2:4" x14ac:dyDescent="0.35">
      <c r="B1251" s="3"/>
      <c r="C1251" s="26"/>
      <c r="D1251" s="3"/>
    </row>
    <row r="1252" spans="2:4" x14ac:dyDescent="0.35">
      <c r="B1252" s="3"/>
      <c r="C1252" s="26"/>
      <c r="D1252" s="3"/>
    </row>
    <row r="1253" spans="2:4" x14ac:dyDescent="0.35">
      <c r="B1253" s="3"/>
      <c r="C1253" s="26"/>
      <c r="D1253" s="3"/>
    </row>
    <row r="1254" spans="2:4" x14ac:dyDescent="0.35">
      <c r="B1254" s="3"/>
      <c r="C1254" s="26"/>
      <c r="D1254" s="3"/>
    </row>
    <row r="1255" spans="2:4" x14ac:dyDescent="0.35">
      <c r="B1255" s="3"/>
      <c r="C1255" s="26"/>
      <c r="D1255" s="3"/>
    </row>
    <row r="1256" spans="2:4" x14ac:dyDescent="0.35">
      <c r="B1256" s="3"/>
      <c r="C1256" s="26"/>
      <c r="D1256" s="3"/>
    </row>
    <row r="1257" spans="2:4" x14ac:dyDescent="0.35">
      <c r="B1257" s="3"/>
      <c r="C1257" s="26"/>
      <c r="D1257" s="3"/>
    </row>
    <row r="1258" spans="2:4" x14ac:dyDescent="0.35">
      <c r="B1258" s="3"/>
      <c r="C1258" s="26"/>
      <c r="D1258" s="3"/>
    </row>
    <row r="1259" spans="2:4" x14ac:dyDescent="0.35">
      <c r="B1259" s="3"/>
      <c r="C1259" s="26"/>
      <c r="D1259" s="3"/>
    </row>
    <row r="1260" spans="2:4" x14ac:dyDescent="0.35">
      <c r="B1260" s="3"/>
      <c r="C1260" s="26"/>
      <c r="D1260" s="3"/>
    </row>
    <row r="1261" spans="2:4" x14ac:dyDescent="0.35">
      <c r="B1261" s="3"/>
      <c r="C1261" s="26"/>
      <c r="D1261" s="3"/>
    </row>
    <row r="1262" spans="2:4" x14ac:dyDescent="0.35">
      <c r="B1262" s="3"/>
      <c r="C1262" s="26"/>
      <c r="D1262" s="3"/>
    </row>
    <row r="1263" spans="2:4" x14ac:dyDescent="0.35">
      <c r="B1263" s="3"/>
      <c r="C1263" s="26"/>
      <c r="D1263" s="3"/>
    </row>
    <row r="1264" spans="2:4" x14ac:dyDescent="0.35">
      <c r="B1264" s="3"/>
      <c r="C1264" s="26"/>
      <c r="D1264" s="3"/>
    </row>
    <row r="1265" spans="2:4" x14ac:dyDescent="0.35">
      <c r="B1265" s="3"/>
      <c r="C1265" s="26"/>
      <c r="D1265" s="3"/>
    </row>
    <row r="1266" spans="2:4" x14ac:dyDescent="0.35">
      <c r="B1266" s="3"/>
      <c r="C1266" s="26"/>
      <c r="D1266" s="3"/>
    </row>
    <row r="1267" spans="2:4" x14ac:dyDescent="0.35">
      <c r="B1267" s="3"/>
      <c r="C1267" s="26"/>
      <c r="D1267" s="3"/>
    </row>
    <row r="1268" spans="2:4" x14ac:dyDescent="0.35">
      <c r="B1268" s="3"/>
      <c r="C1268" s="26"/>
      <c r="D1268" s="3"/>
    </row>
    <row r="1269" spans="2:4" x14ac:dyDescent="0.35">
      <c r="B1269" s="3"/>
      <c r="C1269" s="26"/>
      <c r="D1269" s="3"/>
    </row>
    <row r="1270" spans="2:4" x14ac:dyDescent="0.35">
      <c r="B1270" s="3"/>
      <c r="C1270" s="26"/>
      <c r="D1270" s="3"/>
    </row>
    <row r="1271" spans="2:4" x14ac:dyDescent="0.35">
      <c r="B1271" s="3"/>
      <c r="C1271" s="26"/>
      <c r="D1271" s="3"/>
    </row>
    <row r="1272" spans="2:4" x14ac:dyDescent="0.35">
      <c r="B1272" s="3"/>
      <c r="C1272" s="26"/>
      <c r="D1272" s="3"/>
    </row>
    <row r="1273" spans="2:4" x14ac:dyDescent="0.35">
      <c r="B1273" s="3"/>
      <c r="C1273" s="26"/>
      <c r="D1273" s="3"/>
    </row>
    <row r="1274" spans="2:4" x14ac:dyDescent="0.35">
      <c r="B1274" s="3"/>
      <c r="C1274" s="26"/>
      <c r="D1274" s="3"/>
    </row>
    <row r="1275" spans="2:4" x14ac:dyDescent="0.35">
      <c r="B1275" s="3"/>
      <c r="C1275" s="26"/>
      <c r="D1275" s="3"/>
    </row>
    <row r="1276" spans="2:4" x14ac:dyDescent="0.35">
      <c r="B1276" s="3"/>
      <c r="C1276" s="26"/>
      <c r="D1276" s="3"/>
    </row>
    <row r="1277" spans="2:4" x14ac:dyDescent="0.35">
      <c r="B1277" s="3"/>
      <c r="C1277" s="26"/>
      <c r="D1277" s="3"/>
    </row>
    <row r="1278" spans="2:4" x14ac:dyDescent="0.35">
      <c r="B1278" s="3"/>
      <c r="C1278" s="26"/>
      <c r="D1278" s="3"/>
    </row>
    <row r="1279" spans="2:4" x14ac:dyDescent="0.35">
      <c r="B1279" s="3"/>
      <c r="C1279" s="26"/>
      <c r="D1279" s="3"/>
    </row>
    <row r="1280" spans="2:4" x14ac:dyDescent="0.35">
      <c r="B1280" s="3"/>
      <c r="C1280" s="26"/>
      <c r="D1280" s="3"/>
    </row>
    <row r="1281" spans="2:4" x14ac:dyDescent="0.35">
      <c r="B1281" s="3"/>
      <c r="C1281" s="26"/>
      <c r="D1281" s="3"/>
    </row>
    <row r="1282" spans="2:4" x14ac:dyDescent="0.35">
      <c r="B1282" s="3"/>
      <c r="C1282" s="26"/>
      <c r="D1282" s="3"/>
    </row>
    <row r="1283" spans="2:4" x14ac:dyDescent="0.35">
      <c r="B1283" s="3"/>
      <c r="C1283" s="26"/>
      <c r="D1283" s="3"/>
    </row>
    <row r="1284" spans="2:4" x14ac:dyDescent="0.35">
      <c r="B1284" s="3"/>
      <c r="C1284" s="26"/>
      <c r="D1284" s="3"/>
    </row>
    <row r="1285" spans="2:4" x14ac:dyDescent="0.35">
      <c r="B1285" s="3"/>
      <c r="C1285" s="26"/>
      <c r="D1285" s="3"/>
    </row>
    <row r="1286" spans="2:4" x14ac:dyDescent="0.35">
      <c r="B1286" s="3"/>
      <c r="C1286" s="26"/>
      <c r="D1286" s="3"/>
    </row>
    <row r="1287" spans="2:4" x14ac:dyDescent="0.35">
      <c r="B1287" s="3"/>
      <c r="C1287" s="26"/>
      <c r="D1287" s="3"/>
    </row>
    <row r="1288" spans="2:4" x14ac:dyDescent="0.35">
      <c r="B1288" s="3"/>
      <c r="C1288" s="26"/>
      <c r="D1288" s="3"/>
    </row>
    <row r="1289" spans="2:4" x14ac:dyDescent="0.35">
      <c r="B1289" s="3"/>
      <c r="C1289" s="26"/>
      <c r="D1289" s="3"/>
    </row>
    <row r="1290" spans="2:4" x14ac:dyDescent="0.35">
      <c r="B1290" s="3"/>
      <c r="C1290" s="26"/>
      <c r="D1290" s="3"/>
    </row>
    <row r="1291" spans="2:4" x14ac:dyDescent="0.35">
      <c r="B1291" s="3"/>
      <c r="C1291" s="26"/>
      <c r="D1291" s="3"/>
    </row>
    <row r="1292" spans="2:4" x14ac:dyDescent="0.35">
      <c r="B1292" s="3"/>
      <c r="C1292" s="26"/>
      <c r="D1292" s="3"/>
    </row>
    <row r="1293" spans="2:4" x14ac:dyDescent="0.35">
      <c r="B1293" s="3"/>
      <c r="C1293" s="26"/>
      <c r="D1293" s="3"/>
    </row>
    <row r="1294" spans="2:4" x14ac:dyDescent="0.35">
      <c r="B1294" s="3"/>
      <c r="C1294" s="26"/>
      <c r="D1294" s="3"/>
    </row>
    <row r="1295" spans="2:4" x14ac:dyDescent="0.35">
      <c r="B1295" s="3"/>
      <c r="C1295" s="26"/>
      <c r="D1295" s="3"/>
    </row>
    <row r="1296" spans="2:4" x14ac:dyDescent="0.35">
      <c r="B1296" s="3"/>
      <c r="C1296" s="26"/>
      <c r="D1296" s="3"/>
    </row>
    <row r="1297" spans="2:4" x14ac:dyDescent="0.35">
      <c r="B1297" s="3"/>
      <c r="C1297" s="26"/>
      <c r="D1297" s="3"/>
    </row>
    <row r="1298" spans="2:4" x14ac:dyDescent="0.35">
      <c r="B1298" s="3"/>
      <c r="C1298" s="26"/>
      <c r="D1298" s="3"/>
    </row>
    <row r="1299" spans="2:4" x14ac:dyDescent="0.35">
      <c r="B1299" s="3"/>
      <c r="C1299" s="26"/>
      <c r="D1299" s="3"/>
    </row>
    <row r="1300" spans="2:4" x14ac:dyDescent="0.35">
      <c r="B1300" s="3"/>
      <c r="C1300" s="26"/>
      <c r="D1300" s="3"/>
    </row>
    <row r="1301" spans="2:4" x14ac:dyDescent="0.35">
      <c r="B1301" s="3"/>
      <c r="C1301" s="26"/>
      <c r="D1301" s="3"/>
    </row>
    <row r="1302" spans="2:4" x14ac:dyDescent="0.35">
      <c r="B1302" s="3"/>
      <c r="C1302" s="26"/>
      <c r="D1302" s="3"/>
    </row>
    <row r="1303" spans="2:4" x14ac:dyDescent="0.35">
      <c r="B1303" s="3"/>
      <c r="C1303" s="26"/>
      <c r="D1303" s="3"/>
    </row>
    <row r="1304" spans="2:4" x14ac:dyDescent="0.35">
      <c r="B1304" s="3"/>
      <c r="C1304" s="26"/>
      <c r="D1304" s="3"/>
    </row>
    <row r="1305" spans="2:4" x14ac:dyDescent="0.35">
      <c r="B1305" s="3"/>
      <c r="C1305" s="26"/>
      <c r="D1305" s="3"/>
    </row>
    <row r="1306" spans="2:4" x14ac:dyDescent="0.35">
      <c r="B1306" s="3"/>
      <c r="C1306" s="26"/>
      <c r="D1306" s="3"/>
    </row>
    <row r="1307" spans="2:4" x14ac:dyDescent="0.35">
      <c r="B1307" s="3"/>
      <c r="C1307" s="26"/>
      <c r="D1307" s="3"/>
    </row>
    <row r="1308" spans="2:4" x14ac:dyDescent="0.35">
      <c r="B1308" s="3"/>
      <c r="C1308" s="26"/>
      <c r="D1308" s="3"/>
    </row>
    <row r="1309" spans="2:4" x14ac:dyDescent="0.35">
      <c r="B1309" s="3"/>
      <c r="C1309" s="26"/>
      <c r="D1309" s="3"/>
    </row>
    <row r="1310" spans="2:4" x14ac:dyDescent="0.35">
      <c r="B1310" s="3"/>
      <c r="C1310" s="26"/>
      <c r="D1310" s="3"/>
    </row>
    <row r="1311" spans="2:4" x14ac:dyDescent="0.35">
      <c r="B1311" s="3"/>
      <c r="C1311" s="26"/>
      <c r="D1311" s="3"/>
    </row>
    <row r="1312" spans="2:4" x14ac:dyDescent="0.35">
      <c r="B1312" s="3"/>
      <c r="C1312" s="26"/>
      <c r="D1312" s="3"/>
    </row>
    <row r="1313" spans="2:4" x14ac:dyDescent="0.35">
      <c r="B1313" s="3"/>
      <c r="C1313" s="26"/>
      <c r="D1313" s="3"/>
    </row>
    <row r="1314" spans="2:4" x14ac:dyDescent="0.35">
      <c r="B1314" s="3"/>
      <c r="C1314" s="26"/>
      <c r="D1314" s="3"/>
    </row>
    <row r="1315" spans="2:4" x14ac:dyDescent="0.35">
      <c r="B1315" s="3"/>
      <c r="C1315" s="26"/>
      <c r="D1315" s="3"/>
    </row>
    <row r="1316" spans="2:4" x14ac:dyDescent="0.35">
      <c r="B1316" s="3"/>
      <c r="C1316" s="26"/>
      <c r="D1316" s="3"/>
    </row>
    <row r="1317" spans="2:4" x14ac:dyDescent="0.35">
      <c r="B1317" s="3"/>
      <c r="C1317" s="26"/>
      <c r="D1317" s="3"/>
    </row>
    <row r="1318" spans="2:4" x14ac:dyDescent="0.35">
      <c r="B1318" s="3"/>
      <c r="C1318" s="26"/>
      <c r="D1318" s="3"/>
    </row>
    <row r="1319" spans="2:4" x14ac:dyDescent="0.35">
      <c r="B1319" s="3"/>
      <c r="C1319" s="26"/>
      <c r="D1319" s="3"/>
    </row>
    <row r="1320" spans="2:4" x14ac:dyDescent="0.35">
      <c r="B1320" s="3"/>
      <c r="C1320" s="26"/>
      <c r="D1320" s="3"/>
    </row>
    <row r="1321" spans="2:4" x14ac:dyDescent="0.35">
      <c r="B1321" s="3"/>
      <c r="C1321" s="26"/>
      <c r="D1321" s="3"/>
    </row>
    <row r="1322" spans="2:4" x14ac:dyDescent="0.35">
      <c r="B1322" s="3"/>
      <c r="C1322" s="26"/>
      <c r="D1322" s="3"/>
    </row>
    <row r="1323" spans="2:4" x14ac:dyDescent="0.35">
      <c r="B1323" s="3"/>
      <c r="C1323" s="26"/>
      <c r="D1323" s="3"/>
    </row>
    <row r="1324" spans="2:4" x14ac:dyDescent="0.35">
      <c r="B1324" s="3"/>
      <c r="C1324" s="26"/>
      <c r="D1324" s="3"/>
    </row>
    <row r="1325" spans="2:4" x14ac:dyDescent="0.35">
      <c r="B1325" s="3"/>
      <c r="C1325" s="26"/>
      <c r="D1325" s="3"/>
    </row>
    <row r="1326" spans="2:4" x14ac:dyDescent="0.35">
      <c r="B1326" s="3"/>
      <c r="C1326" s="26"/>
      <c r="D1326" s="3"/>
    </row>
    <row r="1327" spans="2:4" x14ac:dyDescent="0.35">
      <c r="B1327" s="3"/>
      <c r="C1327" s="26"/>
      <c r="D1327" s="3"/>
    </row>
    <row r="1328" spans="2:4" x14ac:dyDescent="0.35">
      <c r="B1328" s="3"/>
      <c r="C1328" s="26"/>
      <c r="D1328" s="3"/>
    </row>
    <row r="1329" spans="2:4" x14ac:dyDescent="0.35">
      <c r="B1329" s="3"/>
      <c r="C1329" s="26"/>
      <c r="D1329" s="3"/>
    </row>
    <row r="1330" spans="2:4" x14ac:dyDescent="0.35">
      <c r="B1330" s="3"/>
      <c r="C1330" s="26"/>
      <c r="D1330" s="3"/>
    </row>
    <row r="1331" spans="2:4" x14ac:dyDescent="0.35">
      <c r="B1331" s="3"/>
      <c r="C1331" s="26"/>
      <c r="D1331" s="3"/>
    </row>
    <row r="1332" spans="2:4" x14ac:dyDescent="0.35">
      <c r="B1332" s="3"/>
      <c r="C1332" s="26"/>
      <c r="D1332" s="3"/>
    </row>
    <row r="1333" spans="2:4" x14ac:dyDescent="0.35">
      <c r="B1333" s="3"/>
      <c r="C1333" s="26"/>
      <c r="D1333" s="3"/>
    </row>
    <row r="1334" spans="2:4" x14ac:dyDescent="0.35">
      <c r="B1334" s="3"/>
      <c r="C1334" s="26"/>
      <c r="D1334" s="3"/>
    </row>
    <row r="1335" spans="2:4" x14ac:dyDescent="0.35">
      <c r="B1335" s="3"/>
      <c r="C1335" s="26"/>
      <c r="D1335" s="3"/>
    </row>
    <row r="1336" spans="2:4" x14ac:dyDescent="0.35">
      <c r="B1336" s="3"/>
      <c r="C1336" s="26"/>
      <c r="D1336" s="3"/>
    </row>
    <row r="1337" spans="2:4" x14ac:dyDescent="0.35">
      <c r="B1337" s="3"/>
      <c r="C1337" s="26"/>
      <c r="D1337" s="3"/>
    </row>
    <row r="1338" spans="2:4" x14ac:dyDescent="0.35">
      <c r="B1338" s="3"/>
      <c r="C1338" s="26"/>
      <c r="D1338" s="3"/>
    </row>
    <row r="1339" spans="2:4" x14ac:dyDescent="0.35">
      <c r="B1339" s="3"/>
      <c r="C1339" s="26"/>
      <c r="D1339" s="3"/>
    </row>
    <row r="1340" spans="2:4" x14ac:dyDescent="0.35">
      <c r="B1340" s="3"/>
      <c r="C1340" s="26"/>
      <c r="D1340" s="3"/>
    </row>
    <row r="1341" spans="2:4" x14ac:dyDescent="0.35">
      <c r="B1341" s="3"/>
      <c r="C1341" s="26"/>
      <c r="D1341" s="3"/>
    </row>
    <row r="1342" spans="2:4" x14ac:dyDescent="0.35">
      <c r="B1342" s="3"/>
      <c r="C1342" s="26"/>
      <c r="D1342" s="3"/>
    </row>
    <row r="1343" spans="2:4" x14ac:dyDescent="0.35">
      <c r="B1343" s="3"/>
      <c r="C1343" s="26"/>
      <c r="D1343" s="3"/>
    </row>
    <row r="1344" spans="2:4" x14ac:dyDescent="0.35">
      <c r="B1344" s="3"/>
      <c r="C1344" s="26"/>
      <c r="D1344" s="3"/>
    </row>
    <row r="1345" spans="2:4" x14ac:dyDescent="0.35">
      <c r="B1345" s="3"/>
      <c r="C1345" s="26"/>
      <c r="D1345" s="3"/>
    </row>
    <row r="1346" spans="2:4" x14ac:dyDescent="0.35">
      <c r="B1346" s="3"/>
      <c r="C1346" s="26"/>
      <c r="D1346" s="3"/>
    </row>
    <row r="1347" spans="2:4" x14ac:dyDescent="0.35">
      <c r="B1347" s="3"/>
      <c r="C1347" s="26"/>
      <c r="D1347" s="3"/>
    </row>
    <row r="1348" spans="2:4" x14ac:dyDescent="0.35">
      <c r="B1348" s="3"/>
      <c r="C1348" s="26"/>
      <c r="D1348" s="3"/>
    </row>
    <row r="1349" spans="2:4" x14ac:dyDescent="0.35">
      <c r="B1349" s="3"/>
      <c r="C1349" s="26"/>
      <c r="D1349" s="3"/>
    </row>
    <row r="1350" spans="2:4" x14ac:dyDescent="0.35">
      <c r="B1350" s="3"/>
      <c r="C1350" s="26"/>
      <c r="D1350" s="3"/>
    </row>
    <row r="1351" spans="2:4" x14ac:dyDescent="0.35">
      <c r="B1351" s="3"/>
      <c r="C1351" s="26"/>
      <c r="D1351" s="3"/>
    </row>
    <row r="1352" spans="2:4" x14ac:dyDescent="0.35">
      <c r="B1352" s="3"/>
      <c r="C1352" s="26"/>
      <c r="D1352" s="3"/>
    </row>
    <row r="1353" spans="2:4" x14ac:dyDescent="0.35">
      <c r="B1353" s="3"/>
      <c r="C1353" s="26"/>
      <c r="D1353" s="3"/>
    </row>
    <row r="1354" spans="2:4" x14ac:dyDescent="0.35">
      <c r="B1354" s="3"/>
      <c r="C1354" s="26"/>
      <c r="D1354" s="3"/>
    </row>
    <row r="1355" spans="2:4" x14ac:dyDescent="0.35">
      <c r="B1355" s="3"/>
      <c r="C1355" s="26"/>
      <c r="D1355" s="3"/>
    </row>
    <row r="1356" spans="2:4" x14ac:dyDescent="0.35">
      <c r="B1356" s="3"/>
      <c r="C1356" s="26"/>
      <c r="D1356" s="3"/>
    </row>
    <row r="1357" spans="2:4" x14ac:dyDescent="0.35">
      <c r="B1357" s="3"/>
      <c r="C1357" s="26"/>
      <c r="D1357" s="3"/>
    </row>
    <row r="1358" spans="2:4" x14ac:dyDescent="0.35">
      <c r="B1358" s="3"/>
      <c r="C1358" s="26"/>
      <c r="D1358" s="3"/>
    </row>
    <row r="1359" spans="2:4" x14ac:dyDescent="0.35">
      <c r="B1359" s="3"/>
      <c r="C1359" s="26"/>
      <c r="D1359" s="3"/>
    </row>
    <row r="1360" spans="2:4" x14ac:dyDescent="0.35">
      <c r="B1360" s="3"/>
      <c r="C1360" s="26"/>
      <c r="D1360" s="3"/>
    </row>
    <row r="1361" spans="2:4" x14ac:dyDescent="0.35">
      <c r="B1361" s="3"/>
      <c r="C1361" s="26"/>
      <c r="D1361" s="3"/>
    </row>
    <row r="1362" spans="2:4" x14ac:dyDescent="0.35">
      <c r="B1362" s="3"/>
      <c r="C1362" s="26"/>
      <c r="D1362" s="3"/>
    </row>
    <row r="1363" spans="2:4" x14ac:dyDescent="0.35">
      <c r="B1363" s="3"/>
      <c r="C1363" s="26"/>
      <c r="D1363" s="3"/>
    </row>
    <row r="1364" spans="2:4" x14ac:dyDescent="0.35">
      <c r="B1364" s="3"/>
      <c r="C1364" s="26"/>
      <c r="D1364" s="3"/>
    </row>
    <row r="1365" spans="2:4" x14ac:dyDescent="0.35">
      <c r="B1365" s="3"/>
      <c r="C1365" s="26"/>
      <c r="D1365" s="3"/>
    </row>
    <row r="1366" spans="2:4" x14ac:dyDescent="0.35">
      <c r="B1366" s="3"/>
      <c r="C1366" s="26"/>
      <c r="D1366" s="3"/>
    </row>
    <row r="1367" spans="2:4" x14ac:dyDescent="0.35">
      <c r="B1367" s="3"/>
      <c r="C1367" s="26"/>
      <c r="D1367" s="3"/>
    </row>
    <row r="1368" spans="2:4" x14ac:dyDescent="0.35">
      <c r="B1368" s="3"/>
      <c r="C1368" s="26"/>
      <c r="D1368" s="3"/>
    </row>
    <row r="1369" spans="2:4" x14ac:dyDescent="0.35">
      <c r="B1369" s="3"/>
      <c r="C1369" s="26"/>
      <c r="D1369" s="3"/>
    </row>
    <row r="1370" spans="2:4" x14ac:dyDescent="0.35">
      <c r="B1370" s="3"/>
      <c r="C1370" s="26"/>
      <c r="D1370" s="3"/>
    </row>
    <row r="1371" spans="2:4" x14ac:dyDescent="0.35">
      <c r="B1371" s="3"/>
      <c r="C1371" s="26"/>
      <c r="D1371" s="3"/>
    </row>
    <row r="1372" spans="2:4" x14ac:dyDescent="0.35">
      <c r="B1372" s="3"/>
      <c r="C1372" s="26"/>
      <c r="D1372" s="3"/>
    </row>
    <row r="1373" spans="2:4" x14ac:dyDescent="0.35">
      <c r="B1373" s="3"/>
      <c r="C1373" s="26"/>
      <c r="D1373" s="3"/>
    </row>
    <row r="1374" spans="2:4" x14ac:dyDescent="0.35">
      <c r="B1374" s="3"/>
      <c r="C1374" s="26"/>
      <c r="D1374" s="3"/>
    </row>
    <row r="1375" spans="2:4" x14ac:dyDescent="0.35">
      <c r="B1375" s="3"/>
      <c r="C1375" s="26"/>
      <c r="D1375" s="3"/>
    </row>
    <row r="1376" spans="2:4" x14ac:dyDescent="0.35">
      <c r="B1376" s="3"/>
      <c r="C1376" s="26"/>
      <c r="D1376" s="3"/>
    </row>
    <row r="1377" spans="2:4" x14ac:dyDescent="0.35">
      <c r="B1377" s="3"/>
      <c r="C1377" s="26"/>
      <c r="D1377" s="3"/>
    </row>
    <row r="1378" spans="2:4" x14ac:dyDescent="0.35">
      <c r="B1378" s="3"/>
      <c r="C1378" s="26"/>
      <c r="D1378" s="3"/>
    </row>
    <row r="1379" spans="2:4" x14ac:dyDescent="0.35">
      <c r="B1379" s="3"/>
      <c r="C1379" s="26"/>
      <c r="D1379" s="3"/>
    </row>
    <row r="1380" spans="2:4" x14ac:dyDescent="0.35">
      <c r="B1380" s="3"/>
      <c r="C1380" s="26"/>
      <c r="D1380" s="3"/>
    </row>
    <row r="1381" spans="2:4" x14ac:dyDescent="0.35">
      <c r="B1381" s="3"/>
      <c r="C1381" s="26"/>
      <c r="D1381" s="3"/>
    </row>
    <row r="1382" spans="2:4" x14ac:dyDescent="0.35">
      <c r="B1382" s="3"/>
      <c r="C1382" s="26"/>
      <c r="D1382" s="3"/>
    </row>
    <row r="1383" spans="2:4" x14ac:dyDescent="0.35">
      <c r="B1383" s="3"/>
      <c r="C1383" s="26"/>
      <c r="D1383" s="3"/>
    </row>
    <row r="1384" spans="2:4" x14ac:dyDescent="0.35">
      <c r="B1384" s="3"/>
      <c r="C1384" s="26"/>
      <c r="D1384" s="3"/>
    </row>
    <row r="1385" spans="2:4" x14ac:dyDescent="0.35">
      <c r="B1385" s="3"/>
      <c r="C1385" s="26"/>
      <c r="D1385" s="3"/>
    </row>
    <row r="1386" spans="2:4" x14ac:dyDescent="0.35">
      <c r="B1386" s="3"/>
      <c r="C1386" s="26"/>
      <c r="D1386" s="3"/>
    </row>
    <row r="1387" spans="2:4" x14ac:dyDescent="0.35">
      <c r="B1387" s="3"/>
      <c r="C1387" s="26"/>
      <c r="D1387" s="3"/>
    </row>
    <row r="1388" spans="2:4" x14ac:dyDescent="0.35">
      <c r="B1388" s="3"/>
      <c r="C1388" s="26"/>
      <c r="D1388" s="3"/>
    </row>
    <row r="1389" spans="2:4" x14ac:dyDescent="0.35">
      <c r="B1389" s="3"/>
      <c r="C1389" s="26"/>
      <c r="D1389" s="3"/>
    </row>
    <row r="1390" spans="2:4" x14ac:dyDescent="0.35">
      <c r="B1390" s="3"/>
      <c r="C1390" s="26"/>
      <c r="D1390" s="3"/>
    </row>
    <row r="1391" spans="2:4" x14ac:dyDescent="0.35">
      <c r="B1391" s="3"/>
      <c r="C1391" s="26"/>
      <c r="D1391" s="3"/>
    </row>
    <row r="1392" spans="2:4" x14ac:dyDescent="0.35">
      <c r="B1392" s="3"/>
      <c r="C1392" s="26"/>
      <c r="D1392" s="3"/>
    </row>
    <row r="1393" spans="2:4" x14ac:dyDescent="0.35">
      <c r="B1393" s="3"/>
      <c r="C1393" s="26"/>
      <c r="D1393" s="3"/>
    </row>
    <row r="1394" spans="2:4" x14ac:dyDescent="0.35">
      <c r="B1394" s="3"/>
      <c r="C1394" s="26"/>
      <c r="D1394" s="3"/>
    </row>
    <row r="1395" spans="2:4" x14ac:dyDescent="0.35">
      <c r="B1395" s="3"/>
      <c r="C1395" s="26"/>
      <c r="D1395" s="3"/>
    </row>
    <row r="1396" spans="2:4" x14ac:dyDescent="0.35">
      <c r="B1396" s="3"/>
      <c r="C1396" s="26"/>
      <c r="D1396" s="3"/>
    </row>
    <row r="1397" spans="2:4" x14ac:dyDescent="0.35">
      <c r="B1397" s="3"/>
      <c r="C1397" s="26"/>
      <c r="D1397" s="3"/>
    </row>
    <row r="1398" spans="2:4" x14ac:dyDescent="0.35">
      <c r="B1398" s="3"/>
      <c r="C1398" s="26"/>
      <c r="D1398" s="3"/>
    </row>
    <row r="1399" spans="2:4" x14ac:dyDescent="0.35">
      <c r="B1399" s="3"/>
      <c r="C1399" s="26"/>
      <c r="D1399" s="3"/>
    </row>
    <row r="1400" spans="2:4" x14ac:dyDescent="0.35">
      <c r="B1400" s="3"/>
      <c r="C1400" s="26"/>
      <c r="D1400" s="3"/>
    </row>
    <row r="1401" spans="2:4" x14ac:dyDescent="0.35">
      <c r="B1401" s="3"/>
      <c r="C1401" s="26"/>
      <c r="D1401" s="3"/>
    </row>
    <row r="1402" spans="2:4" x14ac:dyDescent="0.35">
      <c r="B1402" s="3"/>
      <c r="C1402" s="26"/>
      <c r="D1402" s="3"/>
    </row>
    <row r="1403" spans="2:4" x14ac:dyDescent="0.35">
      <c r="B1403" s="3"/>
      <c r="C1403" s="26"/>
      <c r="D1403" s="3"/>
    </row>
    <row r="1404" spans="2:4" x14ac:dyDescent="0.35">
      <c r="B1404" s="3"/>
      <c r="C1404" s="26"/>
      <c r="D1404" s="3"/>
    </row>
    <row r="1405" spans="2:4" x14ac:dyDescent="0.35">
      <c r="B1405" s="3"/>
      <c r="C1405" s="26"/>
      <c r="D1405" s="3"/>
    </row>
    <row r="1406" spans="2:4" x14ac:dyDescent="0.35">
      <c r="B1406" s="3"/>
      <c r="C1406" s="26"/>
      <c r="D1406" s="3"/>
    </row>
    <row r="1407" spans="2:4" x14ac:dyDescent="0.35">
      <c r="B1407" s="3"/>
      <c r="C1407" s="26"/>
      <c r="D1407" s="3"/>
    </row>
    <row r="1408" spans="2:4" x14ac:dyDescent="0.35">
      <c r="B1408" s="3"/>
      <c r="C1408" s="26"/>
      <c r="D1408" s="3"/>
    </row>
    <row r="1409" spans="2:4" x14ac:dyDescent="0.35">
      <c r="B1409" s="3"/>
      <c r="C1409" s="26"/>
      <c r="D1409" s="3"/>
    </row>
    <row r="1410" spans="2:4" x14ac:dyDescent="0.35">
      <c r="B1410" s="3"/>
      <c r="C1410" s="26"/>
      <c r="D1410" s="3"/>
    </row>
    <row r="1411" spans="2:4" x14ac:dyDescent="0.35">
      <c r="B1411" s="3"/>
      <c r="C1411" s="26"/>
      <c r="D1411" s="3"/>
    </row>
    <row r="1412" spans="2:4" x14ac:dyDescent="0.35">
      <c r="B1412" s="3"/>
      <c r="C1412" s="26"/>
      <c r="D1412" s="3"/>
    </row>
    <row r="1413" spans="2:4" x14ac:dyDescent="0.35">
      <c r="B1413" s="3"/>
      <c r="C1413" s="26"/>
      <c r="D1413" s="3"/>
    </row>
    <row r="1414" spans="2:4" x14ac:dyDescent="0.35">
      <c r="B1414" s="3"/>
      <c r="C1414" s="26"/>
      <c r="D1414" s="3"/>
    </row>
    <row r="1415" spans="2:4" x14ac:dyDescent="0.35">
      <c r="B1415" s="3"/>
      <c r="C1415" s="26"/>
      <c r="D1415" s="3"/>
    </row>
    <row r="1416" spans="2:4" x14ac:dyDescent="0.35">
      <c r="B1416" s="3"/>
      <c r="C1416" s="26"/>
      <c r="D1416" s="3"/>
    </row>
    <row r="1417" spans="2:4" x14ac:dyDescent="0.35">
      <c r="B1417" s="3"/>
      <c r="C1417" s="26"/>
      <c r="D1417" s="3"/>
    </row>
    <row r="1418" spans="2:4" x14ac:dyDescent="0.35">
      <c r="B1418" s="3"/>
      <c r="C1418" s="26"/>
      <c r="D1418" s="3"/>
    </row>
    <row r="1419" spans="2:4" x14ac:dyDescent="0.35">
      <c r="B1419" s="3"/>
      <c r="C1419" s="26"/>
      <c r="D1419" s="3"/>
    </row>
    <row r="1420" spans="2:4" x14ac:dyDescent="0.35">
      <c r="B1420" s="3"/>
      <c r="C1420" s="26"/>
      <c r="D1420" s="3"/>
    </row>
    <row r="1421" spans="2:4" x14ac:dyDescent="0.35">
      <c r="B1421" s="3"/>
      <c r="C1421" s="26"/>
      <c r="D1421" s="3"/>
    </row>
    <row r="1422" spans="2:4" x14ac:dyDescent="0.35">
      <c r="B1422" s="3"/>
      <c r="C1422" s="26"/>
      <c r="D1422" s="3"/>
    </row>
    <row r="1423" spans="2:4" x14ac:dyDescent="0.35">
      <c r="B1423" s="3"/>
      <c r="C1423" s="26"/>
      <c r="D1423" s="3"/>
    </row>
    <row r="1424" spans="2:4" x14ac:dyDescent="0.35">
      <c r="B1424" s="3"/>
      <c r="C1424" s="26"/>
      <c r="D1424" s="3"/>
    </row>
    <row r="1425" spans="2:4" x14ac:dyDescent="0.35">
      <c r="B1425" s="3"/>
      <c r="C1425" s="26"/>
      <c r="D1425" s="3"/>
    </row>
    <row r="1426" spans="2:4" x14ac:dyDescent="0.35">
      <c r="B1426" s="3"/>
      <c r="C1426" s="26"/>
      <c r="D1426" s="3"/>
    </row>
    <row r="1427" spans="2:4" x14ac:dyDescent="0.35">
      <c r="B1427" s="3"/>
      <c r="C1427" s="26"/>
      <c r="D1427" s="3"/>
    </row>
    <row r="1428" spans="2:4" x14ac:dyDescent="0.35">
      <c r="B1428" s="3"/>
      <c r="C1428" s="26"/>
      <c r="D1428" s="3"/>
    </row>
    <row r="1429" spans="2:4" x14ac:dyDescent="0.35">
      <c r="B1429" s="3"/>
      <c r="C1429" s="26"/>
      <c r="D1429" s="3"/>
    </row>
    <row r="1430" spans="2:4" x14ac:dyDescent="0.35">
      <c r="B1430" s="3"/>
      <c r="C1430" s="26"/>
      <c r="D1430" s="3"/>
    </row>
    <row r="1431" spans="2:4" x14ac:dyDescent="0.35">
      <c r="B1431" s="3"/>
      <c r="C1431" s="26"/>
      <c r="D1431" s="3"/>
    </row>
    <row r="1432" spans="2:4" x14ac:dyDescent="0.35">
      <c r="B1432" s="3"/>
      <c r="C1432" s="26"/>
      <c r="D1432" s="3"/>
    </row>
    <row r="1433" spans="2:4" x14ac:dyDescent="0.35">
      <c r="B1433" s="3"/>
      <c r="C1433" s="26"/>
      <c r="D1433" s="3"/>
    </row>
    <row r="1434" spans="2:4" x14ac:dyDescent="0.35">
      <c r="B1434" s="3"/>
      <c r="C1434" s="26"/>
      <c r="D1434" s="3"/>
    </row>
    <row r="1435" spans="2:4" x14ac:dyDescent="0.35">
      <c r="B1435" s="3"/>
      <c r="C1435" s="26"/>
      <c r="D1435" s="3"/>
    </row>
    <row r="1436" spans="2:4" x14ac:dyDescent="0.35">
      <c r="B1436" s="3"/>
      <c r="C1436" s="26"/>
      <c r="D1436" s="3"/>
    </row>
    <row r="1437" spans="2:4" x14ac:dyDescent="0.35">
      <c r="B1437" s="3"/>
      <c r="C1437" s="26"/>
      <c r="D1437" s="3"/>
    </row>
    <row r="1438" spans="2:4" x14ac:dyDescent="0.35">
      <c r="B1438" s="3"/>
      <c r="C1438" s="26"/>
      <c r="D1438" s="3"/>
    </row>
    <row r="1439" spans="2:4" x14ac:dyDescent="0.35">
      <c r="B1439" s="3"/>
      <c r="C1439" s="26"/>
      <c r="D1439" s="3"/>
    </row>
    <row r="1440" spans="2:4" x14ac:dyDescent="0.35">
      <c r="B1440" s="3"/>
      <c r="C1440" s="26"/>
      <c r="D1440" s="3"/>
    </row>
    <row r="1441" spans="2:4" x14ac:dyDescent="0.35">
      <c r="B1441" s="3"/>
      <c r="C1441" s="26"/>
      <c r="D1441" s="3"/>
    </row>
    <row r="1442" spans="2:4" x14ac:dyDescent="0.35">
      <c r="B1442" s="3"/>
      <c r="C1442" s="26"/>
      <c r="D1442" s="3"/>
    </row>
    <row r="1443" spans="2:4" x14ac:dyDescent="0.35">
      <c r="B1443" s="3"/>
      <c r="C1443" s="26"/>
      <c r="D1443" s="3"/>
    </row>
    <row r="1444" spans="2:4" x14ac:dyDescent="0.35">
      <c r="B1444" s="3"/>
      <c r="C1444" s="26"/>
      <c r="D1444" s="3"/>
    </row>
    <row r="1445" spans="2:4" x14ac:dyDescent="0.35">
      <c r="B1445" s="3"/>
      <c r="C1445" s="26"/>
      <c r="D1445" s="3"/>
    </row>
    <row r="1446" spans="2:4" x14ac:dyDescent="0.35">
      <c r="B1446" s="3"/>
      <c r="C1446" s="26"/>
      <c r="D1446" s="3"/>
    </row>
    <row r="1447" spans="2:4" x14ac:dyDescent="0.35">
      <c r="B1447" s="3"/>
      <c r="C1447" s="26"/>
      <c r="D1447" s="3"/>
    </row>
    <row r="1448" spans="2:4" x14ac:dyDescent="0.35">
      <c r="B1448" s="3"/>
      <c r="C1448" s="26"/>
      <c r="D1448" s="3"/>
    </row>
    <row r="1449" spans="2:4" x14ac:dyDescent="0.35">
      <c r="B1449" s="3"/>
      <c r="C1449" s="26"/>
      <c r="D1449" s="3"/>
    </row>
    <row r="1450" spans="2:4" x14ac:dyDescent="0.35">
      <c r="B1450" s="3"/>
      <c r="C1450" s="26"/>
      <c r="D1450" s="3"/>
    </row>
    <row r="1451" spans="2:4" x14ac:dyDescent="0.35">
      <c r="B1451" s="3"/>
      <c r="C1451" s="26"/>
      <c r="D1451" s="3"/>
    </row>
    <row r="1452" spans="2:4" x14ac:dyDescent="0.35">
      <c r="B1452" s="3"/>
      <c r="C1452" s="26"/>
      <c r="D1452" s="3"/>
    </row>
    <row r="1453" spans="2:4" x14ac:dyDescent="0.35">
      <c r="B1453" s="3"/>
      <c r="C1453" s="26"/>
      <c r="D1453" s="3"/>
    </row>
    <row r="1454" spans="2:4" x14ac:dyDescent="0.35">
      <c r="B1454" s="3"/>
      <c r="C1454" s="26"/>
      <c r="D1454" s="3"/>
    </row>
    <row r="1455" spans="2:4" x14ac:dyDescent="0.35">
      <c r="B1455" s="3"/>
      <c r="C1455" s="26"/>
      <c r="D1455" s="3"/>
    </row>
    <row r="1456" spans="2:4" x14ac:dyDescent="0.35">
      <c r="B1456" s="3"/>
      <c r="C1456" s="26"/>
      <c r="D1456" s="3"/>
    </row>
    <row r="1457" spans="2:4" x14ac:dyDescent="0.35">
      <c r="B1457" s="3"/>
      <c r="C1457" s="26"/>
      <c r="D1457" s="3"/>
    </row>
    <row r="1458" spans="2:4" x14ac:dyDescent="0.35">
      <c r="B1458" s="3"/>
      <c r="C1458" s="26"/>
      <c r="D1458" s="3"/>
    </row>
    <row r="1459" spans="2:4" x14ac:dyDescent="0.35">
      <c r="B1459" s="3"/>
      <c r="C1459" s="26"/>
      <c r="D1459" s="3"/>
    </row>
    <row r="1460" spans="2:4" x14ac:dyDescent="0.35">
      <c r="B1460" s="3"/>
      <c r="C1460" s="26"/>
      <c r="D1460" s="3"/>
    </row>
    <row r="1461" spans="2:4" x14ac:dyDescent="0.35">
      <c r="B1461" s="3"/>
      <c r="C1461" s="26"/>
      <c r="D1461" s="3"/>
    </row>
    <row r="1462" spans="2:4" x14ac:dyDescent="0.35">
      <c r="B1462" s="3"/>
      <c r="C1462" s="26"/>
      <c r="D1462" s="3"/>
    </row>
    <row r="1463" spans="2:4" x14ac:dyDescent="0.35">
      <c r="B1463" s="3"/>
      <c r="C1463" s="26"/>
      <c r="D1463" s="3"/>
    </row>
    <row r="1464" spans="2:4" x14ac:dyDescent="0.35">
      <c r="B1464" s="3"/>
      <c r="C1464" s="26"/>
      <c r="D1464" s="3"/>
    </row>
    <row r="1465" spans="2:4" x14ac:dyDescent="0.35">
      <c r="B1465" s="3"/>
      <c r="C1465" s="26"/>
      <c r="D1465" s="3"/>
    </row>
    <row r="1466" spans="2:4" x14ac:dyDescent="0.35">
      <c r="B1466" s="3"/>
      <c r="C1466" s="26"/>
      <c r="D1466" s="3"/>
    </row>
    <row r="1467" spans="2:4" x14ac:dyDescent="0.35">
      <c r="B1467" s="3"/>
      <c r="C1467" s="26"/>
      <c r="D1467" s="3"/>
    </row>
    <row r="1468" spans="2:4" x14ac:dyDescent="0.35">
      <c r="B1468" s="3"/>
      <c r="C1468" s="26"/>
      <c r="D1468" s="3"/>
    </row>
    <row r="1469" spans="2:4" x14ac:dyDescent="0.35">
      <c r="B1469" s="3"/>
      <c r="C1469" s="26"/>
      <c r="D1469" s="3"/>
    </row>
    <row r="1470" spans="2:4" x14ac:dyDescent="0.35">
      <c r="B1470" s="3"/>
      <c r="C1470" s="26"/>
      <c r="D1470" s="3"/>
    </row>
    <row r="1471" spans="2:4" x14ac:dyDescent="0.35">
      <c r="B1471" s="3"/>
      <c r="C1471" s="26"/>
      <c r="D1471" s="3"/>
    </row>
    <row r="1472" spans="2:4" x14ac:dyDescent="0.35">
      <c r="B1472" s="3"/>
      <c r="C1472" s="26"/>
      <c r="D1472" s="3"/>
    </row>
    <row r="1473" spans="2:4" x14ac:dyDescent="0.35">
      <c r="B1473" s="3"/>
      <c r="C1473" s="26"/>
      <c r="D1473" s="3"/>
    </row>
    <row r="1474" spans="2:4" x14ac:dyDescent="0.35">
      <c r="B1474" s="3"/>
      <c r="C1474" s="26"/>
      <c r="D1474" s="3"/>
    </row>
    <row r="1475" spans="2:4" x14ac:dyDescent="0.35">
      <c r="B1475" s="3"/>
      <c r="C1475" s="26"/>
      <c r="D1475" s="3"/>
    </row>
    <row r="1476" spans="2:4" x14ac:dyDescent="0.35">
      <c r="B1476" s="3"/>
      <c r="C1476" s="26"/>
      <c r="D1476" s="3"/>
    </row>
    <row r="1477" spans="2:4" x14ac:dyDescent="0.35">
      <c r="B1477" s="3"/>
      <c r="C1477" s="26"/>
      <c r="D1477" s="3"/>
    </row>
    <row r="1478" spans="2:4" x14ac:dyDescent="0.35">
      <c r="B1478" s="3"/>
      <c r="C1478" s="26"/>
      <c r="D1478" s="3"/>
    </row>
    <row r="1479" spans="2:4" x14ac:dyDescent="0.35">
      <c r="B1479" s="3"/>
      <c r="C1479" s="26"/>
      <c r="D1479" s="3"/>
    </row>
    <row r="1480" spans="2:4" x14ac:dyDescent="0.35">
      <c r="B1480" s="3"/>
      <c r="C1480" s="26"/>
      <c r="D1480" s="3"/>
    </row>
    <row r="1481" spans="2:4" x14ac:dyDescent="0.35">
      <c r="B1481" s="3"/>
      <c r="C1481" s="26"/>
      <c r="D1481" s="3"/>
    </row>
    <row r="1482" spans="2:4" x14ac:dyDescent="0.35">
      <c r="B1482" s="3"/>
      <c r="C1482" s="26"/>
      <c r="D1482" s="3"/>
    </row>
    <row r="1483" spans="2:4" x14ac:dyDescent="0.35">
      <c r="B1483" s="3"/>
      <c r="C1483" s="26"/>
      <c r="D1483" s="3"/>
    </row>
    <row r="1484" spans="2:4" x14ac:dyDescent="0.35">
      <c r="B1484" s="3"/>
      <c r="C1484" s="26"/>
      <c r="D1484" s="3"/>
    </row>
    <row r="1485" spans="2:4" x14ac:dyDescent="0.35">
      <c r="B1485" s="3"/>
      <c r="C1485" s="26"/>
      <c r="D1485" s="3"/>
    </row>
    <row r="1486" spans="2:4" x14ac:dyDescent="0.35">
      <c r="B1486" s="3"/>
      <c r="C1486" s="26"/>
      <c r="D1486" s="3"/>
    </row>
    <row r="1487" spans="2:4" x14ac:dyDescent="0.35">
      <c r="B1487" s="3"/>
      <c r="C1487" s="26"/>
      <c r="D1487" s="3"/>
    </row>
    <row r="1488" spans="2:4" x14ac:dyDescent="0.35">
      <c r="B1488" s="3"/>
      <c r="C1488" s="26"/>
      <c r="D1488" s="3"/>
    </row>
    <row r="1489" spans="2:4" x14ac:dyDescent="0.35">
      <c r="B1489" s="3"/>
      <c r="C1489" s="26"/>
      <c r="D1489" s="3"/>
    </row>
    <row r="1490" spans="2:4" x14ac:dyDescent="0.35">
      <c r="B1490" s="3"/>
      <c r="C1490" s="26"/>
      <c r="D1490" s="3"/>
    </row>
    <row r="1491" spans="2:4" x14ac:dyDescent="0.35">
      <c r="B1491" s="3"/>
      <c r="C1491" s="26"/>
      <c r="D1491" s="3"/>
    </row>
    <row r="1492" spans="2:4" x14ac:dyDescent="0.35">
      <c r="B1492" s="3"/>
      <c r="C1492" s="26"/>
      <c r="D1492" s="3"/>
    </row>
    <row r="1493" spans="2:4" x14ac:dyDescent="0.35">
      <c r="B1493" s="3"/>
      <c r="C1493" s="26"/>
      <c r="D1493" s="3"/>
    </row>
    <row r="1494" spans="2:4" x14ac:dyDescent="0.35">
      <c r="B1494" s="3"/>
      <c r="C1494" s="26"/>
      <c r="D1494" s="3"/>
    </row>
    <row r="1495" spans="2:4" x14ac:dyDescent="0.35">
      <c r="B1495" s="3"/>
      <c r="C1495" s="26"/>
      <c r="D1495" s="3"/>
    </row>
    <row r="1496" spans="2:4" x14ac:dyDescent="0.35">
      <c r="B1496" s="3"/>
      <c r="C1496" s="26"/>
      <c r="D1496" s="3"/>
    </row>
    <row r="1497" spans="2:4" x14ac:dyDescent="0.35">
      <c r="B1497" s="3"/>
      <c r="C1497" s="26"/>
      <c r="D1497" s="3"/>
    </row>
    <row r="1498" spans="2:4" x14ac:dyDescent="0.35">
      <c r="B1498" s="3"/>
      <c r="C1498" s="26"/>
      <c r="D1498" s="3"/>
    </row>
    <row r="1499" spans="2:4" x14ac:dyDescent="0.35">
      <c r="B1499" s="3"/>
      <c r="C1499" s="26"/>
      <c r="D1499" s="3"/>
    </row>
    <row r="1500" spans="2:4" x14ac:dyDescent="0.35">
      <c r="B1500" s="3"/>
      <c r="C1500" s="26"/>
      <c r="D1500" s="3"/>
    </row>
    <row r="1501" spans="2:4" x14ac:dyDescent="0.35">
      <c r="B1501" s="3"/>
      <c r="C1501" s="26"/>
      <c r="D1501" s="3"/>
    </row>
    <row r="1502" spans="2:4" x14ac:dyDescent="0.35">
      <c r="B1502" s="3"/>
      <c r="C1502" s="26"/>
      <c r="D1502" s="3"/>
    </row>
    <row r="1503" spans="2:4" x14ac:dyDescent="0.35">
      <c r="B1503" s="3"/>
      <c r="C1503" s="26"/>
      <c r="D1503" s="3"/>
    </row>
    <row r="1504" spans="2:4" x14ac:dyDescent="0.35">
      <c r="B1504" s="3"/>
      <c r="C1504" s="26"/>
      <c r="D1504" s="3"/>
    </row>
    <row r="1505" spans="2:4" x14ac:dyDescent="0.35">
      <c r="B1505" s="3"/>
      <c r="C1505" s="26"/>
      <c r="D1505" s="3"/>
    </row>
    <row r="1506" spans="2:4" x14ac:dyDescent="0.35">
      <c r="B1506" s="3"/>
      <c r="C1506" s="26"/>
      <c r="D1506" s="3"/>
    </row>
    <row r="1507" spans="2:4" x14ac:dyDescent="0.35">
      <c r="B1507" s="3"/>
      <c r="C1507" s="26"/>
      <c r="D1507" s="3"/>
    </row>
    <row r="1508" spans="2:4" x14ac:dyDescent="0.35">
      <c r="B1508" s="83"/>
      <c r="C1508" s="83"/>
      <c r="D1508" s="3"/>
    </row>
    <row r="1509" spans="2:4" x14ac:dyDescent="0.35">
      <c r="B1509" s="83"/>
      <c r="C1509" s="83"/>
      <c r="D1509" s="3"/>
    </row>
    <row r="1510" spans="2:4" x14ac:dyDescent="0.35">
      <c r="B1510" s="83"/>
      <c r="C1510" s="83"/>
      <c r="D1510" s="3"/>
    </row>
    <row r="1511" spans="2:4" x14ac:dyDescent="0.35">
      <c r="B1511" s="83"/>
      <c r="C1511" s="83"/>
      <c r="D1511" s="3"/>
    </row>
  </sheetData>
  <mergeCells count="1">
    <mergeCell ref="A1:H4"/>
  </mergeCells>
  <hyperlinks>
    <hyperlink ref="I4" r:id="rId1" xr:uid="{C2C50228-8451-47F3-8943-EA158FBBF092}"/>
  </hyperlinks>
  <pageMargins left="0.7" right="0.7" top="0.75" bottom="0.75" header="0.3" footer="0.3"/>
  <pageSetup orientation="portrait" r:id="rId2"/>
  <legacyDrawing r:id="rId3"/>
  <tableParts count="1">
    <tablePart r:id="rId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45C9-7317-4162-8EDB-34B15A8E8E4D}">
  <dimension ref="A1:BG169"/>
  <sheetViews>
    <sheetView workbookViewId="0">
      <selection sqref="A1:B1"/>
    </sheetView>
  </sheetViews>
  <sheetFormatPr defaultColWidth="9.453125" defaultRowHeight="15.5" x14ac:dyDescent="0.35"/>
  <cols>
    <col min="1" max="1" width="20.453125" style="15" customWidth="1"/>
    <col min="2" max="2" width="29.54296875" style="15" customWidth="1"/>
    <col min="3" max="3" width="14.453125" style="15" customWidth="1"/>
    <col min="4" max="4" width="26.453125" style="15" customWidth="1"/>
    <col min="5" max="5" width="19.54296875" style="15" customWidth="1"/>
    <col min="6" max="6" width="42.54296875" style="15" customWidth="1"/>
    <col min="7" max="7" width="23.54296875" style="17" customWidth="1"/>
    <col min="8" max="8" width="22.453125" style="15" customWidth="1"/>
    <col min="9" max="9" width="43.54296875" style="17" customWidth="1"/>
    <col min="10" max="11" width="12.54296875" style="17" customWidth="1"/>
    <col min="12" max="13" width="12.54296875" style="16" customWidth="1"/>
    <col min="14" max="14" width="11" style="16" customWidth="1"/>
    <col min="15" max="15" width="8.453125" style="16" customWidth="1"/>
    <col min="16" max="16" width="7.453125" style="16" customWidth="1"/>
    <col min="17" max="18" width="10.54296875" style="16" customWidth="1"/>
    <col min="19" max="20" width="9.54296875" style="16" customWidth="1"/>
    <col min="21" max="24" width="17.54296875" style="16" customWidth="1"/>
    <col min="25" max="25" width="16.453125" style="16" customWidth="1"/>
    <col min="26" max="26" width="18.453125" style="16" customWidth="1"/>
    <col min="27" max="27" width="16.453125" style="16" customWidth="1"/>
    <col min="28" max="30" width="18.453125" style="16" customWidth="1"/>
    <col min="31" max="31" width="15.453125" style="15" customWidth="1"/>
    <col min="32" max="32" width="15.453125" style="63" customWidth="1"/>
    <col min="33" max="33" width="32.453125" style="18" customWidth="1"/>
    <col min="34" max="34" width="32.453125" style="42" customWidth="1"/>
    <col min="35" max="55" width="15.54296875" style="14" customWidth="1"/>
    <col min="56" max="57" width="9.453125" style="14"/>
    <col min="58" max="58" width="18.453125" style="14" customWidth="1"/>
    <col min="59" max="59" width="14.453125" style="14" bestFit="1" customWidth="1"/>
    <col min="60" max="16384" width="9.453125" style="14"/>
  </cols>
  <sheetData>
    <row r="1" spans="1:59" ht="39" customHeight="1" x14ac:dyDescent="0.35">
      <c r="A1" s="525" t="s">
        <v>102</v>
      </c>
      <c r="B1" s="526"/>
      <c r="C1" s="13"/>
      <c r="D1" s="13"/>
      <c r="E1" s="13"/>
      <c r="F1" s="13"/>
      <c r="G1" s="30"/>
      <c r="H1" s="13"/>
      <c r="I1" s="30"/>
      <c r="J1" s="30"/>
      <c r="K1" s="30"/>
      <c r="L1" s="13"/>
      <c r="M1" s="13"/>
      <c r="N1" s="13"/>
      <c r="O1" s="521" t="s">
        <v>192</v>
      </c>
      <c r="P1" s="522"/>
      <c r="Q1" s="522"/>
      <c r="R1" s="522"/>
      <c r="S1" s="522"/>
      <c r="T1" s="523"/>
      <c r="U1" s="524" t="s">
        <v>211</v>
      </c>
      <c r="V1" s="524"/>
      <c r="W1" s="524" t="s">
        <v>216</v>
      </c>
      <c r="X1" s="524"/>
      <c r="Y1" s="524" t="s">
        <v>219</v>
      </c>
      <c r="Z1" s="524"/>
      <c r="AA1" s="521" t="s">
        <v>222</v>
      </c>
      <c r="AB1" s="522"/>
      <c r="AC1" s="524" t="s">
        <v>126</v>
      </c>
      <c r="AD1" s="524"/>
      <c r="AE1" s="524"/>
      <c r="AF1" s="524"/>
      <c r="AG1" s="524"/>
      <c r="AH1" s="43"/>
      <c r="AI1" s="43"/>
      <c r="AJ1" s="43"/>
      <c r="AK1" s="43"/>
      <c r="AL1" s="43"/>
      <c r="AM1" s="43"/>
      <c r="AN1" s="43"/>
      <c r="AO1" s="43"/>
      <c r="AP1" s="43"/>
      <c r="AQ1" s="43"/>
      <c r="AR1" s="43"/>
      <c r="AS1" s="43"/>
      <c r="AT1" s="43"/>
      <c r="AU1" s="45"/>
      <c r="AV1" s="45"/>
      <c r="AW1" s="40"/>
      <c r="AX1" s="39"/>
      <c r="AY1" s="36" t="s">
        <v>572</v>
      </c>
      <c r="AZ1" s="36" t="s">
        <v>137</v>
      </c>
      <c r="BA1" s="36" t="s">
        <v>573</v>
      </c>
      <c r="BB1" s="47" t="s">
        <v>420</v>
      </c>
      <c r="BC1" s="38" t="s">
        <v>572</v>
      </c>
      <c r="BD1" s="14" t="s">
        <v>137</v>
      </c>
      <c r="BE1" s="14" t="s">
        <v>574</v>
      </c>
    </row>
    <row r="2" spans="1:59" ht="75" customHeight="1" thickBot="1" x14ac:dyDescent="0.4">
      <c r="A2" s="9" t="s">
        <v>5</v>
      </c>
      <c r="B2" s="9" t="s">
        <v>166</v>
      </c>
      <c r="C2" s="9" t="s">
        <v>168</v>
      </c>
      <c r="D2" s="9" t="s">
        <v>170</v>
      </c>
      <c r="E2" s="9" t="s">
        <v>172</v>
      </c>
      <c r="F2" s="9" t="s">
        <v>174</v>
      </c>
      <c r="G2" s="10" t="s">
        <v>176</v>
      </c>
      <c r="H2" s="9" t="s">
        <v>178</v>
      </c>
      <c r="I2" s="10" t="s">
        <v>180</v>
      </c>
      <c r="J2" s="10" t="s">
        <v>182</v>
      </c>
      <c r="K2" s="10" t="s">
        <v>184</v>
      </c>
      <c r="L2" s="9" t="s">
        <v>186</v>
      </c>
      <c r="M2" s="9" t="s">
        <v>188</v>
      </c>
      <c r="N2" s="9" t="s">
        <v>190</v>
      </c>
      <c r="O2" s="49" t="s">
        <v>195</v>
      </c>
      <c r="P2" s="49" t="s">
        <v>197</v>
      </c>
      <c r="Q2" s="49" t="s">
        <v>575</v>
      </c>
      <c r="R2" s="49" t="s">
        <v>207</v>
      </c>
      <c r="S2" s="49" t="s">
        <v>201</v>
      </c>
      <c r="T2" s="49" t="s">
        <v>209</v>
      </c>
      <c r="U2" s="49" t="s">
        <v>212</v>
      </c>
      <c r="V2" s="49" t="s">
        <v>214</v>
      </c>
      <c r="W2" s="49" t="s">
        <v>212</v>
      </c>
      <c r="X2" s="49" t="s">
        <v>214</v>
      </c>
      <c r="Y2" s="49" t="s">
        <v>212</v>
      </c>
      <c r="Z2" s="49" t="s">
        <v>214</v>
      </c>
      <c r="AA2" s="7" t="s">
        <v>212</v>
      </c>
      <c r="AB2" s="7" t="s">
        <v>214</v>
      </c>
      <c r="AC2" s="7" t="s">
        <v>225</v>
      </c>
      <c r="AD2" s="7" t="s">
        <v>227</v>
      </c>
      <c r="AE2" s="7" t="s">
        <v>231</v>
      </c>
      <c r="AF2" s="61" t="s">
        <v>229</v>
      </c>
      <c r="AG2" s="7" t="s">
        <v>126</v>
      </c>
      <c r="AH2" s="45" t="s">
        <v>576</v>
      </c>
      <c r="AI2" s="45" t="s">
        <v>577</v>
      </c>
      <c r="AJ2" s="45" t="s">
        <v>578</v>
      </c>
      <c r="AK2" s="45" t="s">
        <v>579</v>
      </c>
      <c r="AL2" s="45" t="s">
        <v>580</v>
      </c>
      <c r="AM2" s="45" t="s">
        <v>581</v>
      </c>
      <c r="AN2" s="45" t="s">
        <v>582</v>
      </c>
      <c r="AO2" s="45" t="s">
        <v>583</v>
      </c>
      <c r="AP2" s="45" t="s">
        <v>584</v>
      </c>
      <c r="AQ2" s="45" t="s">
        <v>585</v>
      </c>
      <c r="AR2" s="45" t="s">
        <v>578</v>
      </c>
      <c r="AS2" s="45" t="s">
        <v>586</v>
      </c>
      <c r="AT2" s="45" t="s">
        <v>580</v>
      </c>
      <c r="AU2" s="45" t="s">
        <v>587</v>
      </c>
      <c r="AV2" s="45" t="s">
        <v>588</v>
      </c>
      <c r="AW2" s="41"/>
      <c r="AX2" s="39"/>
      <c r="AY2" s="36" t="s">
        <v>50</v>
      </c>
      <c r="AZ2" s="36" t="s">
        <v>50</v>
      </c>
      <c r="BA2" s="36" t="s">
        <v>50</v>
      </c>
      <c r="BB2" s="47" t="s">
        <v>50</v>
      </c>
      <c r="BC2" s="38" t="s">
        <v>63</v>
      </c>
      <c r="BD2" s="14" t="s">
        <v>63</v>
      </c>
      <c r="BE2" s="14" t="s">
        <v>50</v>
      </c>
    </row>
    <row r="3" spans="1:59" ht="31" x14ac:dyDescent="0.35">
      <c r="A3" s="83">
        <v>3014985</v>
      </c>
      <c r="B3" s="83" t="s">
        <v>600</v>
      </c>
      <c r="C3" s="83" t="s">
        <v>682</v>
      </c>
      <c r="D3" s="83">
        <v>2015</v>
      </c>
      <c r="E3" s="83" t="s">
        <v>590</v>
      </c>
      <c r="F3" s="83" t="s">
        <v>683</v>
      </c>
      <c r="G3" s="83" t="s">
        <v>592</v>
      </c>
      <c r="H3" s="83" t="s">
        <v>684</v>
      </c>
      <c r="I3" s="83" t="s">
        <v>614</v>
      </c>
      <c r="J3" s="83" t="s">
        <v>614</v>
      </c>
      <c r="K3" s="83" t="s">
        <v>241</v>
      </c>
      <c r="L3" s="83" t="s">
        <v>614</v>
      </c>
      <c r="M3" s="83" t="s">
        <v>614</v>
      </c>
      <c r="N3" s="83">
        <v>6</v>
      </c>
      <c r="O3" s="83">
        <v>145</v>
      </c>
      <c r="P3" s="83">
        <v>1680</v>
      </c>
      <c r="Q3" s="83">
        <v>665</v>
      </c>
      <c r="R3" s="83" t="s">
        <v>592</v>
      </c>
      <c r="S3" s="83" t="s">
        <v>592</v>
      </c>
      <c r="T3" s="4" t="s">
        <v>592</v>
      </c>
      <c r="U3" s="31" t="str">
        <f>IFERROR(IF(AND($I3="W", $J3="TWA", $K3="PBZ",$T3&lt;&gt;"", $AF3&lt;&gt;"ND"), $T3*($M3/480), IF(AND($I3="W", $J3="TWA", $K3="PBZ",$T3&lt;&gt;"", $AF3="ND",$AY$6&gt;3),$AH3/2,IF(AND($I3="W", $J3="TWA", $K3="PBZ",$T3&lt;&gt;"", $AF3="ND",$AY$6&lt;3),$AH3/(SQRT(2)),""))),"")</f>
        <v/>
      </c>
      <c r="V3" s="31" t="str">
        <f>IFERROR(IF(AND($I3="ONU", $J3="TWA", $K3="PBZ",$T3&lt;&gt;"", $AF3&lt;&gt;"ND"), $T3*($M3/480), IF(AND($I3="ONU", $J3="TWA", $K3="PBZ",$T3&lt;&gt;"", $AF3="ND",$BC$6&gt;3),$AH3/2,IF(AND($I3="ONU", $J3="TWA", $K3="PBZ",$T3&lt;&gt;"", $AF3="ND",$BC$6&lt;3),$AH3/(SQRT(2)),""))),"")</f>
        <v/>
      </c>
      <c r="W3" s="31" t="str">
        <f>IFERROR(IF(AND($I3="W", $J3="12-hr", $K3="PBZ",$T3&lt;&gt;"", $AF3&lt;&gt;"ND"), $T3, IF(AND($I3="W", $J3="12-hr", $K3="PBZ",$T3&lt;&gt;"", $AF3="ND",$AZ$6&gt;3),$AH3/2,IF(AND($I3="W", $J3="12-hr", $K3="PBZ",$T3&lt;&gt;"", $AF3="ND",$AZ$6&lt;3),$AH3/(SQRT(2)),""))),"")</f>
        <v/>
      </c>
      <c r="X3" s="31" t="str">
        <f>IFERROR(IF(AND($I3="ONU", $J3="12-hr", $K3="PBZ",$T3&lt;&gt;"", $AF3&lt;&gt;"ND"), $T3, IF(AND($I3="ONU", $J3="12-hr", $K3="PBZ",$T3&lt;&gt;"", $AF3="ND",$BD$6&gt;3),$AH3/2,IF(AND($I3="ONU", $J3="12-hr", $K3="PBZ",$T3&lt;&gt;"", $AF3="ND",$BD$6&lt;3),$AH3/(SQRT(2)),""))),"")</f>
        <v/>
      </c>
      <c r="Y3" s="31" t="str">
        <f>IFERROR(IF(AND($I3="W", $J3="Short-term", $K3="PBZ",$T3&lt;&gt;"", $AF3&lt;&gt;"ND"), $T3, IF(AND($I3="W", $J3="Short-term", $K3="PBZ",$T3&lt;&gt;"", $AF3="ND",$BB$6&gt;3),$AH3/2,IF(AND($I3="W", $J3="Short-term", $K3="PBZ",$T3&lt;&gt;"", $AF3="ND",$BB$6&lt;3),$AH3/(SQRT(2)),""))),"")</f>
        <v/>
      </c>
      <c r="Z3" s="31" t="str">
        <f>IFERROR(IF(AND($I3="ONU", $J3="Short-term", $K3="PBZ",$T3&lt;&gt;"", $AF3&lt;&gt;"ND"), $T3, IF(AND($I3="ONU", $J3="Short-term", $K3="PBZ",$T3&lt;&gt;"", $AF3="ND",$AY$6&gt;3),$AH3/2,IF(AND($I3="ONU", $J3="Short-term", $K3="PBZ",$T3&lt;&gt;"", $AF3="ND",$AY$6&lt;3),$AH3/(SQRT(2)),""))),"")</f>
        <v/>
      </c>
      <c r="AA3" s="31" t="str">
        <f>IFERROR(IF(AND($I3="W", $J3="15-min", $K3="PBZ",$T3&lt;&gt;"", $AF3&lt;&gt;"ND"), $T3, IF(AND($I3="W", $J3="15-min", $K3="PBZ",$T3&lt;&gt;"", $AF3="ND",$AY$6&gt;3),$AH3/2,IF(AND($I3="W", $J3="15-min", $K3="PBZ",$T3&lt;&gt;"", $AF3="ND",$AY$6&lt;3),$AH3/(SQRT(2)),""))),"")</f>
        <v/>
      </c>
      <c r="AB3" s="31" t="str">
        <f>IFERROR(IF(AND($I3="ONU", $J3="15-min", $K3="PBZ",$T3&lt;&gt;"", $AF3&lt;&gt;"ND"), $T3, IF(AND($I3="ONU", $J3="15-min", $K3="PBZ",$T3&lt;&gt;"", $AF3="ND",$AY$6&gt;3),$AH3/2,IF(AND($I3="ONU", $J3="15-min", $K3="PBZ",$T3&lt;&gt;"", $AF3="ND",$AY$6&lt;3),$AH3/(SQRT(2)),""))),"")</f>
        <v/>
      </c>
      <c r="AC3" s="20"/>
      <c r="AD3" s="20"/>
      <c r="AE3" s="83" t="s">
        <v>685</v>
      </c>
      <c r="AF3" s="74"/>
      <c r="AG3" s="71" t="s">
        <v>686</v>
      </c>
      <c r="AH3" s="46"/>
      <c r="AI3" s="31" t="str">
        <f t="shared" ref="AI3:AI34" si="0">IF(AND($I3="W", $J3="TWA", $K3="PBZ",$T3&lt;&gt;"", $AF3&lt;&gt;"ND"), $T3*($M3/480),"")</f>
        <v/>
      </c>
      <c r="AJ3" s="31" t="str">
        <f>+IFERROR(LN(AI3),"")</f>
        <v/>
      </c>
      <c r="AK3" s="31" t="str">
        <f t="shared" ref="AK3:AK34" si="1">IF(AND($I3="W", $J3="12-hr", $K3="PBZ",$T3&lt;&gt;"", $AF3&lt;&gt;"ND"), $T3, "")</f>
        <v/>
      </c>
      <c r="AL3" s="31" t="str">
        <f t="shared" ref="AL3:AL66" si="2">+IFERROR(LN(AK3),"")</f>
        <v/>
      </c>
      <c r="AM3" s="31" t="str">
        <f t="shared" ref="AM3:AM34" si="3">IF(AND($I3="W", $J3="15-min", $K3="PBZ",$T3&lt;&gt;"", $AF3&lt;&gt;"ND"), $T3, "")</f>
        <v/>
      </c>
      <c r="AN3" s="31" t="str">
        <f t="shared" ref="AN3:AN66" si="4">+IFERROR(LN(AM3),"")</f>
        <v/>
      </c>
      <c r="AO3" s="31" t="str">
        <f t="shared" ref="AO3:AO34" si="5">IF(AND($I3="W", $J3="short-term", $K3="PBZ",$T3&lt;&gt;"", $AF3&lt;&gt;"ND"), $T3, "")</f>
        <v/>
      </c>
      <c r="AP3" s="31" t="str">
        <f t="shared" ref="AP3:AP66" si="6">+IFERROR(LN(AO3),"")</f>
        <v/>
      </c>
      <c r="AQ3" s="31" t="str">
        <f t="shared" ref="AQ3:AQ34" si="7">IF(AND($I3="ONU", $J3="TWA", $K3="PBZ",$T3&lt;&gt;"", $AF3&lt;&gt;"ND"), $T3*($M3/480), "")</f>
        <v/>
      </c>
      <c r="AR3" s="31" t="str">
        <f t="shared" ref="AR3:AR66" si="8">+IFERROR(LN(AQ3),"")</f>
        <v/>
      </c>
      <c r="AS3" s="31" t="str">
        <f t="shared" ref="AS3:AS34" si="9">IF(AND($I3="ONU", $J3="12-hr", $K3="PBZ",$T3&lt;&gt;"", $AF3&lt;&gt;"ND"), $T3, "")</f>
        <v/>
      </c>
      <c r="AT3" s="31" t="str">
        <f t="shared" ref="AT3:AT66" si="10">+IFERROR(LN(AS3),"")</f>
        <v/>
      </c>
      <c r="AU3" s="31" t="str">
        <f t="shared" ref="AU3:AU66" si="11">IF(AND($I3="W", $J3="Short-term", $K3="PBZ", $M3&lt;&gt;"", $T3&lt;&gt;""),$M3, "")</f>
        <v/>
      </c>
      <c r="AV3" s="31" t="str">
        <f>IF(AND($I3="ONU", $J3="Short-term", $K3="PBZ", $M3&lt;&gt;"", $T3&lt;&gt;""),$M3, "")</f>
        <v/>
      </c>
      <c r="AX3" s="68" t="s">
        <v>594</v>
      </c>
      <c r="AY3" s="37">
        <f>COUNTIFS($J:$J,AY$1,$I:$I,"W", $K:$K, "PBZ")</f>
        <v>0</v>
      </c>
      <c r="AZ3" s="37">
        <f>COUNTIFS($J:$J,AZ$1,$I:$I,"W", $K:$K, "PBZ")</f>
        <v>0</v>
      </c>
      <c r="BA3" s="37">
        <f>COUNTIFS($J:$J,BA$1,$I:$I,"W", $K:$K, "PBZ")</f>
        <v>0</v>
      </c>
      <c r="BB3" s="37">
        <f>COUNTIFS($J:$J,BB$1,$I:$I,"W", $K:$K, "PBZ")</f>
        <v>1</v>
      </c>
      <c r="BC3" s="37">
        <f>COUNTIFS($J:$J,BC$1,$I:$I,"ONU", $K:$K, "PBZ")</f>
        <v>0</v>
      </c>
      <c r="BD3" s="37">
        <f>COUNTIFS($J:$J,BD$1,$I:$I,"ONU", $K:$K, "PBZ")</f>
        <v>0</v>
      </c>
      <c r="BE3" s="35">
        <f>SUM(AY3:BC3)</f>
        <v>1</v>
      </c>
    </row>
    <row r="4" spans="1:59" x14ac:dyDescent="0.35">
      <c r="A4" s="83">
        <v>3014985</v>
      </c>
      <c r="B4" s="83" t="s">
        <v>600</v>
      </c>
      <c r="C4" s="83" t="s">
        <v>682</v>
      </c>
      <c r="D4" s="83">
        <v>2015</v>
      </c>
      <c r="E4" s="83" t="s">
        <v>590</v>
      </c>
      <c r="F4" s="83" t="s">
        <v>683</v>
      </c>
      <c r="G4" s="83" t="s">
        <v>592</v>
      </c>
      <c r="H4" s="83" t="s">
        <v>687</v>
      </c>
      <c r="I4" s="83" t="s">
        <v>614</v>
      </c>
      <c r="J4" s="83" t="s">
        <v>614</v>
      </c>
      <c r="K4" s="83" t="s">
        <v>241</v>
      </c>
      <c r="L4" s="83" t="s">
        <v>614</v>
      </c>
      <c r="M4" s="83" t="s">
        <v>614</v>
      </c>
      <c r="N4" s="83">
        <v>6</v>
      </c>
      <c r="O4" s="83">
        <f>193*0.000001</f>
        <v>1.93E-4</v>
      </c>
      <c r="P4" s="83">
        <f>722*0.000001</f>
        <v>7.2199999999999999E-4</v>
      </c>
      <c r="Q4" s="83">
        <f>446*0.000001</f>
        <v>4.46E-4</v>
      </c>
      <c r="R4" s="83" t="s">
        <v>592</v>
      </c>
      <c r="S4" s="83" t="s">
        <v>592</v>
      </c>
      <c r="T4" s="4" t="s">
        <v>592</v>
      </c>
      <c r="U4" s="31" t="str">
        <f t="shared" ref="U4:U13" si="12">IFERROR(IF(AND($I4="W", $J4="TWA", $K4="PBZ",$T4&lt;&gt;"", $AF4&lt;&gt;"ND"), $T4*($M4/480), IF(AND($I4="W", $J4="TWA", $K4="PBZ",$T4&lt;&gt;"", $AF4="ND",$AY$6&gt;3),$AH4/2,IF(AND($I4="W", $J4="TWA", $K4="PBZ",$T4&lt;&gt;"", $AF4="ND",$AY$6&lt;3),$AH4/(SQRT(2)),""))),"")</f>
        <v/>
      </c>
      <c r="V4" s="31" t="str">
        <f t="shared" ref="V4:V13" si="13">IFERROR(IF(AND($I4="ONU", $J4="TWA", $K4="PBZ",$T4&lt;&gt;"", $AF4&lt;&gt;"ND"), $T4*($M4/480), IF(AND($I4="ONU", $J4="TWA", $K4="PBZ",$T4&lt;&gt;"", $AF4="ND",$BC$6&gt;3),$AH4/2,IF(AND($I4="ONU", $J4="TWA", $K4="PBZ",$T4&lt;&gt;"", $AF4="ND",$BC$6&lt;3),$AH4/(SQRT(2)),""))),"")</f>
        <v/>
      </c>
      <c r="W4" s="31" t="str">
        <f t="shared" ref="W4:W13" si="14">IFERROR(IF(AND($I4="W", $J4="12-hr", $K4="PBZ",$T4&lt;&gt;"", $AF4&lt;&gt;"ND"), $T4, IF(AND($I4="W", $J4="12-hr", $K4="PBZ",$T4&lt;&gt;"", $AF4="ND",$AZ$6&gt;3),$AH4/2,IF(AND($I4="W", $J4="12-hr", $K4="PBZ",$T4&lt;&gt;"", $AF4="ND",$AZ$6&lt;3),$AH4/(SQRT(2)),""))),"")</f>
        <v/>
      </c>
      <c r="X4" s="31" t="str">
        <f t="shared" ref="X4:X13" si="15">IFERROR(IF(AND($I4="ONU", $J4="12-hr", $K4="PBZ",$T4&lt;&gt;"", $AF4&lt;&gt;"ND"), $T4, IF(AND($I4="ONU", $J4="12-hr", $K4="PBZ",$T4&lt;&gt;"", $AF4="ND",$BD$6&gt;3),$AH4/2,IF(AND($I4="ONU", $J4="12-hr", $K4="PBZ",$T4&lt;&gt;"", $AF4="ND",$BD$6&lt;3),$AH4/(SQRT(2)),""))),"")</f>
        <v/>
      </c>
      <c r="Y4" s="31" t="str">
        <f t="shared" ref="Y4:Y13" si="16">IFERROR(IF(AND($I4="W", $J4="Short-term", $K4="PBZ",$T4&lt;&gt;"", $AF4&lt;&gt;"ND"), $T4, IF(AND($I4="W", $J4="Short-term", $K4="PBZ",$T4&lt;&gt;"", $AF4="ND",$BB$6&gt;3),$AH4/2,IF(AND($I4="W", $J4="Short-term", $K4="PBZ",$T4&lt;&gt;"", $AF4="ND",$BB$6&lt;3),$AH4/(SQRT(2)),""))),"")</f>
        <v/>
      </c>
      <c r="Z4" s="31" t="str">
        <f t="shared" ref="Z4:Z13" si="17">IFERROR(IF(AND($I4="ONU", $J4="Short-term", $K4="PBZ",$T4&lt;&gt;"", $AF4&lt;&gt;"ND"), $T4, IF(AND($I4="ONU", $J4="Short-term", $K4="PBZ",$T4&lt;&gt;"", $AF4="ND",$AY$6&gt;3),$AH4/2,IF(AND($I4="ONU", $J4="Short-term", $K4="PBZ",$T4&lt;&gt;"", $AF4="ND",$AY$6&lt;3),$AH4/(SQRT(2)),""))),"")</f>
        <v/>
      </c>
      <c r="AA4" s="31" t="str">
        <f t="shared" ref="AA4:AA13" si="18">IFERROR(IF(AND($I4="W", $J4="15-min", $K4="PBZ",$T4&lt;&gt;"", $AF4&lt;&gt;"ND"), $T4, IF(AND($I4="W", $J4="15-min", $K4="PBZ",$T4&lt;&gt;"", $AF4="ND",$AY$6&gt;3),$AH4/2,IF(AND($I4="W", $J4="15-min", $K4="PBZ",$T4&lt;&gt;"", $AF4="ND",$AY$6&lt;3),$AH4/(SQRT(2)),""))),"")</f>
        <v/>
      </c>
      <c r="AB4" s="31" t="str">
        <f t="shared" ref="AB4:AB13" si="19">IFERROR(IF(AND($I4="ONU", $J4="15-min", $K4="PBZ",$T4&lt;&gt;"", $AF4&lt;&gt;"ND"), $T4, IF(AND($I4="ONU", $J4="15-min", $K4="PBZ",$T4&lt;&gt;"", $AF4="ND",$AY$6&gt;3),$AH4/2,IF(AND($I4="ONU", $J4="15-min", $K4="PBZ",$T4&lt;&gt;"", $AF4="ND",$AY$6&lt;3),$AH4/(SQRT(2)),""))),"")</f>
        <v/>
      </c>
      <c r="AC4" s="20"/>
      <c r="AD4" s="20"/>
      <c r="AE4" s="83" t="s">
        <v>685</v>
      </c>
      <c r="AF4" s="75"/>
      <c r="AG4" s="83" t="s">
        <v>688</v>
      </c>
      <c r="AH4" s="31"/>
      <c r="AI4" s="31" t="str">
        <f t="shared" si="0"/>
        <v/>
      </c>
      <c r="AJ4" s="31" t="str">
        <f t="shared" ref="AJ4:AJ67" si="20">+IFERROR(LN(AI4),"")</f>
        <v/>
      </c>
      <c r="AK4" s="31" t="str">
        <f t="shared" si="1"/>
        <v/>
      </c>
      <c r="AL4" s="31" t="str">
        <f t="shared" si="2"/>
        <v/>
      </c>
      <c r="AM4" s="31" t="str">
        <f t="shared" si="3"/>
        <v/>
      </c>
      <c r="AN4" s="31" t="str">
        <f t="shared" si="4"/>
        <v/>
      </c>
      <c r="AO4" s="31" t="str">
        <f t="shared" si="5"/>
        <v/>
      </c>
      <c r="AP4" s="31" t="str">
        <f t="shared" si="6"/>
        <v/>
      </c>
      <c r="AQ4" s="31" t="str">
        <f t="shared" si="7"/>
        <v/>
      </c>
      <c r="AR4" s="31" t="str">
        <f t="shared" si="8"/>
        <v/>
      </c>
      <c r="AS4" s="31" t="str">
        <f t="shared" si="9"/>
        <v/>
      </c>
      <c r="AT4" s="31" t="str">
        <f t="shared" si="10"/>
        <v/>
      </c>
      <c r="AU4" s="31" t="str">
        <f t="shared" si="11"/>
        <v/>
      </c>
      <c r="AV4" s="31" t="str">
        <f t="shared" ref="AV4:AV67" si="21">IF(AND($I4="ONU", $J4="Short-term", $K4="PBZ", $M4&lt;&gt;"", $T4&lt;&gt;""),$M4, "")</f>
        <v/>
      </c>
      <c r="AX4" s="14" t="s">
        <v>596</v>
      </c>
      <c r="AY4" s="14">
        <f>COUNTIFS($AF:$AF, "ND", $J:$J, AY$1,$I:$I,"W", $K:$K, "PBZ")</f>
        <v>0</v>
      </c>
      <c r="AZ4" s="14">
        <f>COUNTIFS($AF:$AF, "ND", $J:$J, AZ$1,$I:$I,"W", $K:$K, "PBZ")</f>
        <v>0</v>
      </c>
      <c r="BA4" s="14">
        <f>COUNTIFS($AF:$AF, "ND", $J:$J, BA$1,$I:$I,"W", $K:$K, "PBZ")</f>
        <v>0</v>
      </c>
      <c r="BB4" s="14">
        <f>COUNTIFS($AF:$AF, "ND", $J:$J, BB$1,$I:$I,"W", $K:$K, "PBZ")</f>
        <v>0</v>
      </c>
      <c r="BC4" s="14">
        <f>COUNTIFS($AF:$AF, "ND", $J:$J, BC$1,$I:$I,"ONU", $K:$K, "PBZ")</f>
        <v>0</v>
      </c>
      <c r="BD4" s="14">
        <f>COUNTIFS($AF:$AF, "ND", $J:$J, BD$1,$I:$I,"ONU", $K:$K, "PBZ")</f>
        <v>0</v>
      </c>
      <c r="BE4" s="14">
        <f>SUM(AY4:BC4)</f>
        <v>0</v>
      </c>
      <c r="BF4" s="33"/>
    </row>
    <row r="5" spans="1:59" x14ac:dyDescent="0.35">
      <c r="A5" s="83">
        <v>3014985</v>
      </c>
      <c r="B5" s="83" t="s">
        <v>600</v>
      </c>
      <c r="C5" s="83" t="s">
        <v>682</v>
      </c>
      <c r="D5" s="83">
        <v>2015</v>
      </c>
      <c r="E5" s="83" t="s">
        <v>590</v>
      </c>
      <c r="F5" s="83" t="s">
        <v>683</v>
      </c>
      <c r="G5" s="83" t="s">
        <v>592</v>
      </c>
      <c r="H5" s="83" t="s">
        <v>689</v>
      </c>
      <c r="I5" s="83" t="s">
        <v>614</v>
      </c>
      <c r="J5" s="83" t="s">
        <v>614</v>
      </c>
      <c r="K5" s="83" t="s">
        <v>241</v>
      </c>
      <c r="L5" s="83" t="s">
        <v>614</v>
      </c>
      <c r="M5" s="83" t="s">
        <v>614</v>
      </c>
      <c r="N5" s="83">
        <v>6</v>
      </c>
      <c r="O5" s="83">
        <f>8.44*0.000001</f>
        <v>8.4399999999999988E-6</v>
      </c>
      <c r="P5" s="83">
        <f>19.2*0.000001</f>
        <v>1.9199999999999999E-5</v>
      </c>
      <c r="Q5" s="83">
        <f>13*0.000001</f>
        <v>1.2999999999999999E-5</v>
      </c>
      <c r="R5" s="83" t="s">
        <v>592</v>
      </c>
      <c r="S5" s="83" t="s">
        <v>592</v>
      </c>
      <c r="T5" s="4" t="s">
        <v>592</v>
      </c>
      <c r="U5" s="31" t="str">
        <f t="shared" si="12"/>
        <v/>
      </c>
      <c r="V5" s="31" t="str">
        <f t="shared" si="13"/>
        <v/>
      </c>
      <c r="W5" s="31" t="str">
        <f t="shared" si="14"/>
        <v/>
      </c>
      <c r="X5" s="31" t="str">
        <f t="shared" si="15"/>
        <v/>
      </c>
      <c r="Y5" s="31" t="str">
        <f t="shared" si="16"/>
        <v/>
      </c>
      <c r="Z5" s="31" t="str">
        <f t="shared" si="17"/>
        <v/>
      </c>
      <c r="AA5" s="31" t="str">
        <f t="shared" si="18"/>
        <v/>
      </c>
      <c r="AB5" s="31" t="str">
        <f t="shared" si="19"/>
        <v/>
      </c>
      <c r="AC5" s="20"/>
      <c r="AD5" s="20"/>
      <c r="AE5" s="83" t="s">
        <v>690</v>
      </c>
      <c r="AF5" s="75"/>
      <c r="AG5" s="83" t="s">
        <v>691</v>
      </c>
      <c r="AH5" s="31"/>
      <c r="AI5" s="31" t="str">
        <f t="shared" si="0"/>
        <v/>
      </c>
      <c r="AJ5" s="31" t="str">
        <f t="shared" si="20"/>
        <v/>
      </c>
      <c r="AK5" s="31" t="str">
        <f t="shared" si="1"/>
        <v/>
      </c>
      <c r="AL5" s="31" t="str">
        <f t="shared" si="2"/>
        <v/>
      </c>
      <c r="AM5" s="31" t="str">
        <f t="shared" si="3"/>
        <v/>
      </c>
      <c r="AN5" s="31" t="str">
        <f t="shared" si="4"/>
        <v/>
      </c>
      <c r="AO5" s="31" t="str">
        <f t="shared" si="5"/>
        <v/>
      </c>
      <c r="AP5" s="31" t="str">
        <f t="shared" si="6"/>
        <v/>
      </c>
      <c r="AQ5" s="31" t="str">
        <f t="shared" si="7"/>
        <v/>
      </c>
      <c r="AR5" s="31" t="str">
        <f t="shared" si="8"/>
        <v/>
      </c>
      <c r="AS5" s="31" t="str">
        <f t="shared" si="9"/>
        <v/>
      </c>
      <c r="AT5" s="31" t="str">
        <f t="shared" si="10"/>
        <v/>
      </c>
      <c r="AU5" s="31" t="str">
        <f t="shared" si="11"/>
        <v/>
      </c>
      <c r="AV5" s="31" t="str">
        <f t="shared" si="21"/>
        <v/>
      </c>
      <c r="AX5" s="14" t="s">
        <v>597</v>
      </c>
      <c r="AY5" s="70" t="e">
        <f>AY4/AY3</f>
        <v>#DIV/0!</v>
      </c>
      <c r="AZ5" s="70" t="e">
        <f t="shared" ref="AZ5:BE5" si="22">AZ4/AZ3</f>
        <v>#DIV/0!</v>
      </c>
      <c r="BA5" s="70" t="e">
        <f t="shared" si="22"/>
        <v>#DIV/0!</v>
      </c>
      <c r="BB5" s="70">
        <f t="shared" si="22"/>
        <v>0</v>
      </c>
      <c r="BC5" s="70" t="e">
        <f t="shared" si="22"/>
        <v>#DIV/0!</v>
      </c>
      <c r="BD5" s="70" t="e">
        <f t="shared" si="22"/>
        <v>#DIV/0!</v>
      </c>
      <c r="BE5" s="70">
        <f t="shared" si="22"/>
        <v>0</v>
      </c>
    </row>
    <row r="6" spans="1:59" x14ac:dyDescent="0.35">
      <c r="A6" s="83">
        <v>3014985</v>
      </c>
      <c r="B6" s="83" t="s">
        <v>600</v>
      </c>
      <c r="C6" s="83" t="s">
        <v>682</v>
      </c>
      <c r="D6" s="83">
        <v>2015</v>
      </c>
      <c r="E6" s="83" t="s">
        <v>590</v>
      </c>
      <c r="F6" s="83" t="s">
        <v>692</v>
      </c>
      <c r="G6" s="83" t="s">
        <v>592</v>
      </c>
      <c r="H6" s="83" t="s">
        <v>693</v>
      </c>
      <c r="I6" s="83" t="s">
        <v>614</v>
      </c>
      <c r="J6" s="83" t="s">
        <v>614</v>
      </c>
      <c r="K6" s="83" t="s">
        <v>241</v>
      </c>
      <c r="L6" s="83" t="s">
        <v>614</v>
      </c>
      <c r="M6" s="83" t="s">
        <v>614</v>
      </c>
      <c r="N6" s="83">
        <v>7</v>
      </c>
      <c r="O6" s="83">
        <v>19.2</v>
      </c>
      <c r="P6" s="83">
        <v>50.4</v>
      </c>
      <c r="Q6" s="83">
        <v>35</v>
      </c>
      <c r="R6" s="83" t="s">
        <v>592</v>
      </c>
      <c r="S6" s="83" t="s">
        <v>592</v>
      </c>
      <c r="T6" s="4" t="s">
        <v>592</v>
      </c>
      <c r="U6" s="31" t="str">
        <f t="shared" si="12"/>
        <v/>
      </c>
      <c r="V6" s="31" t="str">
        <f t="shared" si="13"/>
        <v/>
      </c>
      <c r="W6" s="31" t="str">
        <f t="shared" si="14"/>
        <v/>
      </c>
      <c r="X6" s="31" t="str">
        <f t="shared" si="15"/>
        <v/>
      </c>
      <c r="Y6" s="31" t="str">
        <f t="shared" si="16"/>
        <v/>
      </c>
      <c r="Z6" s="31" t="str">
        <f t="shared" si="17"/>
        <v/>
      </c>
      <c r="AA6" s="31" t="str">
        <f t="shared" si="18"/>
        <v/>
      </c>
      <c r="AB6" s="31" t="str">
        <f t="shared" si="19"/>
        <v/>
      </c>
      <c r="AC6" s="20"/>
      <c r="AD6" s="20"/>
      <c r="AE6" s="83" t="s">
        <v>685</v>
      </c>
      <c r="AF6" s="75"/>
      <c r="AG6" s="71" t="s">
        <v>686</v>
      </c>
      <c r="AH6" s="31"/>
      <c r="AI6" s="31" t="str">
        <f t="shared" si="0"/>
        <v/>
      </c>
      <c r="AJ6" s="31" t="str">
        <f t="shared" si="20"/>
        <v/>
      </c>
      <c r="AK6" s="31" t="str">
        <f t="shared" si="1"/>
        <v/>
      </c>
      <c r="AL6" s="31" t="str">
        <f t="shared" si="2"/>
        <v/>
      </c>
      <c r="AM6" s="31" t="str">
        <f t="shared" si="3"/>
        <v/>
      </c>
      <c r="AN6" s="31" t="str">
        <f t="shared" si="4"/>
        <v/>
      </c>
      <c r="AO6" s="31" t="str">
        <f t="shared" si="5"/>
        <v/>
      </c>
      <c r="AP6" s="31" t="str">
        <f t="shared" si="6"/>
        <v/>
      </c>
      <c r="AQ6" s="31" t="str">
        <f t="shared" si="7"/>
        <v/>
      </c>
      <c r="AR6" s="31" t="str">
        <f t="shared" si="8"/>
        <v/>
      </c>
      <c r="AS6" s="31" t="str">
        <f t="shared" si="9"/>
        <v/>
      </c>
      <c r="AT6" s="31" t="str">
        <f t="shared" si="10"/>
        <v/>
      </c>
      <c r="AU6" s="31" t="str">
        <f t="shared" si="11"/>
        <v/>
      </c>
      <c r="AV6" s="31" t="str">
        <f t="shared" si="21"/>
        <v/>
      </c>
      <c r="AX6" s="14" t="s">
        <v>599</v>
      </c>
      <c r="AY6" s="69" t="e">
        <f>+EXP(_xlfn.STDEV.S(AJ:AJ))</f>
        <v>#DIV/0!</v>
      </c>
      <c r="AZ6" s="69" t="e">
        <f>+EXP(_xlfn.STDEV.S(AL:AL))</f>
        <v>#DIV/0!</v>
      </c>
      <c r="BA6" s="69" t="e">
        <f>+EXP(_xlfn.STDEV.S(AN:AN))</f>
        <v>#DIV/0!</v>
      </c>
      <c r="BB6" s="69" t="e">
        <f>+EXP(_xlfn.STDEV.S(AP:AP))</f>
        <v>#DIV/0!</v>
      </c>
      <c r="BC6" s="69" t="e">
        <f>+EXP(_xlfn.STDEV.S(AR:AR))</f>
        <v>#DIV/0!</v>
      </c>
      <c r="BD6" s="69" t="e">
        <f>+EXP(_xlfn.STDEV.S(AT:AT))</f>
        <v>#DIV/0!</v>
      </c>
      <c r="BE6" s="69"/>
    </row>
    <row r="7" spans="1:59" x14ac:dyDescent="0.35">
      <c r="A7" s="83">
        <v>3014985</v>
      </c>
      <c r="B7" s="83" t="s">
        <v>600</v>
      </c>
      <c r="C7" s="83" t="s">
        <v>682</v>
      </c>
      <c r="D7" s="83">
        <v>2015</v>
      </c>
      <c r="E7" s="83" t="s">
        <v>590</v>
      </c>
      <c r="F7" s="83" t="s">
        <v>694</v>
      </c>
      <c r="G7" s="83" t="s">
        <v>592</v>
      </c>
      <c r="H7" s="83" t="s">
        <v>695</v>
      </c>
      <c r="I7" s="83" t="s">
        <v>614</v>
      </c>
      <c r="J7" s="83" t="s">
        <v>614</v>
      </c>
      <c r="K7" s="83" t="s">
        <v>241</v>
      </c>
      <c r="L7" s="83" t="s">
        <v>614</v>
      </c>
      <c r="M7" s="83" t="s">
        <v>614</v>
      </c>
      <c r="N7" s="83">
        <v>6</v>
      </c>
      <c r="O7" s="83">
        <v>24</v>
      </c>
      <c r="P7" s="83">
        <v>400</v>
      </c>
      <c r="Q7" s="83">
        <v>153</v>
      </c>
      <c r="R7" s="83" t="s">
        <v>592</v>
      </c>
      <c r="S7" s="83" t="s">
        <v>592</v>
      </c>
      <c r="T7" s="4" t="s">
        <v>592</v>
      </c>
      <c r="U7" s="31" t="str">
        <f t="shared" si="12"/>
        <v/>
      </c>
      <c r="V7" s="31" t="str">
        <f t="shared" si="13"/>
        <v/>
      </c>
      <c r="W7" s="31" t="str">
        <f t="shared" si="14"/>
        <v/>
      </c>
      <c r="X7" s="31" t="str">
        <f t="shared" si="15"/>
        <v/>
      </c>
      <c r="Y7" s="31" t="str">
        <f t="shared" si="16"/>
        <v/>
      </c>
      <c r="Z7" s="31" t="str">
        <f t="shared" si="17"/>
        <v/>
      </c>
      <c r="AA7" s="31" t="str">
        <f t="shared" si="18"/>
        <v/>
      </c>
      <c r="AB7" s="31" t="str">
        <f t="shared" si="19"/>
        <v/>
      </c>
      <c r="AC7" s="20"/>
      <c r="AD7" s="20"/>
      <c r="AE7" s="83" t="s">
        <v>685</v>
      </c>
      <c r="AF7" s="75"/>
      <c r="AG7" s="71" t="s">
        <v>686</v>
      </c>
      <c r="AH7" s="31"/>
      <c r="AI7" s="31" t="str">
        <f t="shared" si="0"/>
        <v/>
      </c>
      <c r="AJ7" s="31" t="str">
        <f t="shared" si="20"/>
        <v/>
      </c>
      <c r="AK7" s="31" t="str">
        <f t="shared" si="1"/>
        <v/>
      </c>
      <c r="AL7" s="31" t="str">
        <f t="shared" si="2"/>
        <v/>
      </c>
      <c r="AM7" s="31" t="str">
        <f t="shared" si="3"/>
        <v/>
      </c>
      <c r="AN7" s="31" t="str">
        <f t="shared" si="4"/>
        <v/>
      </c>
      <c r="AO7" s="31" t="str">
        <f t="shared" si="5"/>
        <v/>
      </c>
      <c r="AP7" s="31" t="str">
        <f t="shared" si="6"/>
        <v/>
      </c>
      <c r="AQ7" s="31" t="str">
        <f t="shared" si="7"/>
        <v/>
      </c>
      <c r="AR7" s="31" t="str">
        <f t="shared" si="8"/>
        <v/>
      </c>
      <c r="AS7" s="31" t="str">
        <f t="shared" si="9"/>
        <v/>
      </c>
      <c r="AT7" s="31" t="str">
        <f t="shared" si="10"/>
        <v/>
      </c>
      <c r="AU7" s="31" t="str">
        <f t="shared" si="11"/>
        <v/>
      </c>
      <c r="AV7" s="31" t="str">
        <f t="shared" si="21"/>
        <v/>
      </c>
    </row>
    <row r="8" spans="1:59" x14ac:dyDescent="0.35">
      <c r="A8" s="83">
        <v>3014985</v>
      </c>
      <c r="B8" s="83" t="s">
        <v>600</v>
      </c>
      <c r="C8" s="83" t="s">
        <v>682</v>
      </c>
      <c r="D8" s="83">
        <v>2015</v>
      </c>
      <c r="E8" s="83" t="s">
        <v>590</v>
      </c>
      <c r="F8" s="83" t="s">
        <v>694</v>
      </c>
      <c r="G8" s="83" t="s">
        <v>592</v>
      </c>
      <c r="H8" s="83" t="s">
        <v>696</v>
      </c>
      <c r="I8" s="83" t="s">
        <v>614</v>
      </c>
      <c r="J8" s="83" t="s">
        <v>614</v>
      </c>
      <c r="K8" s="83" t="s">
        <v>241</v>
      </c>
      <c r="L8" s="83" t="s">
        <v>614</v>
      </c>
      <c r="M8" s="83" t="s">
        <v>614</v>
      </c>
      <c r="N8" s="83">
        <v>6</v>
      </c>
      <c r="O8" s="83">
        <f>12.8*0.000001</f>
        <v>1.2799999999999999E-5</v>
      </c>
      <c r="P8" s="83">
        <f>245*0.000001</f>
        <v>2.4499999999999999E-4</v>
      </c>
      <c r="Q8" s="83">
        <f>76.1*0.000001</f>
        <v>7.6099999999999993E-5</v>
      </c>
      <c r="R8" s="83" t="s">
        <v>592</v>
      </c>
      <c r="S8" s="83" t="s">
        <v>592</v>
      </c>
      <c r="T8" s="4" t="s">
        <v>592</v>
      </c>
      <c r="U8" s="31" t="str">
        <f t="shared" si="12"/>
        <v/>
      </c>
      <c r="V8" s="31" t="str">
        <f t="shared" si="13"/>
        <v/>
      </c>
      <c r="W8" s="31" t="str">
        <f t="shared" si="14"/>
        <v/>
      </c>
      <c r="X8" s="31" t="str">
        <f t="shared" si="15"/>
        <v/>
      </c>
      <c r="Y8" s="31" t="str">
        <f t="shared" si="16"/>
        <v/>
      </c>
      <c r="Z8" s="31" t="str">
        <f t="shared" si="17"/>
        <v/>
      </c>
      <c r="AA8" s="31" t="str">
        <f t="shared" si="18"/>
        <v/>
      </c>
      <c r="AB8" s="31" t="str">
        <f t="shared" si="19"/>
        <v/>
      </c>
      <c r="AC8" s="20"/>
      <c r="AD8" s="20"/>
      <c r="AE8" s="83" t="s">
        <v>685</v>
      </c>
      <c r="AF8" s="75"/>
      <c r="AG8" s="83" t="s">
        <v>691</v>
      </c>
      <c r="AH8" s="31"/>
      <c r="AI8" s="31" t="str">
        <f t="shared" si="0"/>
        <v/>
      </c>
      <c r="AJ8" s="31" t="str">
        <f t="shared" si="20"/>
        <v/>
      </c>
      <c r="AK8" s="31" t="str">
        <f t="shared" si="1"/>
        <v/>
      </c>
      <c r="AL8" s="31" t="str">
        <f t="shared" si="2"/>
        <v/>
      </c>
      <c r="AM8" s="31" t="str">
        <f t="shared" si="3"/>
        <v/>
      </c>
      <c r="AN8" s="31" t="str">
        <f t="shared" si="4"/>
        <v/>
      </c>
      <c r="AO8" s="31" t="str">
        <f t="shared" si="5"/>
        <v/>
      </c>
      <c r="AP8" s="31" t="str">
        <f t="shared" si="6"/>
        <v/>
      </c>
      <c r="AQ8" s="31" t="str">
        <f t="shared" si="7"/>
        <v/>
      </c>
      <c r="AR8" s="31" t="str">
        <f t="shared" si="8"/>
        <v/>
      </c>
      <c r="AS8" s="31" t="str">
        <f t="shared" si="9"/>
        <v/>
      </c>
      <c r="AT8" s="31" t="str">
        <f t="shared" si="10"/>
        <v/>
      </c>
      <c r="AU8" s="31" t="str">
        <f t="shared" si="11"/>
        <v/>
      </c>
      <c r="AV8" s="31" t="str">
        <f t="shared" si="21"/>
        <v/>
      </c>
    </row>
    <row r="9" spans="1:59" x14ac:dyDescent="0.35">
      <c r="A9" s="83">
        <v>3014985</v>
      </c>
      <c r="B9" s="83" t="s">
        <v>600</v>
      </c>
      <c r="C9" s="83" t="s">
        <v>682</v>
      </c>
      <c r="D9" s="83">
        <v>2015</v>
      </c>
      <c r="E9" s="83" t="s">
        <v>590</v>
      </c>
      <c r="F9" s="83" t="s">
        <v>694</v>
      </c>
      <c r="G9" s="83" t="s">
        <v>592</v>
      </c>
      <c r="H9" s="83" t="s">
        <v>697</v>
      </c>
      <c r="I9" s="83" t="s">
        <v>614</v>
      </c>
      <c r="J9" s="83" t="s">
        <v>614</v>
      </c>
      <c r="K9" s="83" t="s">
        <v>241</v>
      </c>
      <c r="L9" s="83" t="s">
        <v>614</v>
      </c>
      <c r="M9" s="83" t="s">
        <v>614</v>
      </c>
      <c r="N9" s="83">
        <v>6</v>
      </c>
      <c r="O9" s="83">
        <f>20*0.000001</f>
        <v>1.9999999999999998E-5</v>
      </c>
      <c r="P9" s="83">
        <f>29*0.000001</f>
        <v>2.9E-5</v>
      </c>
      <c r="Q9" s="71">
        <f>98.9*0.000001</f>
        <v>9.8900000000000005E-5</v>
      </c>
      <c r="R9" s="83" t="s">
        <v>592</v>
      </c>
      <c r="S9" s="83" t="s">
        <v>592</v>
      </c>
      <c r="T9" s="4" t="s">
        <v>592</v>
      </c>
      <c r="U9" s="31" t="str">
        <f t="shared" si="12"/>
        <v/>
      </c>
      <c r="V9" s="31" t="str">
        <f t="shared" si="13"/>
        <v/>
      </c>
      <c r="W9" s="31" t="str">
        <f t="shared" si="14"/>
        <v/>
      </c>
      <c r="X9" s="31" t="str">
        <f t="shared" si="15"/>
        <v/>
      </c>
      <c r="Y9" s="31" t="str">
        <f t="shared" si="16"/>
        <v/>
      </c>
      <c r="Z9" s="31" t="str">
        <f t="shared" si="17"/>
        <v/>
      </c>
      <c r="AA9" s="31" t="str">
        <f t="shared" si="18"/>
        <v/>
      </c>
      <c r="AB9" s="31" t="str">
        <f t="shared" si="19"/>
        <v/>
      </c>
      <c r="AC9" s="20"/>
      <c r="AD9" s="20"/>
      <c r="AE9" s="83" t="s">
        <v>690</v>
      </c>
      <c r="AF9" s="65"/>
      <c r="AG9" s="83" t="s">
        <v>691</v>
      </c>
      <c r="AH9" s="3"/>
      <c r="AI9" s="31" t="str">
        <f t="shared" si="0"/>
        <v/>
      </c>
      <c r="AJ9" s="31" t="str">
        <f t="shared" si="20"/>
        <v/>
      </c>
      <c r="AK9" s="31" t="str">
        <f t="shared" si="1"/>
        <v/>
      </c>
      <c r="AL9" s="31" t="str">
        <f t="shared" si="2"/>
        <v/>
      </c>
      <c r="AM9" s="31" t="str">
        <f t="shared" si="3"/>
        <v/>
      </c>
      <c r="AN9" s="31" t="str">
        <f t="shared" si="4"/>
        <v/>
      </c>
      <c r="AO9" s="31" t="str">
        <f t="shared" si="5"/>
        <v/>
      </c>
      <c r="AP9" s="31" t="str">
        <f t="shared" si="6"/>
        <v/>
      </c>
      <c r="AQ9" s="31" t="str">
        <f t="shared" si="7"/>
        <v/>
      </c>
      <c r="AR9" s="31" t="str">
        <f t="shared" si="8"/>
        <v/>
      </c>
      <c r="AS9" s="31" t="str">
        <f t="shared" si="9"/>
        <v/>
      </c>
      <c r="AT9" s="31" t="str">
        <f t="shared" si="10"/>
        <v/>
      </c>
      <c r="AU9" s="31" t="str">
        <f t="shared" si="11"/>
        <v/>
      </c>
      <c r="AV9" s="31" t="str">
        <f t="shared" si="21"/>
        <v/>
      </c>
      <c r="AW9" s="83"/>
      <c r="AX9" s="83"/>
      <c r="AY9" s="83"/>
      <c r="AZ9" s="83"/>
      <c r="BA9" s="83"/>
      <c r="BB9" s="83"/>
      <c r="BC9" s="83"/>
      <c r="BD9" s="83"/>
      <c r="BE9" s="83"/>
      <c r="BF9" s="83"/>
      <c r="BG9" s="83"/>
    </row>
    <row r="10" spans="1:59" x14ac:dyDescent="0.35">
      <c r="A10" s="83">
        <v>6833839</v>
      </c>
      <c r="B10" s="83" t="s">
        <v>600</v>
      </c>
      <c r="C10" s="83" t="s">
        <v>698</v>
      </c>
      <c r="D10" s="83">
        <v>2018</v>
      </c>
      <c r="E10" s="83" t="s">
        <v>699</v>
      </c>
      <c r="F10" s="83" t="s">
        <v>700</v>
      </c>
      <c r="G10" s="83" t="s">
        <v>592</v>
      </c>
      <c r="H10" s="83" t="s">
        <v>701</v>
      </c>
      <c r="I10" s="83" t="s">
        <v>50</v>
      </c>
      <c r="J10" s="83" t="s">
        <v>702</v>
      </c>
      <c r="K10" s="83" t="s">
        <v>241</v>
      </c>
      <c r="L10" s="83" t="s">
        <v>614</v>
      </c>
      <c r="M10" s="83" t="s">
        <v>614</v>
      </c>
      <c r="N10" s="83">
        <v>24</v>
      </c>
      <c r="O10" s="83">
        <v>35.299999999999997</v>
      </c>
      <c r="P10" s="83">
        <v>322</v>
      </c>
      <c r="Q10" s="83">
        <v>121</v>
      </c>
      <c r="R10" s="83">
        <v>101</v>
      </c>
      <c r="S10" s="83" t="s">
        <v>592</v>
      </c>
      <c r="T10" s="4" t="s">
        <v>592</v>
      </c>
      <c r="U10" s="31" t="str">
        <f t="shared" si="12"/>
        <v/>
      </c>
      <c r="V10" s="31" t="str">
        <f t="shared" si="13"/>
        <v/>
      </c>
      <c r="W10" s="31" t="str">
        <f t="shared" si="14"/>
        <v/>
      </c>
      <c r="X10" s="31" t="str">
        <f t="shared" si="15"/>
        <v/>
      </c>
      <c r="Y10" s="31" t="str">
        <f t="shared" si="16"/>
        <v/>
      </c>
      <c r="Z10" s="31" t="str">
        <f t="shared" si="17"/>
        <v/>
      </c>
      <c r="AA10" s="31" t="str">
        <f t="shared" si="18"/>
        <v/>
      </c>
      <c r="AB10" s="31" t="str">
        <f t="shared" si="19"/>
        <v/>
      </c>
      <c r="AC10" s="20"/>
      <c r="AD10" s="20"/>
      <c r="AE10" s="83" t="s">
        <v>685</v>
      </c>
      <c r="AF10" s="65"/>
      <c r="AG10" s="71" t="s">
        <v>703</v>
      </c>
      <c r="AH10" s="3"/>
      <c r="AI10" s="46" t="str">
        <f t="shared" si="0"/>
        <v/>
      </c>
      <c r="AJ10" s="46" t="str">
        <f t="shared" si="20"/>
        <v/>
      </c>
      <c r="AK10" s="46" t="str">
        <f t="shared" si="1"/>
        <v/>
      </c>
      <c r="AL10" s="46" t="str">
        <f t="shared" si="2"/>
        <v/>
      </c>
      <c r="AM10" s="46" t="str">
        <f t="shared" si="3"/>
        <v/>
      </c>
      <c r="AN10" s="46" t="str">
        <f t="shared" si="4"/>
        <v/>
      </c>
      <c r="AO10" s="46" t="str">
        <f t="shared" si="5"/>
        <v/>
      </c>
      <c r="AP10" s="46" t="str">
        <f t="shared" si="6"/>
        <v/>
      </c>
      <c r="AQ10" s="46" t="str">
        <f t="shared" si="7"/>
        <v/>
      </c>
      <c r="AR10" s="46" t="str">
        <f t="shared" si="8"/>
        <v/>
      </c>
      <c r="AS10" s="46" t="str">
        <f t="shared" si="9"/>
        <v/>
      </c>
      <c r="AT10" s="46" t="str">
        <f t="shared" si="10"/>
        <v/>
      </c>
      <c r="AU10" s="31" t="str">
        <f t="shared" si="11"/>
        <v/>
      </c>
      <c r="AV10" s="31" t="str">
        <f t="shared" si="21"/>
        <v/>
      </c>
      <c r="AW10" s="83"/>
      <c r="AX10" s="83"/>
      <c r="AY10" s="83"/>
      <c r="AZ10" s="83"/>
      <c r="BA10" s="83"/>
      <c r="BB10" s="83"/>
      <c r="BC10" s="83"/>
      <c r="BD10" s="83"/>
      <c r="BE10" s="83"/>
      <c r="BF10" s="83"/>
      <c r="BG10" s="83"/>
    </row>
    <row r="11" spans="1:59" x14ac:dyDescent="0.35">
      <c r="A11" s="83">
        <v>6833839</v>
      </c>
      <c r="B11" s="83" t="s">
        <v>600</v>
      </c>
      <c r="C11" s="83" t="s">
        <v>698</v>
      </c>
      <c r="D11" s="83">
        <v>2018</v>
      </c>
      <c r="E11" s="83" t="s">
        <v>699</v>
      </c>
      <c r="F11" s="83" t="s">
        <v>704</v>
      </c>
      <c r="G11" s="83" t="s">
        <v>592</v>
      </c>
      <c r="H11" s="83" t="s">
        <v>701</v>
      </c>
      <c r="I11" s="83" t="s">
        <v>50</v>
      </c>
      <c r="J11" s="83" t="s">
        <v>702</v>
      </c>
      <c r="K11" s="83" t="s">
        <v>241</v>
      </c>
      <c r="L11" s="83" t="s">
        <v>614</v>
      </c>
      <c r="M11" s="83" t="s">
        <v>614</v>
      </c>
      <c r="N11" s="83">
        <v>24</v>
      </c>
      <c r="O11" s="83">
        <f>86.5*0.000001</f>
        <v>8.6500000000000002E-5</v>
      </c>
      <c r="P11" s="83">
        <f>605*0.000001</f>
        <v>6.0499999999999996E-4</v>
      </c>
      <c r="Q11" s="83">
        <f>243*0.000001</f>
        <v>2.43E-4</v>
      </c>
      <c r="R11" s="83">
        <f>205.32*0.000001</f>
        <v>2.0531999999999999E-4</v>
      </c>
      <c r="S11" s="83" t="s">
        <v>592</v>
      </c>
      <c r="T11" s="4" t="s">
        <v>592</v>
      </c>
      <c r="U11" s="31" t="str">
        <f t="shared" si="12"/>
        <v/>
      </c>
      <c r="V11" s="31" t="str">
        <f t="shared" si="13"/>
        <v/>
      </c>
      <c r="W11" s="31" t="str">
        <f t="shared" si="14"/>
        <v/>
      </c>
      <c r="X11" s="31" t="str">
        <f t="shared" si="15"/>
        <v/>
      </c>
      <c r="Y11" s="31" t="str">
        <f t="shared" si="16"/>
        <v/>
      </c>
      <c r="Z11" s="31" t="str">
        <f t="shared" si="17"/>
        <v/>
      </c>
      <c r="AA11" s="31" t="str">
        <f t="shared" si="18"/>
        <v/>
      </c>
      <c r="AB11" s="31" t="str">
        <f t="shared" si="19"/>
        <v/>
      </c>
      <c r="AC11" s="20"/>
      <c r="AD11" s="20"/>
      <c r="AE11" s="83" t="s">
        <v>685</v>
      </c>
      <c r="AF11" s="65"/>
      <c r="AG11" s="83" t="s">
        <v>705</v>
      </c>
      <c r="AH11" s="3"/>
      <c r="AI11" s="31" t="str">
        <f t="shared" si="0"/>
        <v/>
      </c>
      <c r="AJ11" s="31" t="str">
        <f t="shared" si="20"/>
        <v/>
      </c>
      <c r="AK11" s="31" t="str">
        <f t="shared" si="1"/>
        <v/>
      </c>
      <c r="AL11" s="31" t="str">
        <f t="shared" si="2"/>
        <v/>
      </c>
      <c r="AM11" s="31" t="str">
        <f t="shared" si="3"/>
        <v/>
      </c>
      <c r="AN11" s="31" t="str">
        <f t="shared" si="4"/>
        <v/>
      </c>
      <c r="AO11" s="31" t="str">
        <f t="shared" si="5"/>
        <v/>
      </c>
      <c r="AP11" s="31" t="str">
        <f t="shared" si="6"/>
        <v/>
      </c>
      <c r="AQ11" s="31" t="str">
        <f t="shared" si="7"/>
        <v/>
      </c>
      <c r="AR11" s="31" t="str">
        <f t="shared" si="8"/>
        <v/>
      </c>
      <c r="AS11" s="31" t="str">
        <f t="shared" si="9"/>
        <v/>
      </c>
      <c r="AT11" s="31" t="str">
        <f t="shared" si="10"/>
        <v/>
      </c>
      <c r="AU11" s="31" t="str">
        <f t="shared" si="11"/>
        <v/>
      </c>
      <c r="AV11" s="31" t="str">
        <f t="shared" si="21"/>
        <v/>
      </c>
      <c r="BF11" s="83"/>
      <c r="BG11" s="83"/>
    </row>
    <row r="12" spans="1:59" x14ac:dyDescent="0.35">
      <c r="A12" s="83">
        <v>7346551</v>
      </c>
      <c r="B12" s="83" t="s">
        <v>600</v>
      </c>
      <c r="C12" s="83" t="s">
        <v>706</v>
      </c>
      <c r="D12" s="83">
        <v>2008</v>
      </c>
      <c r="E12" s="83" t="s">
        <v>707</v>
      </c>
      <c r="F12" s="83" t="s">
        <v>708</v>
      </c>
      <c r="G12" s="83" t="s">
        <v>592</v>
      </c>
      <c r="H12" s="83" t="s">
        <v>614</v>
      </c>
      <c r="I12" s="83" t="s">
        <v>614</v>
      </c>
      <c r="J12" s="83" t="s">
        <v>614</v>
      </c>
      <c r="K12" s="83" t="s">
        <v>614</v>
      </c>
      <c r="L12" s="83" t="s">
        <v>614</v>
      </c>
      <c r="M12" s="83" t="s">
        <v>614</v>
      </c>
      <c r="N12" s="83" t="s">
        <v>614</v>
      </c>
      <c r="O12" s="83" t="s">
        <v>592</v>
      </c>
      <c r="P12" s="83">
        <v>4.2</v>
      </c>
      <c r="Q12" s="83" t="s">
        <v>592</v>
      </c>
      <c r="R12" s="83" t="s">
        <v>592</v>
      </c>
      <c r="S12" s="83" t="s">
        <v>592</v>
      </c>
      <c r="T12" s="4" t="s">
        <v>592</v>
      </c>
      <c r="U12" s="31" t="str">
        <f t="shared" si="12"/>
        <v/>
      </c>
      <c r="V12" s="31" t="str">
        <f t="shared" si="13"/>
        <v/>
      </c>
      <c r="W12" s="31" t="str">
        <f t="shared" si="14"/>
        <v/>
      </c>
      <c r="X12" s="31" t="str">
        <f t="shared" si="15"/>
        <v/>
      </c>
      <c r="Y12" s="31" t="str">
        <f t="shared" si="16"/>
        <v/>
      </c>
      <c r="Z12" s="31" t="str">
        <f t="shared" si="17"/>
        <v/>
      </c>
      <c r="AA12" s="31" t="str">
        <f t="shared" si="18"/>
        <v/>
      </c>
      <c r="AB12" s="31" t="str">
        <f t="shared" si="19"/>
        <v/>
      </c>
      <c r="AC12" s="20"/>
      <c r="AD12" s="20"/>
      <c r="AE12" s="83" t="s">
        <v>709</v>
      </c>
      <c r="AF12" s="65"/>
      <c r="AG12" s="83"/>
      <c r="AH12" s="3"/>
      <c r="AI12" s="31" t="str">
        <f t="shared" si="0"/>
        <v/>
      </c>
      <c r="AJ12" s="31" t="str">
        <f t="shared" si="20"/>
        <v/>
      </c>
      <c r="AK12" s="31" t="str">
        <f t="shared" si="1"/>
        <v/>
      </c>
      <c r="AL12" s="31" t="str">
        <f t="shared" si="2"/>
        <v/>
      </c>
      <c r="AM12" s="31" t="str">
        <f t="shared" si="3"/>
        <v/>
      </c>
      <c r="AN12" s="31" t="str">
        <f t="shared" si="4"/>
        <v/>
      </c>
      <c r="AO12" s="31" t="str">
        <f t="shared" si="5"/>
        <v/>
      </c>
      <c r="AP12" s="31" t="str">
        <f t="shared" si="6"/>
        <v/>
      </c>
      <c r="AQ12" s="31" t="str">
        <f t="shared" si="7"/>
        <v/>
      </c>
      <c r="AR12" s="31" t="str">
        <f t="shared" si="8"/>
        <v/>
      </c>
      <c r="AS12" s="31" t="str">
        <f t="shared" si="9"/>
        <v/>
      </c>
      <c r="AT12" s="31" t="str">
        <f t="shared" si="10"/>
        <v/>
      </c>
      <c r="AU12" s="31" t="str">
        <f t="shared" si="11"/>
        <v/>
      </c>
      <c r="AV12" s="31" t="str">
        <f t="shared" si="21"/>
        <v/>
      </c>
      <c r="BF12" s="83"/>
      <c r="BG12" s="83"/>
    </row>
    <row r="13" spans="1:59" ht="29" x14ac:dyDescent="0.35">
      <c r="A13" s="83">
        <v>7296376</v>
      </c>
      <c r="B13" s="83" t="s">
        <v>600</v>
      </c>
      <c r="C13" s="83" t="s">
        <v>710</v>
      </c>
      <c r="D13" s="83">
        <v>2020</v>
      </c>
      <c r="E13" s="83" t="s">
        <v>590</v>
      </c>
      <c r="F13" s="4" t="s">
        <v>711</v>
      </c>
      <c r="G13" s="4" t="s">
        <v>592</v>
      </c>
      <c r="H13" s="4" t="s">
        <v>592</v>
      </c>
      <c r="I13" s="4" t="s">
        <v>50</v>
      </c>
      <c r="J13" s="4" t="s">
        <v>420</v>
      </c>
      <c r="K13" s="4" t="s">
        <v>239</v>
      </c>
      <c r="L13" s="4" t="s">
        <v>144</v>
      </c>
      <c r="M13" s="4" t="s">
        <v>144</v>
      </c>
      <c r="N13" s="71">
        <v>1</v>
      </c>
      <c r="O13" s="83" t="s">
        <v>592</v>
      </c>
      <c r="P13" s="83" t="s">
        <v>592</v>
      </c>
      <c r="Q13" s="4" t="s">
        <v>592</v>
      </c>
      <c r="R13" s="4" t="s">
        <v>592</v>
      </c>
      <c r="S13" s="72" t="s">
        <v>592</v>
      </c>
      <c r="T13" s="83">
        <f>2.4*296.61/24.45</f>
        <v>29.11509202453988</v>
      </c>
      <c r="U13" s="31" t="str">
        <f t="shared" si="12"/>
        <v/>
      </c>
      <c r="V13" s="31" t="str">
        <f t="shared" si="13"/>
        <v/>
      </c>
      <c r="W13" s="31" t="str">
        <f t="shared" si="14"/>
        <v/>
      </c>
      <c r="X13" s="31" t="str">
        <f t="shared" si="15"/>
        <v/>
      </c>
      <c r="Y13" s="31">
        <f t="shared" si="16"/>
        <v>29.11509202453988</v>
      </c>
      <c r="Z13" s="31" t="str">
        <f t="shared" si="17"/>
        <v/>
      </c>
      <c r="AA13" s="31" t="str">
        <f t="shared" si="18"/>
        <v/>
      </c>
      <c r="AB13" s="31" t="str">
        <f t="shared" si="19"/>
        <v/>
      </c>
      <c r="AC13" s="20"/>
      <c r="AD13" s="20"/>
      <c r="AE13" s="83" t="s">
        <v>712</v>
      </c>
      <c r="AF13" s="65"/>
      <c r="AG13" s="4"/>
      <c r="AH13" s="3"/>
      <c r="AI13" s="31" t="str">
        <f t="shared" si="0"/>
        <v/>
      </c>
      <c r="AJ13" s="31" t="str">
        <f t="shared" si="20"/>
        <v/>
      </c>
      <c r="AK13" s="31" t="str">
        <f t="shared" si="1"/>
        <v/>
      </c>
      <c r="AL13" s="31" t="str">
        <f t="shared" si="2"/>
        <v/>
      </c>
      <c r="AM13" s="31" t="str">
        <f t="shared" si="3"/>
        <v/>
      </c>
      <c r="AN13" s="31" t="str">
        <f t="shared" si="4"/>
        <v/>
      </c>
      <c r="AO13" s="31">
        <f t="shared" si="5"/>
        <v>29.11509202453988</v>
      </c>
      <c r="AP13" s="31">
        <f t="shared" si="6"/>
        <v>3.3712566660101704</v>
      </c>
      <c r="AQ13" s="31" t="str">
        <f t="shared" si="7"/>
        <v/>
      </c>
      <c r="AR13" s="31" t="str">
        <f t="shared" si="8"/>
        <v/>
      </c>
      <c r="AS13" s="31" t="str">
        <f t="shared" si="9"/>
        <v/>
      </c>
      <c r="AT13" s="31" t="str">
        <f t="shared" si="10"/>
        <v/>
      </c>
      <c r="AU13" s="31" t="str">
        <f t="shared" si="11"/>
        <v>N/A</v>
      </c>
      <c r="AV13" s="31" t="str">
        <f t="shared" si="21"/>
        <v/>
      </c>
      <c r="BF13" s="83"/>
      <c r="BG13" s="83"/>
    </row>
    <row r="14" spans="1:59" ht="409.5" x14ac:dyDescent="0.35">
      <c r="A14" s="83">
        <v>4730751</v>
      </c>
      <c r="B14" s="83" t="s">
        <v>589</v>
      </c>
      <c r="C14" s="83" t="s">
        <v>713</v>
      </c>
      <c r="D14" s="83">
        <v>2018</v>
      </c>
      <c r="E14" s="83" t="s">
        <v>714</v>
      </c>
      <c r="F14" s="80" t="s">
        <v>715</v>
      </c>
      <c r="G14" s="83" t="s">
        <v>144</v>
      </c>
      <c r="H14" s="83" t="s">
        <v>144</v>
      </c>
      <c r="I14" s="83" t="s">
        <v>63</v>
      </c>
      <c r="J14" s="83" t="s">
        <v>420</v>
      </c>
      <c r="K14" s="83" t="s">
        <v>241</v>
      </c>
      <c r="L14" s="83" t="s">
        <v>614</v>
      </c>
      <c r="M14" s="83" t="s">
        <v>592</v>
      </c>
      <c r="N14" s="83">
        <v>1</v>
      </c>
      <c r="O14" s="83" t="s">
        <v>592</v>
      </c>
      <c r="P14" s="83" t="s">
        <v>592</v>
      </c>
      <c r="Q14" s="83" t="s">
        <v>592</v>
      </c>
      <c r="R14" s="83" t="s">
        <v>592</v>
      </c>
      <c r="S14" s="83" t="s">
        <v>592</v>
      </c>
      <c r="T14" s="83">
        <v>1.01E-2</v>
      </c>
      <c r="U14" s="31" t="str">
        <f>IFERROR(IF(AND($I14="W", $J14="TWA", $K14="PBZ",$T14&lt;&gt;"", $AF14&lt;&gt;"ND"), $T14*($M14/480), IF(AND($I14="W", $J14="TWA", $K14="PBZ",$T14&lt;&gt;"", $AF14="ND",'Use of Cleaning Products'!#REF!&gt;3),$AH14/2,IF(AND($I14="W", $J14="TWA", $K14="PBZ",$T14&lt;&gt;"", $AF14="ND",'Use of Cleaning Products'!#REF!&lt;3),$AH14/(SQRT(2)),""))),"")</f>
        <v/>
      </c>
      <c r="V14" s="31" t="str">
        <f>IFERROR(IF(AND($I14="ONU", $J14="TWA", $K14="PBZ",$T14&lt;&gt;"", $AF14&lt;&gt;"ND"), $T14*($M14/480), IF(AND($I14="ONU", $J14="TWA", $K14="PBZ",$T14&lt;&gt;"", $AF14="ND",'Use of Cleaning Products'!#REF!&gt;3),$AH14/2,IF(AND($I14="ONU", $J14="TWA", $K14="PBZ",$T14&lt;&gt;"", $AF14="ND",'Use of Cleaning Products'!#REF!&lt;3),$AH14/(SQRT(2)),""))),"")</f>
        <v/>
      </c>
      <c r="W14" s="31" t="str">
        <f>IFERROR(IF(AND($I14="W", $J14="12-hr", $K14="PBZ",$T14&lt;&gt;"", $AF14&lt;&gt;"ND"), $T14, IF(AND($I14="W", $J14="12-hr", $K14="PBZ",$T14&lt;&gt;"", $AF14="ND",'Use of Cleaning Products'!#REF!&gt;3),$AH14/2,IF(AND($I14="W", $J14="12-hr", $K14="PBZ",$T14&lt;&gt;"", $AF14="ND",'Use of Cleaning Products'!#REF!&lt;3),$AH14/(SQRT(2)),""))),"")</f>
        <v/>
      </c>
      <c r="X14" s="31" t="str">
        <f>IFERROR(IF(AND($I14="ONU", $J14="12-hr", $K14="PBZ",$T14&lt;&gt;"", $AF14&lt;&gt;"ND"), $T14, IF(AND($I14="ONU", $J14="12-hr", $K14="PBZ",$T14&lt;&gt;"", $AF14="ND",'Use of Cleaning Products'!#REF!&gt;3),$AH14/2,IF(AND($I14="ONU", $J14="12-hr", $K14="PBZ",$T14&lt;&gt;"", $AF14="ND",'Use of Cleaning Products'!#REF!&lt;3),$AH14/(SQRT(2)),""))),"")</f>
        <v/>
      </c>
      <c r="Y14" s="31" t="str">
        <f>IFERROR(IF(AND($I14="W", $J14="Short-term", $K14="PBZ",$T14&lt;&gt;"", $AF14&lt;&gt;"ND"), $T14, IF(AND($I14="W", $J14="Short-term", $K14="PBZ",$T14&lt;&gt;"", $AF14="ND"),$AH14/2,"")),"")</f>
        <v/>
      </c>
      <c r="Z14" s="31" t="str">
        <f>IFERROR(IF(AND($I14="ONU", $J14="Short-term", $K14="PBZ",$T14&lt;&gt;"", $AF14&lt;&gt;"ND"), $T14, IF(AND($I14="ONU", $J14="Short-term", $K14="PBZ",$T14&lt;&gt;"", $AF14="ND",'Use of Cleaning Products'!#REF!&gt;3),$AH14/2,IF(AND($I14="ONU", $J14="Short-term", $K14="PBZ",$T14&lt;&gt;"", $AF14="ND",'Use of Cleaning Products'!#REF!&lt;3),$AH14/(SQRT(2)),""))),"")</f>
        <v/>
      </c>
      <c r="AA14" s="31" t="str">
        <f>IFERROR(IF(AND($I14="W", $J14="15-min", $K14="PBZ",$T14&lt;&gt;"", $AF14&lt;&gt;"ND"), $T14, IF(AND($I14="W", $J14="15-min", $K14="PBZ",$T14&lt;&gt;"", $AF14="ND",'Use of Cleaning Products'!#REF!&gt;3),$AH14/2,IF(AND($I14="W", $J14="15-min", $K14="PBZ",$T14&lt;&gt;"", $AF14="ND",'Use of Cleaning Products'!#REF!&lt;3),$AH14/(SQRT(2)),""))),"")</f>
        <v/>
      </c>
      <c r="AB14" s="31" t="str">
        <f>IFERROR(IF(AND($I14="ONU", $J14="15-min", $K14="PBZ",$T14&lt;&gt;"", $AF14&lt;&gt;"ND"), $T14, IF(AND($I14="ONU", $J14="15-min", $K14="PBZ",$T14&lt;&gt;"", $AF14="ND",'Use of Cleaning Products'!#REF!&gt;3),$AH14/2,IF(AND($I14="ONU", $J14="15-min", $K14="PBZ",$T14&lt;&gt;"", $AF14="ND",'Use of Cleaning Products'!#REF!&lt;3),$AH14/(SQRT(2)),""))),"")</f>
        <v/>
      </c>
      <c r="AC14" s="20"/>
      <c r="AD14" s="20"/>
      <c r="AE14" s="83" t="s">
        <v>716</v>
      </c>
      <c r="AF14" s="75"/>
      <c r="AG14" s="4" t="s">
        <v>717</v>
      </c>
      <c r="AH14" s="31"/>
      <c r="AI14" s="31" t="str">
        <f>IF(AND($I14="W", $J14="TWA", $K14="PBZ",$T14&lt;&gt;"", $AF14&lt;&gt;"ND"), $T14*($M14/480),"")</f>
        <v/>
      </c>
      <c r="AJ14" s="31" t="str">
        <f>+IFERROR(LN(AI14),"")</f>
        <v/>
      </c>
      <c r="AK14" s="31" t="str">
        <f>IF(AND($I14="W", $J14="12-hr", $K14="PBZ",$T14&lt;&gt;"", $AF14&lt;&gt;"ND"), $T14, "")</f>
        <v/>
      </c>
      <c r="AL14" s="31" t="str">
        <f>+IFERROR(LN(AK14),"")</f>
        <v/>
      </c>
      <c r="AM14" s="31" t="str">
        <f>IF(AND($I14="W", $J14="15-min", $K14="PBZ",$T14&lt;&gt;"", $AF14&lt;&gt;"ND"), $T14, "")</f>
        <v/>
      </c>
      <c r="AN14" s="31" t="str">
        <f>+IFERROR(LN(AM14),"")</f>
        <v/>
      </c>
      <c r="AO14" s="31" t="str">
        <f>IF(AND($I14="W", $J14="short-term", $K14="PBZ",$T14&lt;&gt;"", $AF14&lt;&gt;"ND"), $T14, "")</f>
        <v/>
      </c>
      <c r="AP14" s="31" t="str">
        <f>+IFERROR(LN(AO14),"")</f>
        <v/>
      </c>
      <c r="AQ14" s="31" t="str">
        <f>IF(AND($I14="ONU", $J14="TWA", $K14="PBZ",$T14&lt;&gt;"", $AF14&lt;&gt;"ND"), $T14*($M14/480), "")</f>
        <v/>
      </c>
      <c r="AR14" s="31" t="str">
        <f>+IFERROR(LN(AQ14),"")</f>
        <v/>
      </c>
      <c r="AS14" s="31" t="str">
        <f>IF(AND($I14="ONU", $J14="12-hr", $K14="PBZ",$T14&lt;&gt;"", $AF14&lt;&gt;"ND"), $T14, "")</f>
        <v/>
      </c>
      <c r="AT14" s="31" t="str">
        <f>+IFERROR(LN(AS14),"")</f>
        <v/>
      </c>
      <c r="AU14" s="31" t="str">
        <f>IF(AND($I14="W", $J14="Short-term", $K14="PBZ", $M14&lt;&gt;"", $T14&lt;&gt;""),$M14, "")</f>
        <v/>
      </c>
      <c r="AV14" s="31" t="str">
        <f>IF(AND($I14="ONU", $J14="Short-term", $K14="PBZ", $M14&lt;&gt;"", $T14&lt;&gt;""),$M14, "")</f>
        <v/>
      </c>
      <c r="BF14" s="83"/>
      <c r="BG14" s="83"/>
    </row>
    <row r="15" spans="1:59" x14ac:dyDescent="0.35">
      <c r="A15" s="83">
        <v>3014985</v>
      </c>
      <c r="B15" s="83" t="s">
        <v>600</v>
      </c>
      <c r="C15" s="83" t="s">
        <v>682</v>
      </c>
      <c r="D15" s="83">
        <v>2015</v>
      </c>
      <c r="E15" s="83" t="s">
        <v>590</v>
      </c>
      <c r="F15" s="83" t="s">
        <v>692</v>
      </c>
      <c r="G15" s="83" t="s">
        <v>592</v>
      </c>
      <c r="H15" s="83" t="s">
        <v>718</v>
      </c>
      <c r="I15" s="83" t="s">
        <v>614</v>
      </c>
      <c r="J15" s="83" t="s">
        <v>614</v>
      </c>
      <c r="K15" s="83" t="s">
        <v>241</v>
      </c>
      <c r="L15" s="83" t="s">
        <v>614</v>
      </c>
      <c r="M15" s="83" t="s">
        <v>614</v>
      </c>
      <c r="N15" s="83">
        <v>7</v>
      </c>
      <c r="O15" s="83">
        <f>0.006*0.000001</f>
        <v>6E-9</v>
      </c>
      <c r="P15" s="83">
        <f>7.8*0.000001</f>
        <v>7.7999999999999999E-6</v>
      </c>
      <c r="Q15" s="71">
        <f>23.06*0.000001</f>
        <v>2.3059999999999996E-5</v>
      </c>
      <c r="R15" s="83" t="s">
        <v>592</v>
      </c>
      <c r="S15" s="83" t="s">
        <v>592</v>
      </c>
      <c r="T15" s="83" t="s">
        <v>592</v>
      </c>
      <c r="U15" s="31" t="str">
        <f>IFERROR(IF(AND($I15="W", $J15="TWA", $K15="PBZ",$T15&lt;&gt;"", $AF15&lt;&gt;"ND"), $T15*($M15/480), IF(AND($I15="W", $J15="TWA", $K15="PBZ",$T15&lt;&gt;"", $AF15="ND",#REF!&gt;3),$AH15/2,IF(AND($I15="W", $J15="TWA", $K15="PBZ",$T15&lt;&gt;"", $AF15="ND",#REF!&lt;3),$AH15/(SQRT(2)),""))),"")</f>
        <v/>
      </c>
      <c r="V15" s="31" t="str">
        <f>IFERROR(IF(AND($I15="ONU", $J15="TWA", $K15="PBZ",$T15&lt;&gt;"", $AF15&lt;&gt;"ND"), $T15*($M15/480), IF(AND($I15="ONU", $J15="TWA", $K15="PBZ",$T15&lt;&gt;"", $AF15="ND",#REF!&gt;3),$AH15/2,IF(AND($I15="ONU", $J15="TWA", $K15="PBZ",$T15&lt;&gt;"", $AF15="ND",#REF!&lt;3),$AH15/(SQRT(2)),""))),"")</f>
        <v/>
      </c>
      <c r="W15" s="31" t="str">
        <f>IFERROR(IF(AND($I15="W", $J15="12-hr", $K15="PBZ",$T15&lt;&gt;"", $AF15&lt;&gt;"ND"), $T15, IF(AND($I15="W", $J15="12-hr", $K15="PBZ",$T15&lt;&gt;"", $AF15="ND",#REF!&gt;3),$AH15/2,IF(AND($I15="W", $J15="12-hr", $K15="PBZ",$T15&lt;&gt;"", $AF15="ND",#REF!&lt;3),$AH15/(SQRT(2)),""))),"")</f>
        <v/>
      </c>
      <c r="X15" s="31" t="str">
        <f>IFERROR(IF(AND($I15="ONU", $J15="12-hr", $K15="PBZ",$T15&lt;&gt;"", $AF15&lt;&gt;"ND"), $T15, IF(AND($I15="ONU", $J15="12-hr", $K15="PBZ",$T15&lt;&gt;"", $AF15="ND",#REF!&gt;3),$AH15/2,IF(AND($I15="ONU", $J15="12-hr", $K15="PBZ",$T15&lt;&gt;"", $AF15="ND",#REF!&lt;3),$AH15/(SQRT(2)),""))),"")</f>
        <v/>
      </c>
      <c r="Y15" s="31" t="str">
        <f>IFERROR(IF(AND($I15="W", $J15="Short-term", $K15="PBZ",$T15&lt;&gt;"", $AF15&lt;&gt;"ND"), $T15, IF(AND($I15="W", $J15="Short-term", $K15="PBZ",$T15&lt;&gt;"", $AF15="ND",#REF!&gt;3),$AH15/2,IF(AND($I15="W", $J15="Short-term", $K15="PBZ",$T15&lt;&gt;"", $AF15="ND",#REF!&lt;3),$AH15/(SQRT(2)),""))),"")</f>
        <v/>
      </c>
      <c r="Z15" s="31" t="str">
        <f>IFERROR(IF(AND($I15="ONU", $J15="Short-term", $K15="PBZ",$T15&lt;&gt;"", $AF15&lt;&gt;"ND"), $T15, IF(AND($I15="ONU", $J15="Short-term", $K15="PBZ",$T15&lt;&gt;"", $AF15="ND",#REF!&gt;3),$AH15/2,IF(AND($I15="ONU", $J15="Short-term", $K15="PBZ",$T15&lt;&gt;"", $AF15="ND",#REF!&lt;3),$AH15/(SQRT(2)),""))),"")</f>
        <v/>
      </c>
      <c r="AA15" s="31" t="str">
        <f>IFERROR(IF(AND($I15="W", $J15="15-min", $K15="PBZ",$T15&lt;&gt;"", $AF15&lt;&gt;"ND"), $T15, IF(AND($I15="W", $J15="15-min", $K15="PBZ",$T15&lt;&gt;"", $AF15="ND",#REF!&gt;3),$AH15/2,IF(AND($I15="W", $J15="15-min", $K15="PBZ",$T15&lt;&gt;"", $AF15="ND",#REF!&lt;3),$AH15/(SQRT(2)),""))),"")</f>
        <v/>
      </c>
      <c r="AB15" s="31" t="str">
        <f>IFERROR(IF(AND($I15="ONU", $J15="15-min", $K15="PBZ",$T15&lt;&gt;"", $AF15&lt;&gt;"ND"), $T15, IF(AND($I15="ONU", $J15="15-min", $K15="PBZ",$T15&lt;&gt;"", $AF15="ND",#REF!&gt;3),$AH15/2,IF(AND($I15="ONU", $J15="15-min", $K15="PBZ",$T15&lt;&gt;"", $AF15="ND",#REF!&lt;3),$AH15/(SQRT(2)),""))),"")</f>
        <v/>
      </c>
      <c r="AC15" s="20"/>
      <c r="AD15" s="20"/>
      <c r="AE15" s="83" t="s">
        <v>685</v>
      </c>
      <c r="AF15" s="74"/>
      <c r="AG15" s="83" t="s">
        <v>719</v>
      </c>
      <c r="AH15" s="46"/>
      <c r="AI15" s="31" t="str">
        <f>IF(AND($I15="W", $J15="TWA", $K15="PBZ",$T15&lt;&gt;"", $AF15&lt;&gt;"ND"), $T15*($M15/480),"")</f>
        <v/>
      </c>
      <c r="AJ15" s="31" t="str">
        <f>+IFERROR(LN(AI15),"")</f>
        <v/>
      </c>
      <c r="AK15" s="31" t="str">
        <f>IF(AND($I15="W", $J15="12-hr", $K15="PBZ",$T15&lt;&gt;"", $AF15&lt;&gt;"ND"), $T15, "")</f>
        <v/>
      </c>
      <c r="AL15" s="31" t="str">
        <f>+IFERROR(LN(AK15),"")</f>
        <v/>
      </c>
      <c r="AM15" s="31" t="str">
        <f>IF(AND($I15="W", $J15="15-min", $K15="PBZ",$T15&lt;&gt;"", $AF15&lt;&gt;"ND"), $T15, "")</f>
        <v/>
      </c>
      <c r="AN15" s="31" t="str">
        <f>+IFERROR(LN(AM15),"")</f>
        <v/>
      </c>
      <c r="AO15" s="31" t="str">
        <f>IF(AND($I15="W", $J15="short-term", $K15="PBZ",$T15&lt;&gt;"", $AF15&lt;&gt;"ND"), $T15, "")</f>
        <v/>
      </c>
      <c r="AP15" s="31" t="str">
        <f>+IFERROR(LN(AO15),"")</f>
        <v/>
      </c>
      <c r="AQ15" s="31" t="str">
        <f>IF(AND($I15="ONU", $J15="TWA", $K15="PBZ",$T15&lt;&gt;"", $AF15&lt;&gt;"ND"), $T15*($M15/480), "")</f>
        <v/>
      </c>
      <c r="AR15" s="31" t="str">
        <f>+IFERROR(LN(AQ15),"")</f>
        <v/>
      </c>
      <c r="AS15" s="31" t="str">
        <f>IF(AND($I15="ONU", $J15="12-hr", $K15="PBZ",$T15&lt;&gt;"", $AF15&lt;&gt;"ND"), $T15, "")</f>
        <v/>
      </c>
      <c r="AT15" s="31" t="str">
        <f>+IFERROR(LN(AS15),"")</f>
        <v/>
      </c>
      <c r="AU15" s="31" t="str">
        <f>IF(AND($I15="W", $J15="Short-term", $K15="PBZ", $M15&lt;&gt;"", $T15&lt;&gt;""),$M15, "")</f>
        <v/>
      </c>
      <c r="AV15" s="31" t="str">
        <f>IF(AND($I15="ONU", $J15="Short-term", $K15="PBZ", $M15&lt;&gt;"", $T15&lt;&gt;""),$M15, "")</f>
        <v/>
      </c>
      <c r="BF15" s="83"/>
      <c r="BG15" s="83"/>
    </row>
    <row r="16" spans="1:59" x14ac:dyDescent="0.35">
      <c r="A16" s="83">
        <v>3014985</v>
      </c>
      <c r="B16" s="83" t="s">
        <v>600</v>
      </c>
      <c r="C16" s="83" t="s">
        <v>682</v>
      </c>
      <c r="D16" s="83">
        <v>2015</v>
      </c>
      <c r="E16" s="83" t="s">
        <v>590</v>
      </c>
      <c r="F16" s="83" t="s">
        <v>692</v>
      </c>
      <c r="G16" s="83" t="s">
        <v>592</v>
      </c>
      <c r="H16" s="83" t="s">
        <v>720</v>
      </c>
      <c r="I16" s="83" t="s">
        <v>614</v>
      </c>
      <c r="J16" s="83" t="s">
        <v>614</v>
      </c>
      <c r="K16" s="83" t="s">
        <v>241</v>
      </c>
      <c r="L16" s="83" t="s">
        <v>614</v>
      </c>
      <c r="M16" s="83" t="s">
        <v>614</v>
      </c>
      <c r="N16" s="83">
        <v>7</v>
      </c>
      <c r="O16" s="83">
        <f>6.19*0.000001</f>
        <v>6.19E-6</v>
      </c>
      <c r="P16" s="83">
        <f>82.6*0.000001</f>
        <v>8.2599999999999988E-5</v>
      </c>
      <c r="Q16" s="83">
        <f>26.5*0.000001</f>
        <v>2.65E-5</v>
      </c>
      <c r="R16" s="83" t="s">
        <v>592</v>
      </c>
      <c r="S16" s="83" t="s">
        <v>592</v>
      </c>
      <c r="T16" s="83" t="s">
        <v>592</v>
      </c>
      <c r="U16" s="31"/>
      <c r="V16" s="31"/>
      <c r="W16" s="31"/>
      <c r="X16" s="31"/>
      <c r="Y16" s="31"/>
      <c r="Z16" s="31"/>
      <c r="AA16" s="31"/>
      <c r="AB16" s="31"/>
      <c r="AC16" s="20"/>
      <c r="AD16" s="20"/>
      <c r="AE16" s="83" t="s">
        <v>690</v>
      </c>
      <c r="AF16" s="75"/>
      <c r="AG16" s="83" t="s">
        <v>691</v>
      </c>
      <c r="AH16" s="31"/>
      <c r="AI16" s="31" t="str">
        <f>IF(AND($I16="W", $J16="TWA", $K16="PBZ",$T16&lt;&gt;"", $AF16&lt;&gt;"ND"), $T16*($M16/480),"")</f>
        <v/>
      </c>
      <c r="AJ16" s="31" t="str">
        <f>+IFERROR(LN(AI16),"")</f>
        <v/>
      </c>
      <c r="AK16" s="31" t="str">
        <f>IF(AND($I16="W", $J16="12-hr", $K16="PBZ",$T16&lt;&gt;"", $AF16&lt;&gt;"ND"), $T16, "")</f>
        <v/>
      </c>
      <c r="AL16" s="31" t="str">
        <f>+IFERROR(LN(AK16),"")</f>
        <v/>
      </c>
      <c r="AM16" s="31" t="str">
        <f>IF(AND($I16="W", $J16="15-min", $K16="PBZ",$T16&lt;&gt;"", $AF16&lt;&gt;"ND"), $T16, "")</f>
        <v/>
      </c>
      <c r="AN16" s="31" t="str">
        <f>+IFERROR(LN(AM16),"")</f>
        <v/>
      </c>
      <c r="AO16" s="31" t="str">
        <f>IF(AND($I16="W", $J16="short-term", $K16="PBZ",$T16&lt;&gt;"", $AF16&lt;&gt;"ND"), $T16, "")</f>
        <v/>
      </c>
      <c r="AP16" s="31" t="str">
        <f>+IFERROR(LN(AO16),"")</f>
        <v/>
      </c>
      <c r="AQ16" s="31" t="str">
        <f>IF(AND($I16="ONU", $J16="TWA", $K16="PBZ",$T16&lt;&gt;"", $AF16&lt;&gt;"ND"), $T16*($M16/480), "")</f>
        <v/>
      </c>
      <c r="AR16" s="31" t="str">
        <f>+IFERROR(LN(AQ16),"")</f>
        <v/>
      </c>
      <c r="AS16" s="31" t="str">
        <f>IF(AND($I16="ONU", $J16="12-hr", $K16="PBZ",$T16&lt;&gt;"", $AF16&lt;&gt;"ND"), $T16, "")</f>
        <v/>
      </c>
      <c r="AT16" s="31" t="str">
        <f>+IFERROR(LN(AS16),"")</f>
        <v/>
      </c>
      <c r="AU16" s="31" t="str">
        <f>IF(AND($I16="W", $J16="Short-term", $K16="PBZ", $M16&lt;&gt;"", $T16&lt;&gt;""),$M16, "")</f>
        <v/>
      </c>
      <c r="AV16" s="31" t="str">
        <f>IF(AND($I16="ONU", $J16="Short-term", $K16="PBZ", $M16&lt;&gt;"", $T16&lt;&gt;""),$M16, "")</f>
        <v/>
      </c>
      <c r="BF16" s="83"/>
      <c r="BG16" s="83"/>
    </row>
    <row r="17" spans="1:59" x14ac:dyDescent="0.35">
      <c r="A17" s="84"/>
      <c r="B17" s="53"/>
      <c r="C17" s="20"/>
      <c r="D17" s="20"/>
      <c r="E17" s="20"/>
      <c r="F17" s="84"/>
      <c r="G17" s="3"/>
      <c r="H17" s="57"/>
      <c r="I17" s="59"/>
      <c r="J17" s="20"/>
      <c r="K17" s="20"/>
      <c r="L17" s="3"/>
      <c r="M17" s="57"/>
      <c r="N17" s="53"/>
      <c r="O17" s="53"/>
      <c r="P17" s="53"/>
      <c r="Q17" s="53"/>
      <c r="R17" s="53"/>
      <c r="S17" s="53"/>
      <c r="T17" s="3"/>
      <c r="U17" s="31"/>
      <c r="V17" s="31"/>
      <c r="W17" s="31"/>
      <c r="X17" s="31"/>
      <c r="Y17" s="31"/>
      <c r="Z17" s="31"/>
      <c r="AA17" s="31"/>
      <c r="AB17" s="31"/>
      <c r="AC17" s="28"/>
      <c r="AD17" s="73"/>
      <c r="AE17" s="84"/>
      <c r="AF17" s="65"/>
      <c r="AG17" s="46"/>
      <c r="AH17" s="3"/>
      <c r="AI17" s="31" t="str">
        <f t="shared" si="0"/>
        <v/>
      </c>
      <c r="AJ17" s="31" t="str">
        <f t="shared" si="20"/>
        <v/>
      </c>
      <c r="AK17" s="31" t="str">
        <f t="shared" si="1"/>
        <v/>
      </c>
      <c r="AL17" s="31" t="str">
        <f t="shared" si="2"/>
        <v/>
      </c>
      <c r="AM17" s="31" t="str">
        <f t="shared" si="3"/>
        <v/>
      </c>
      <c r="AN17" s="31" t="str">
        <f t="shared" si="4"/>
        <v/>
      </c>
      <c r="AO17" s="31" t="str">
        <f t="shared" si="5"/>
        <v/>
      </c>
      <c r="AP17" s="31" t="str">
        <f t="shared" si="6"/>
        <v/>
      </c>
      <c r="AQ17" s="31" t="str">
        <f t="shared" si="7"/>
        <v/>
      </c>
      <c r="AR17" s="31" t="str">
        <f t="shared" si="8"/>
        <v/>
      </c>
      <c r="AS17" s="31" t="str">
        <f t="shared" si="9"/>
        <v/>
      </c>
      <c r="AT17" s="31" t="str">
        <f t="shared" si="10"/>
        <v/>
      </c>
      <c r="AU17" s="31" t="str">
        <f t="shared" si="11"/>
        <v/>
      </c>
      <c r="AV17" s="31" t="str">
        <f t="shared" si="21"/>
        <v/>
      </c>
      <c r="BF17" s="83"/>
      <c r="BG17" s="83"/>
    </row>
    <row r="18" spans="1:59" x14ac:dyDescent="0.35">
      <c r="A18" s="84"/>
      <c r="B18" s="53"/>
      <c r="C18" s="20"/>
      <c r="D18" s="20"/>
      <c r="E18" s="20"/>
      <c r="F18" s="84"/>
      <c r="G18" s="3"/>
      <c r="H18" s="57"/>
      <c r="I18" s="59"/>
      <c r="J18" s="20"/>
      <c r="K18" s="20"/>
      <c r="L18" s="3"/>
      <c r="M18" s="57"/>
      <c r="N18" s="53"/>
      <c r="O18" s="53"/>
      <c r="P18" s="53"/>
      <c r="Q18" s="53"/>
      <c r="R18" s="53"/>
      <c r="S18" s="53"/>
      <c r="T18" s="3"/>
      <c r="U18" s="31"/>
      <c r="V18" s="31"/>
      <c r="W18" s="31"/>
      <c r="X18" s="31"/>
      <c r="Y18" s="31"/>
      <c r="Z18" s="31"/>
      <c r="AA18" s="31"/>
      <c r="AB18" s="31"/>
      <c r="AC18" s="28"/>
      <c r="AD18" s="73"/>
      <c r="AE18" s="84"/>
      <c r="AF18" s="65"/>
      <c r="AG18" s="46"/>
      <c r="AH18" s="3"/>
      <c r="AI18" s="31" t="str">
        <f t="shared" si="0"/>
        <v/>
      </c>
      <c r="AJ18" s="31" t="str">
        <f t="shared" si="20"/>
        <v/>
      </c>
      <c r="AK18" s="31" t="str">
        <f t="shared" si="1"/>
        <v/>
      </c>
      <c r="AL18" s="31" t="str">
        <f t="shared" si="2"/>
        <v/>
      </c>
      <c r="AM18" s="31" t="str">
        <f t="shared" si="3"/>
        <v/>
      </c>
      <c r="AN18" s="31" t="str">
        <f t="shared" si="4"/>
        <v/>
      </c>
      <c r="AO18" s="31" t="str">
        <f t="shared" si="5"/>
        <v/>
      </c>
      <c r="AP18" s="31" t="str">
        <f t="shared" si="6"/>
        <v/>
      </c>
      <c r="AQ18" s="31" t="str">
        <f t="shared" si="7"/>
        <v/>
      </c>
      <c r="AR18" s="31" t="str">
        <f t="shared" si="8"/>
        <v/>
      </c>
      <c r="AS18" s="31" t="str">
        <f t="shared" si="9"/>
        <v/>
      </c>
      <c r="AT18" s="31" t="str">
        <f t="shared" si="10"/>
        <v/>
      </c>
      <c r="AU18" s="31" t="str">
        <f t="shared" si="11"/>
        <v/>
      </c>
      <c r="AV18" s="31" t="str">
        <f t="shared" si="21"/>
        <v/>
      </c>
      <c r="BF18" s="83"/>
      <c r="BG18" s="83"/>
    </row>
    <row r="19" spans="1:59" x14ac:dyDescent="0.35">
      <c r="A19" s="84"/>
      <c r="B19" s="53"/>
      <c r="C19" s="20"/>
      <c r="D19" s="20"/>
      <c r="E19" s="20"/>
      <c r="F19" s="84"/>
      <c r="G19" s="3"/>
      <c r="H19" s="57"/>
      <c r="I19" s="59"/>
      <c r="J19" s="20"/>
      <c r="K19" s="20"/>
      <c r="L19" s="3"/>
      <c r="M19" s="57"/>
      <c r="N19" s="53"/>
      <c r="O19" s="53"/>
      <c r="P19" s="53"/>
      <c r="Q19" s="53"/>
      <c r="R19" s="53"/>
      <c r="S19" s="53"/>
      <c r="T19" s="3"/>
      <c r="U19" s="31"/>
      <c r="V19" s="31"/>
      <c r="W19" s="31"/>
      <c r="X19" s="31"/>
      <c r="Y19" s="31"/>
      <c r="Z19" s="31"/>
      <c r="AA19" s="31"/>
      <c r="AB19" s="31"/>
      <c r="AC19" s="28"/>
      <c r="AD19" s="73"/>
      <c r="AE19" s="84"/>
      <c r="AF19" s="65"/>
      <c r="AG19" s="46"/>
      <c r="AH19" s="3"/>
      <c r="AI19" s="31" t="str">
        <f t="shared" si="0"/>
        <v/>
      </c>
      <c r="AJ19" s="31" t="str">
        <f t="shared" si="20"/>
        <v/>
      </c>
      <c r="AK19" s="31" t="str">
        <f t="shared" si="1"/>
        <v/>
      </c>
      <c r="AL19" s="31" t="str">
        <f t="shared" si="2"/>
        <v/>
      </c>
      <c r="AM19" s="31" t="str">
        <f t="shared" si="3"/>
        <v/>
      </c>
      <c r="AN19" s="31" t="str">
        <f t="shared" si="4"/>
        <v/>
      </c>
      <c r="AO19" s="31" t="str">
        <f t="shared" si="5"/>
        <v/>
      </c>
      <c r="AP19" s="31" t="str">
        <f t="shared" si="6"/>
        <v/>
      </c>
      <c r="AQ19" s="31" t="str">
        <f t="shared" si="7"/>
        <v/>
      </c>
      <c r="AR19" s="31" t="str">
        <f t="shared" si="8"/>
        <v/>
      </c>
      <c r="AS19" s="31" t="str">
        <f t="shared" si="9"/>
        <v/>
      </c>
      <c r="AT19" s="31" t="str">
        <f t="shared" si="10"/>
        <v/>
      </c>
      <c r="AU19" s="31" t="str">
        <f t="shared" si="11"/>
        <v/>
      </c>
      <c r="AV19" s="31" t="str">
        <f t="shared" si="21"/>
        <v/>
      </c>
      <c r="BF19" s="83"/>
      <c r="BG19" s="83"/>
    </row>
    <row r="20" spans="1:59" x14ac:dyDescent="0.35">
      <c r="A20" s="84"/>
      <c r="B20" s="53"/>
      <c r="C20" s="20"/>
      <c r="D20" s="20"/>
      <c r="E20" s="20"/>
      <c r="F20" s="84"/>
      <c r="G20" s="3"/>
      <c r="H20" s="57"/>
      <c r="I20" s="59"/>
      <c r="J20" s="20"/>
      <c r="K20" s="20"/>
      <c r="L20" s="3"/>
      <c r="M20" s="57"/>
      <c r="N20" s="53"/>
      <c r="O20" s="53"/>
      <c r="P20" s="53"/>
      <c r="Q20" s="53"/>
      <c r="R20" s="53"/>
      <c r="S20" s="53"/>
      <c r="T20" s="3"/>
      <c r="U20" s="31"/>
      <c r="V20" s="31"/>
      <c r="W20" s="31"/>
      <c r="X20" s="31"/>
      <c r="Y20" s="31"/>
      <c r="Z20" s="31"/>
      <c r="AA20" s="31"/>
      <c r="AB20" s="31"/>
      <c r="AC20" s="28"/>
      <c r="AD20" s="73"/>
      <c r="AE20" s="84"/>
      <c r="AF20" s="65"/>
      <c r="AG20" s="46"/>
      <c r="AH20" s="3"/>
      <c r="AI20" s="31" t="str">
        <f t="shared" si="0"/>
        <v/>
      </c>
      <c r="AJ20" s="31" t="str">
        <f t="shared" si="20"/>
        <v/>
      </c>
      <c r="AK20" s="31" t="str">
        <f t="shared" si="1"/>
        <v/>
      </c>
      <c r="AL20" s="31" t="str">
        <f t="shared" si="2"/>
        <v/>
      </c>
      <c r="AM20" s="31" t="str">
        <f t="shared" si="3"/>
        <v/>
      </c>
      <c r="AN20" s="31" t="str">
        <f t="shared" si="4"/>
        <v/>
      </c>
      <c r="AO20" s="31" t="str">
        <f t="shared" si="5"/>
        <v/>
      </c>
      <c r="AP20" s="31" t="str">
        <f t="shared" si="6"/>
        <v/>
      </c>
      <c r="AQ20" s="31" t="str">
        <f t="shared" si="7"/>
        <v/>
      </c>
      <c r="AR20" s="31" t="str">
        <f t="shared" si="8"/>
        <v/>
      </c>
      <c r="AS20" s="31" t="str">
        <f t="shared" si="9"/>
        <v/>
      </c>
      <c r="AT20" s="31" t="str">
        <f t="shared" si="10"/>
        <v/>
      </c>
      <c r="AU20" s="31" t="str">
        <f t="shared" si="11"/>
        <v/>
      </c>
      <c r="AV20" s="31" t="str">
        <f t="shared" si="21"/>
        <v/>
      </c>
      <c r="BF20" s="83"/>
      <c r="BG20" s="83"/>
    </row>
    <row r="21" spans="1:59" x14ac:dyDescent="0.35">
      <c r="A21" s="84"/>
      <c r="B21" s="53"/>
      <c r="C21" s="20"/>
      <c r="D21" s="20"/>
      <c r="E21" s="20"/>
      <c r="F21" s="84"/>
      <c r="G21" s="3"/>
      <c r="H21" s="57"/>
      <c r="I21" s="59"/>
      <c r="J21" s="20"/>
      <c r="K21" s="20"/>
      <c r="L21" s="3"/>
      <c r="M21" s="57"/>
      <c r="N21" s="53"/>
      <c r="O21" s="53"/>
      <c r="P21" s="53"/>
      <c r="Q21" s="53"/>
      <c r="R21" s="53"/>
      <c r="S21" s="53"/>
      <c r="T21" s="3"/>
      <c r="U21" s="31"/>
      <c r="V21" s="31"/>
      <c r="W21" s="31"/>
      <c r="X21" s="31"/>
      <c r="Y21" s="31"/>
      <c r="Z21" s="31"/>
      <c r="AA21" s="31"/>
      <c r="AB21" s="31"/>
      <c r="AC21" s="28"/>
      <c r="AD21" s="73"/>
      <c r="AE21" s="84"/>
      <c r="AF21" s="65"/>
      <c r="AG21" s="46"/>
      <c r="AH21" s="3"/>
      <c r="AI21" s="31" t="str">
        <f t="shared" si="0"/>
        <v/>
      </c>
      <c r="AJ21" s="31" t="str">
        <f t="shared" si="20"/>
        <v/>
      </c>
      <c r="AK21" s="31" t="str">
        <f t="shared" si="1"/>
        <v/>
      </c>
      <c r="AL21" s="31" t="str">
        <f t="shared" si="2"/>
        <v/>
      </c>
      <c r="AM21" s="31" t="str">
        <f t="shared" si="3"/>
        <v/>
      </c>
      <c r="AN21" s="31" t="str">
        <f t="shared" si="4"/>
        <v/>
      </c>
      <c r="AO21" s="31" t="str">
        <f t="shared" si="5"/>
        <v/>
      </c>
      <c r="AP21" s="31" t="str">
        <f t="shared" si="6"/>
        <v/>
      </c>
      <c r="AQ21" s="31" t="str">
        <f t="shared" si="7"/>
        <v/>
      </c>
      <c r="AR21" s="31" t="str">
        <f t="shared" si="8"/>
        <v/>
      </c>
      <c r="AS21" s="31" t="str">
        <f t="shared" si="9"/>
        <v/>
      </c>
      <c r="AT21" s="31" t="str">
        <f t="shared" si="10"/>
        <v/>
      </c>
      <c r="AU21" s="31" t="str">
        <f t="shared" si="11"/>
        <v/>
      </c>
      <c r="AV21" s="31" t="str">
        <f t="shared" si="21"/>
        <v/>
      </c>
      <c r="BF21" s="83"/>
      <c r="BG21" s="83"/>
    </row>
    <row r="22" spans="1:59" ht="78.650000000000006" customHeight="1" x14ac:dyDescent="0.35">
      <c r="A22" s="84"/>
      <c r="B22" s="53"/>
      <c r="C22" s="20"/>
      <c r="D22" s="20"/>
      <c r="E22" s="20"/>
      <c r="F22" s="84"/>
      <c r="G22" s="3"/>
      <c r="H22" s="57"/>
      <c r="I22" s="59"/>
      <c r="J22" s="20"/>
      <c r="K22" s="20"/>
      <c r="L22" s="3"/>
      <c r="M22" s="57"/>
      <c r="N22" s="53"/>
      <c r="O22" s="53"/>
      <c r="P22" s="53"/>
      <c r="Q22" s="53"/>
      <c r="R22" s="53"/>
      <c r="S22" s="53"/>
      <c r="T22" s="3"/>
      <c r="U22" s="31"/>
      <c r="V22" s="31"/>
      <c r="W22" s="31"/>
      <c r="X22" s="31"/>
      <c r="Y22" s="31"/>
      <c r="Z22" s="31"/>
      <c r="AA22" s="31"/>
      <c r="AB22" s="31"/>
      <c r="AC22" s="28"/>
      <c r="AD22" s="73"/>
      <c r="AE22" s="84"/>
      <c r="AF22" s="65"/>
      <c r="AG22" s="46"/>
      <c r="AH22" s="3"/>
      <c r="AI22" s="31" t="str">
        <f t="shared" si="0"/>
        <v/>
      </c>
      <c r="AJ22" s="31" t="str">
        <f t="shared" si="20"/>
        <v/>
      </c>
      <c r="AK22" s="31" t="str">
        <f t="shared" si="1"/>
        <v/>
      </c>
      <c r="AL22" s="31" t="str">
        <f t="shared" si="2"/>
        <v/>
      </c>
      <c r="AM22" s="31" t="str">
        <f t="shared" si="3"/>
        <v/>
      </c>
      <c r="AN22" s="31" t="str">
        <f t="shared" si="4"/>
        <v/>
      </c>
      <c r="AO22" s="31" t="str">
        <f t="shared" si="5"/>
        <v/>
      </c>
      <c r="AP22" s="31" t="str">
        <f t="shared" si="6"/>
        <v/>
      </c>
      <c r="AQ22" s="31" t="str">
        <f t="shared" si="7"/>
        <v/>
      </c>
      <c r="AR22" s="31" t="str">
        <f t="shared" si="8"/>
        <v/>
      </c>
      <c r="AS22" s="31" t="str">
        <f t="shared" si="9"/>
        <v/>
      </c>
      <c r="AT22" s="31" t="str">
        <f t="shared" si="10"/>
        <v/>
      </c>
      <c r="AU22" s="31" t="str">
        <f t="shared" si="11"/>
        <v/>
      </c>
      <c r="AV22" s="31" t="str">
        <f t="shared" si="21"/>
        <v/>
      </c>
      <c r="BF22" s="83"/>
      <c r="BG22" s="83"/>
    </row>
    <row r="23" spans="1:59" x14ac:dyDescent="0.35">
      <c r="A23" s="84"/>
      <c r="B23" s="53"/>
      <c r="C23" s="20"/>
      <c r="D23" s="20"/>
      <c r="E23" s="20"/>
      <c r="F23" s="84"/>
      <c r="G23" s="3"/>
      <c r="H23" s="57"/>
      <c r="I23" s="59"/>
      <c r="J23" s="20"/>
      <c r="K23" s="20"/>
      <c r="L23" s="3"/>
      <c r="M23" s="57"/>
      <c r="N23" s="53"/>
      <c r="O23" s="53"/>
      <c r="P23" s="53"/>
      <c r="Q23" s="53"/>
      <c r="R23" s="53"/>
      <c r="S23" s="53"/>
      <c r="T23" s="3"/>
      <c r="U23" s="31"/>
      <c r="V23" s="31"/>
      <c r="W23" s="31"/>
      <c r="X23" s="31"/>
      <c r="Y23" s="31"/>
      <c r="Z23" s="31"/>
      <c r="AA23" s="31"/>
      <c r="AB23" s="31"/>
      <c r="AC23" s="28"/>
      <c r="AD23" s="73"/>
      <c r="AE23" s="84"/>
      <c r="AF23" s="65"/>
      <c r="AG23" s="46"/>
      <c r="AH23" s="3"/>
      <c r="AI23" s="31" t="str">
        <f t="shared" si="0"/>
        <v/>
      </c>
      <c r="AJ23" s="31" t="str">
        <f t="shared" si="20"/>
        <v/>
      </c>
      <c r="AK23" s="31" t="str">
        <f t="shared" si="1"/>
        <v/>
      </c>
      <c r="AL23" s="31" t="str">
        <f t="shared" si="2"/>
        <v/>
      </c>
      <c r="AM23" s="31" t="str">
        <f t="shared" si="3"/>
        <v/>
      </c>
      <c r="AN23" s="31" t="str">
        <f t="shared" si="4"/>
        <v/>
      </c>
      <c r="AO23" s="31" t="str">
        <f t="shared" si="5"/>
        <v/>
      </c>
      <c r="AP23" s="31" t="str">
        <f t="shared" si="6"/>
        <v/>
      </c>
      <c r="AQ23" s="31" t="str">
        <f t="shared" si="7"/>
        <v/>
      </c>
      <c r="AR23" s="31" t="str">
        <f t="shared" si="8"/>
        <v/>
      </c>
      <c r="AS23" s="31" t="str">
        <f t="shared" si="9"/>
        <v/>
      </c>
      <c r="AT23" s="31" t="str">
        <f t="shared" si="10"/>
        <v/>
      </c>
      <c r="AU23" s="31" t="str">
        <f t="shared" si="11"/>
        <v/>
      </c>
      <c r="AV23" s="31" t="str">
        <f t="shared" si="21"/>
        <v/>
      </c>
      <c r="BF23" s="83"/>
      <c r="BG23" s="83"/>
    </row>
    <row r="24" spans="1:59" x14ac:dyDescent="0.35">
      <c r="A24" s="84"/>
      <c r="B24" s="53"/>
      <c r="C24" s="20"/>
      <c r="D24" s="20"/>
      <c r="E24" s="20"/>
      <c r="F24" s="84"/>
      <c r="G24" s="3"/>
      <c r="H24" s="57"/>
      <c r="I24" s="59"/>
      <c r="J24" s="20"/>
      <c r="K24" s="20"/>
      <c r="L24" s="3"/>
      <c r="M24" s="57"/>
      <c r="N24" s="53"/>
      <c r="O24" s="53"/>
      <c r="P24" s="53"/>
      <c r="Q24" s="53"/>
      <c r="R24" s="53"/>
      <c r="S24" s="53"/>
      <c r="T24" s="3"/>
      <c r="U24" s="31"/>
      <c r="V24" s="31"/>
      <c r="W24" s="31"/>
      <c r="X24" s="31"/>
      <c r="Y24" s="31"/>
      <c r="Z24" s="31"/>
      <c r="AA24" s="31"/>
      <c r="AB24" s="31"/>
      <c r="AC24" s="28"/>
      <c r="AD24" s="73"/>
      <c r="AE24" s="84"/>
      <c r="AF24" s="65"/>
      <c r="AG24" s="46"/>
      <c r="AH24" s="3"/>
      <c r="AI24" s="31" t="str">
        <f t="shared" si="0"/>
        <v/>
      </c>
      <c r="AJ24" s="31" t="str">
        <f t="shared" si="20"/>
        <v/>
      </c>
      <c r="AK24" s="31" t="str">
        <f t="shared" si="1"/>
        <v/>
      </c>
      <c r="AL24" s="31" t="str">
        <f t="shared" si="2"/>
        <v/>
      </c>
      <c r="AM24" s="31" t="str">
        <f t="shared" si="3"/>
        <v/>
      </c>
      <c r="AN24" s="31" t="str">
        <f t="shared" si="4"/>
        <v/>
      </c>
      <c r="AO24" s="31" t="str">
        <f t="shared" si="5"/>
        <v/>
      </c>
      <c r="AP24" s="31" t="str">
        <f t="shared" si="6"/>
        <v/>
      </c>
      <c r="AQ24" s="31" t="str">
        <f t="shared" si="7"/>
        <v/>
      </c>
      <c r="AR24" s="31" t="str">
        <f t="shared" si="8"/>
        <v/>
      </c>
      <c r="AS24" s="31" t="str">
        <f t="shared" si="9"/>
        <v/>
      </c>
      <c r="AT24" s="31" t="str">
        <f t="shared" si="10"/>
        <v/>
      </c>
      <c r="AU24" s="31" t="str">
        <f t="shared" si="11"/>
        <v/>
      </c>
      <c r="AV24" s="31" t="str">
        <f t="shared" si="21"/>
        <v/>
      </c>
      <c r="BF24" s="83"/>
      <c r="BG24" s="83"/>
    </row>
    <row r="25" spans="1:59" x14ac:dyDescent="0.35">
      <c r="A25" s="84"/>
      <c r="B25" s="53"/>
      <c r="C25" s="20"/>
      <c r="D25" s="20"/>
      <c r="E25" s="20"/>
      <c r="F25" s="84"/>
      <c r="G25" s="3"/>
      <c r="H25" s="57"/>
      <c r="I25" s="59"/>
      <c r="J25" s="20"/>
      <c r="K25" s="20"/>
      <c r="L25" s="3"/>
      <c r="M25" s="57"/>
      <c r="N25" s="53"/>
      <c r="O25" s="53"/>
      <c r="P25" s="53"/>
      <c r="Q25" s="53"/>
      <c r="R25" s="53"/>
      <c r="S25" s="53"/>
      <c r="T25" s="3"/>
      <c r="U25" s="31"/>
      <c r="V25" s="31"/>
      <c r="W25" s="31"/>
      <c r="X25" s="31"/>
      <c r="Y25" s="31"/>
      <c r="Z25" s="31"/>
      <c r="AA25" s="31"/>
      <c r="AB25" s="31"/>
      <c r="AC25" s="28"/>
      <c r="AD25" s="73"/>
      <c r="AE25" s="84"/>
      <c r="AF25" s="65"/>
      <c r="AG25" s="46"/>
      <c r="AH25" s="3"/>
      <c r="AI25" s="31" t="str">
        <f t="shared" si="0"/>
        <v/>
      </c>
      <c r="AJ25" s="31" t="str">
        <f t="shared" si="20"/>
        <v/>
      </c>
      <c r="AK25" s="31" t="str">
        <f t="shared" si="1"/>
        <v/>
      </c>
      <c r="AL25" s="31" t="str">
        <f t="shared" si="2"/>
        <v/>
      </c>
      <c r="AM25" s="31" t="str">
        <f t="shared" si="3"/>
        <v/>
      </c>
      <c r="AN25" s="31" t="str">
        <f t="shared" si="4"/>
        <v/>
      </c>
      <c r="AO25" s="31" t="str">
        <f t="shared" si="5"/>
        <v/>
      </c>
      <c r="AP25" s="31" t="str">
        <f t="shared" si="6"/>
        <v/>
      </c>
      <c r="AQ25" s="31" t="str">
        <f t="shared" si="7"/>
        <v/>
      </c>
      <c r="AR25" s="31" t="str">
        <f t="shared" si="8"/>
        <v/>
      </c>
      <c r="AS25" s="31" t="str">
        <f t="shared" si="9"/>
        <v/>
      </c>
      <c r="AT25" s="31" t="str">
        <f t="shared" si="10"/>
        <v/>
      </c>
      <c r="AU25" s="31" t="str">
        <f t="shared" si="11"/>
        <v/>
      </c>
      <c r="AV25" s="31" t="str">
        <f t="shared" si="21"/>
        <v/>
      </c>
      <c r="BF25" s="83"/>
      <c r="BG25" s="83"/>
    </row>
    <row r="26" spans="1:59" x14ac:dyDescent="0.35">
      <c r="A26" s="84"/>
      <c r="B26" s="53"/>
      <c r="C26" s="20"/>
      <c r="D26" s="20"/>
      <c r="E26" s="20"/>
      <c r="F26" s="84"/>
      <c r="G26" s="3"/>
      <c r="H26" s="57"/>
      <c r="I26" s="59"/>
      <c r="J26" s="20"/>
      <c r="K26" s="20"/>
      <c r="L26" s="3"/>
      <c r="M26" s="57"/>
      <c r="N26" s="53"/>
      <c r="O26" s="53"/>
      <c r="P26" s="53"/>
      <c r="Q26" s="53"/>
      <c r="R26" s="53"/>
      <c r="S26" s="53"/>
      <c r="T26" s="3"/>
      <c r="U26" s="31"/>
      <c r="V26" s="31"/>
      <c r="W26" s="31"/>
      <c r="X26" s="31"/>
      <c r="Y26" s="31"/>
      <c r="Z26" s="31"/>
      <c r="AA26" s="31"/>
      <c r="AB26" s="31"/>
      <c r="AC26" s="28"/>
      <c r="AD26" s="73"/>
      <c r="AE26" s="84"/>
      <c r="AF26" s="65"/>
      <c r="AG26" s="46"/>
      <c r="AH26" s="3"/>
      <c r="AI26" s="31" t="str">
        <f t="shared" si="0"/>
        <v/>
      </c>
      <c r="AJ26" s="31" t="str">
        <f t="shared" si="20"/>
        <v/>
      </c>
      <c r="AK26" s="31" t="str">
        <f t="shared" si="1"/>
        <v/>
      </c>
      <c r="AL26" s="31" t="str">
        <f t="shared" si="2"/>
        <v/>
      </c>
      <c r="AM26" s="31" t="str">
        <f t="shared" si="3"/>
        <v/>
      </c>
      <c r="AN26" s="31" t="str">
        <f t="shared" si="4"/>
        <v/>
      </c>
      <c r="AO26" s="31" t="str">
        <f t="shared" si="5"/>
        <v/>
      </c>
      <c r="AP26" s="31" t="str">
        <f t="shared" si="6"/>
        <v/>
      </c>
      <c r="AQ26" s="31" t="str">
        <f t="shared" si="7"/>
        <v/>
      </c>
      <c r="AR26" s="31" t="str">
        <f t="shared" si="8"/>
        <v/>
      </c>
      <c r="AS26" s="31" t="str">
        <f t="shared" si="9"/>
        <v/>
      </c>
      <c r="AT26" s="31" t="str">
        <f t="shared" si="10"/>
        <v/>
      </c>
      <c r="AU26" s="31" t="str">
        <f t="shared" si="11"/>
        <v/>
      </c>
      <c r="AV26" s="31" t="str">
        <f t="shared" si="21"/>
        <v/>
      </c>
      <c r="BF26" s="83"/>
      <c r="BG26" s="83"/>
    </row>
    <row r="27" spans="1:59" x14ac:dyDescent="0.35">
      <c r="A27" s="84"/>
      <c r="B27" s="53"/>
      <c r="C27" s="20"/>
      <c r="D27" s="20"/>
      <c r="E27" s="20"/>
      <c r="F27" s="84"/>
      <c r="G27" s="3"/>
      <c r="H27" s="57"/>
      <c r="I27" s="59"/>
      <c r="J27" s="20"/>
      <c r="K27" s="20"/>
      <c r="L27" s="3"/>
      <c r="M27" s="60"/>
      <c r="N27" s="53"/>
      <c r="O27" s="53"/>
      <c r="P27" s="53"/>
      <c r="Q27" s="53"/>
      <c r="R27" s="53"/>
      <c r="S27" s="53"/>
      <c r="T27" s="3"/>
      <c r="U27" s="31"/>
      <c r="V27" s="31"/>
      <c r="W27" s="31"/>
      <c r="X27" s="31"/>
      <c r="Y27" s="31"/>
      <c r="Z27" s="31"/>
      <c r="AA27" s="31"/>
      <c r="AB27" s="31"/>
      <c r="AC27" s="28"/>
      <c r="AD27" s="73"/>
      <c r="AE27" s="84"/>
      <c r="AF27" s="65"/>
      <c r="AG27" s="46"/>
      <c r="AH27" s="3"/>
      <c r="AI27" s="31" t="str">
        <f t="shared" si="0"/>
        <v/>
      </c>
      <c r="AJ27" s="31" t="str">
        <f t="shared" si="20"/>
        <v/>
      </c>
      <c r="AK27" s="31" t="str">
        <f t="shared" si="1"/>
        <v/>
      </c>
      <c r="AL27" s="31" t="str">
        <f t="shared" si="2"/>
        <v/>
      </c>
      <c r="AM27" s="31" t="str">
        <f t="shared" si="3"/>
        <v/>
      </c>
      <c r="AN27" s="31" t="str">
        <f t="shared" si="4"/>
        <v/>
      </c>
      <c r="AO27" s="31" t="str">
        <f t="shared" si="5"/>
        <v/>
      </c>
      <c r="AP27" s="31" t="str">
        <f t="shared" si="6"/>
        <v/>
      </c>
      <c r="AQ27" s="31" t="str">
        <f t="shared" si="7"/>
        <v/>
      </c>
      <c r="AR27" s="31" t="str">
        <f t="shared" si="8"/>
        <v/>
      </c>
      <c r="AS27" s="31" t="str">
        <f t="shared" si="9"/>
        <v/>
      </c>
      <c r="AT27" s="31" t="str">
        <f t="shared" si="10"/>
        <v/>
      </c>
      <c r="AU27" s="31" t="str">
        <f t="shared" si="11"/>
        <v/>
      </c>
      <c r="AV27" s="31" t="str">
        <f t="shared" si="21"/>
        <v/>
      </c>
      <c r="BF27" s="83"/>
      <c r="BG27" s="83"/>
    </row>
    <row r="28" spans="1:59" x14ac:dyDescent="0.35">
      <c r="A28" s="84"/>
      <c r="B28" s="53"/>
      <c r="C28" s="20"/>
      <c r="D28" s="20"/>
      <c r="E28" s="20"/>
      <c r="F28" s="84"/>
      <c r="G28" s="3"/>
      <c r="H28" s="57"/>
      <c r="I28" s="59"/>
      <c r="J28" s="20"/>
      <c r="K28" s="20"/>
      <c r="L28" s="3"/>
      <c r="M28" s="60"/>
      <c r="N28" s="53"/>
      <c r="O28" s="53"/>
      <c r="P28" s="53"/>
      <c r="Q28" s="53"/>
      <c r="R28" s="53"/>
      <c r="S28" s="53"/>
      <c r="T28" s="3"/>
      <c r="U28" s="31"/>
      <c r="V28" s="31"/>
      <c r="W28" s="31"/>
      <c r="X28" s="31"/>
      <c r="Y28" s="31"/>
      <c r="Z28" s="31"/>
      <c r="AA28" s="31"/>
      <c r="AB28" s="31"/>
      <c r="AC28" s="28"/>
      <c r="AD28" s="73"/>
      <c r="AE28" s="84"/>
      <c r="AF28" s="65"/>
      <c r="AG28" s="46"/>
      <c r="AH28" s="3"/>
      <c r="AI28" s="31" t="str">
        <f t="shared" si="0"/>
        <v/>
      </c>
      <c r="AJ28" s="31" t="str">
        <f t="shared" si="20"/>
        <v/>
      </c>
      <c r="AK28" s="31" t="str">
        <f t="shared" si="1"/>
        <v/>
      </c>
      <c r="AL28" s="31" t="str">
        <f t="shared" si="2"/>
        <v/>
      </c>
      <c r="AM28" s="31" t="str">
        <f t="shared" si="3"/>
        <v/>
      </c>
      <c r="AN28" s="31" t="str">
        <f t="shared" si="4"/>
        <v/>
      </c>
      <c r="AO28" s="31" t="str">
        <f t="shared" si="5"/>
        <v/>
      </c>
      <c r="AP28" s="31" t="str">
        <f t="shared" si="6"/>
        <v/>
      </c>
      <c r="AQ28" s="31" t="str">
        <f t="shared" si="7"/>
        <v/>
      </c>
      <c r="AR28" s="31" t="str">
        <f t="shared" si="8"/>
        <v/>
      </c>
      <c r="AS28" s="31" t="str">
        <f t="shared" si="9"/>
        <v/>
      </c>
      <c r="AT28" s="31" t="str">
        <f t="shared" si="10"/>
        <v/>
      </c>
      <c r="AU28" s="31" t="str">
        <f t="shared" si="11"/>
        <v/>
      </c>
      <c r="AV28" s="31" t="str">
        <f t="shared" si="21"/>
        <v/>
      </c>
      <c r="BF28" s="83"/>
      <c r="BG28" s="83"/>
    </row>
    <row r="29" spans="1:59" x14ac:dyDescent="0.35">
      <c r="A29" s="84"/>
      <c r="B29" s="53"/>
      <c r="C29" s="20"/>
      <c r="D29" s="20"/>
      <c r="E29" s="20"/>
      <c r="F29" s="84"/>
      <c r="G29" s="3"/>
      <c r="H29" s="57"/>
      <c r="I29" s="59"/>
      <c r="J29" s="20"/>
      <c r="K29" s="20"/>
      <c r="L29" s="3"/>
      <c r="M29" s="60"/>
      <c r="N29" s="53"/>
      <c r="O29" s="53"/>
      <c r="P29" s="53"/>
      <c r="Q29" s="53"/>
      <c r="R29" s="53"/>
      <c r="S29" s="53"/>
      <c r="T29" s="3"/>
      <c r="U29" s="31"/>
      <c r="V29" s="31"/>
      <c r="W29" s="31"/>
      <c r="X29" s="31"/>
      <c r="Y29" s="31"/>
      <c r="Z29" s="31"/>
      <c r="AA29" s="31"/>
      <c r="AB29" s="31"/>
      <c r="AC29" s="28"/>
      <c r="AD29" s="73"/>
      <c r="AE29" s="84"/>
      <c r="AF29" s="65"/>
      <c r="AG29" s="46"/>
      <c r="AH29" s="3"/>
      <c r="AI29" s="31" t="str">
        <f t="shared" si="0"/>
        <v/>
      </c>
      <c r="AJ29" s="31" t="str">
        <f t="shared" si="20"/>
        <v/>
      </c>
      <c r="AK29" s="31" t="str">
        <f t="shared" si="1"/>
        <v/>
      </c>
      <c r="AL29" s="31" t="str">
        <f t="shared" si="2"/>
        <v/>
      </c>
      <c r="AM29" s="31" t="str">
        <f t="shared" si="3"/>
        <v/>
      </c>
      <c r="AN29" s="31" t="str">
        <f t="shared" si="4"/>
        <v/>
      </c>
      <c r="AO29" s="31" t="str">
        <f t="shared" si="5"/>
        <v/>
      </c>
      <c r="AP29" s="31" t="str">
        <f t="shared" si="6"/>
        <v/>
      </c>
      <c r="AQ29" s="31" t="str">
        <f t="shared" si="7"/>
        <v/>
      </c>
      <c r="AR29" s="31" t="str">
        <f t="shared" si="8"/>
        <v/>
      </c>
      <c r="AS29" s="31" t="str">
        <f t="shared" si="9"/>
        <v/>
      </c>
      <c r="AT29" s="31" t="str">
        <f t="shared" si="10"/>
        <v/>
      </c>
      <c r="AU29" s="31" t="str">
        <f t="shared" si="11"/>
        <v/>
      </c>
      <c r="AV29" s="31" t="str">
        <f t="shared" si="21"/>
        <v/>
      </c>
      <c r="BF29" s="83"/>
      <c r="BG29" s="83"/>
    </row>
    <row r="30" spans="1:59" x14ac:dyDescent="0.35">
      <c r="A30" s="84"/>
      <c r="B30" s="53"/>
      <c r="C30" s="20"/>
      <c r="D30" s="20"/>
      <c r="E30" s="20"/>
      <c r="F30" s="84"/>
      <c r="G30" s="3"/>
      <c r="H30" s="57"/>
      <c r="I30" s="59"/>
      <c r="J30" s="20"/>
      <c r="K30" s="20"/>
      <c r="L30" s="3"/>
      <c r="M30" s="60"/>
      <c r="N30" s="53"/>
      <c r="O30" s="53"/>
      <c r="P30" s="53"/>
      <c r="Q30" s="53"/>
      <c r="R30" s="53"/>
      <c r="S30" s="53"/>
      <c r="T30" s="3"/>
      <c r="U30" s="31"/>
      <c r="V30" s="31"/>
      <c r="W30" s="31"/>
      <c r="X30" s="31"/>
      <c r="Y30" s="31"/>
      <c r="Z30" s="31"/>
      <c r="AA30" s="31"/>
      <c r="AB30" s="31"/>
      <c r="AC30" s="28"/>
      <c r="AD30" s="73"/>
      <c r="AE30" s="84"/>
      <c r="AF30" s="65"/>
      <c r="AG30" s="46"/>
      <c r="AH30" s="3"/>
      <c r="AI30" s="31" t="str">
        <f t="shared" si="0"/>
        <v/>
      </c>
      <c r="AJ30" s="31" t="str">
        <f t="shared" si="20"/>
        <v/>
      </c>
      <c r="AK30" s="31" t="str">
        <f t="shared" si="1"/>
        <v/>
      </c>
      <c r="AL30" s="31" t="str">
        <f t="shared" si="2"/>
        <v/>
      </c>
      <c r="AM30" s="31" t="str">
        <f t="shared" si="3"/>
        <v/>
      </c>
      <c r="AN30" s="31" t="str">
        <f t="shared" si="4"/>
        <v/>
      </c>
      <c r="AO30" s="31" t="str">
        <f t="shared" si="5"/>
        <v/>
      </c>
      <c r="AP30" s="31" t="str">
        <f t="shared" si="6"/>
        <v/>
      </c>
      <c r="AQ30" s="31" t="str">
        <f t="shared" si="7"/>
        <v/>
      </c>
      <c r="AR30" s="31" t="str">
        <f t="shared" si="8"/>
        <v/>
      </c>
      <c r="AS30" s="31" t="str">
        <f t="shared" si="9"/>
        <v/>
      </c>
      <c r="AT30" s="31" t="str">
        <f t="shared" si="10"/>
        <v/>
      </c>
      <c r="AU30" s="31" t="str">
        <f t="shared" si="11"/>
        <v/>
      </c>
      <c r="AV30" s="31" t="str">
        <f t="shared" si="21"/>
        <v/>
      </c>
      <c r="BF30" s="83"/>
      <c r="BG30" s="83"/>
    </row>
    <row r="31" spans="1:59" x14ac:dyDescent="0.35">
      <c r="A31" s="84"/>
      <c r="B31" s="53"/>
      <c r="C31" s="20"/>
      <c r="D31" s="20"/>
      <c r="E31" s="20"/>
      <c r="F31" s="84"/>
      <c r="G31" s="3"/>
      <c r="H31" s="57"/>
      <c r="I31" s="59"/>
      <c r="J31" s="20"/>
      <c r="K31" s="20"/>
      <c r="L31" s="3"/>
      <c r="M31" s="60"/>
      <c r="N31" s="53"/>
      <c r="O31" s="53"/>
      <c r="P31" s="53"/>
      <c r="Q31" s="53"/>
      <c r="R31" s="53"/>
      <c r="S31" s="53"/>
      <c r="T31" s="3"/>
      <c r="U31" s="31"/>
      <c r="V31" s="31"/>
      <c r="W31" s="31"/>
      <c r="X31" s="31"/>
      <c r="Y31" s="31"/>
      <c r="Z31" s="31"/>
      <c r="AA31" s="31"/>
      <c r="AB31" s="31"/>
      <c r="AC31" s="28"/>
      <c r="AD31" s="73"/>
      <c r="AE31" s="84"/>
      <c r="AF31" s="65"/>
      <c r="AG31" s="46"/>
      <c r="AH31" s="3"/>
      <c r="AI31" s="31" t="str">
        <f t="shared" si="0"/>
        <v/>
      </c>
      <c r="AJ31" s="31" t="str">
        <f t="shared" si="20"/>
        <v/>
      </c>
      <c r="AK31" s="31" t="str">
        <f t="shared" si="1"/>
        <v/>
      </c>
      <c r="AL31" s="31" t="str">
        <f t="shared" si="2"/>
        <v/>
      </c>
      <c r="AM31" s="31" t="str">
        <f t="shared" si="3"/>
        <v/>
      </c>
      <c r="AN31" s="31" t="str">
        <f t="shared" si="4"/>
        <v/>
      </c>
      <c r="AO31" s="31" t="str">
        <f t="shared" si="5"/>
        <v/>
      </c>
      <c r="AP31" s="31" t="str">
        <f t="shared" si="6"/>
        <v/>
      </c>
      <c r="AQ31" s="31" t="str">
        <f t="shared" si="7"/>
        <v/>
      </c>
      <c r="AR31" s="31" t="str">
        <f t="shared" si="8"/>
        <v/>
      </c>
      <c r="AS31" s="31" t="str">
        <f t="shared" si="9"/>
        <v/>
      </c>
      <c r="AT31" s="31" t="str">
        <f t="shared" si="10"/>
        <v/>
      </c>
      <c r="AU31" s="31" t="str">
        <f t="shared" si="11"/>
        <v/>
      </c>
      <c r="AV31" s="31" t="str">
        <f t="shared" si="21"/>
        <v/>
      </c>
      <c r="BF31" s="83"/>
      <c r="BG31" s="83"/>
    </row>
    <row r="32" spans="1:59" x14ac:dyDescent="0.35">
      <c r="A32" s="84"/>
      <c r="B32" s="53"/>
      <c r="C32" s="20"/>
      <c r="D32" s="20"/>
      <c r="E32" s="20"/>
      <c r="F32" s="84"/>
      <c r="G32" s="3"/>
      <c r="H32" s="57"/>
      <c r="I32" s="59"/>
      <c r="J32" s="20"/>
      <c r="K32" s="20"/>
      <c r="L32" s="3"/>
      <c r="M32" s="60"/>
      <c r="N32" s="53"/>
      <c r="O32" s="53"/>
      <c r="P32" s="53"/>
      <c r="Q32" s="53"/>
      <c r="R32" s="53"/>
      <c r="S32" s="53"/>
      <c r="T32" s="3"/>
      <c r="U32" s="31"/>
      <c r="V32" s="31"/>
      <c r="W32" s="31"/>
      <c r="X32" s="31"/>
      <c r="Y32" s="31"/>
      <c r="Z32" s="31"/>
      <c r="AA32" s="31"/>
      <c r="AB32" s="31"/>
      <c r="AC32" s="28"/>
      <c r="AD32" s="73"/>
      <c r="AE32" s="84"/>
      <c r="AF32" s="65"/>
      <c r="AG32" s="46"/>
      <c r="AH32" s="3"/>
      <c r="AI32" s="31" t="str">
        <f t="shared" si="0"/>
        <v/>
      </c>
      <c r="AJ32" s="31" t="str">
        <f t="shared" si="20"/>
        <v/>
      </c>
      <c r="AK32" s="31" t="str">
        <f t="shared" si="1"/>
        <v/>
      </c>
      <c r="AL32" s="31" t="str">
        <f t="shared" si="2"/>
        <v/>
      </c>
      <c r="AM32" s="31" t="str">
        <f t="shared" si="3"/>
        <v/>
      </c>
      <c r="AN32" s="31" t="str">
        <f t="shared" si="4"/>
        <v/>
      </c>
      <c r="AO32" s="31" t="str">
        <f t="shared" si="5"/>
        <v/>
      </c>
      <c r="AP32" s="31" t="str">
        <f t="shared" si="6"/>
        <v/>
      </c>
      <c r="AQ32" s="31" t="str">
        <f t="shared" si="7"/>
        <v/>
      </c>
      <c r="AR32" s="31" t="str">
        <f t="shared" si="8"/>
        <v/>
      </c>
      <c r="AS32" s="31" t="str">
        <f t="shared" si="9"/>
        <v/>
      </c>
      <c r="AT32" s="31" t="str">
        <f t="shared" si="10"/>
        <v/>
      </c>
      <c r="AU32" s="31" t="str">
        <f t="shared" si="11"/>
        <v/>
      </c>
      <c r="AV32" s="31" t="str">
        <f t="shared" si="21"/>
        <v/>
      </c>
      <c r="BF32" s="83"/>
      <c r="BG32" s="83"/>
    </row>
    <row r="33" spans="1:59" x14ac:dyDescent="0.35">
      <c r="A33" s="84"/>
      <c r="B33" s="53"/>
      <c r="C33" s="20"/>
      <c r="D33" s="20"/>
      <c r="E33" s="20"/>
      <c r="F33" s="84"/>
      <c r="G33" s="3"/>
      <c r="H33" s="57"/>
      <c r="I33" s="59"/>
      <c r="J33" s="20"/>
      <c r="K33" s="20"/>
      <c r="L33" s="31"/>
      <c r="M33" s="60"/>
      <c r="N33" s="2"/>
      <c r="O33" s="2"/>
      <c r="P33" s="2"/>
      <c r="Q33" s="2"/>
      <c r="R33" s="2"/>
      <c r="S33" s="2"/>
      <c r="T33" s="31"/>
      <c r="U33" s="31"/>
      <c r="V33" s="31"/>
      <c r="W33" s="31"/>
      <c r="X33" s="31"/>
      <c r="Y33" s="31"/>
      <c r="Z33" s="31"/>
      <c r="AA33" s="31"/>
      <c r="AB33" s="31"/>
      <c r="AC33" s="28"/>
      <c r="AD33" s="73"/>
      <c r="AE33" s="84"/>
      <c r="AF33" s="65"/>
      <c r="AG33" s="46"/>
      <c r="AH33" s="31"/>
      <c r="AI33" s="31" t="str">
        <f t="shared" si="0"/>
        <v/>
      </c>
      <c r="AJ33" s="31" t="str">
        <f t="shared" si="20"/>
        <v/>
      </c>
      <c r="AK33" s="31" t="str">
        <f t="shared" si="1"/>
        <v/>
      </c>
      <c r="AL33" s="31" t="str">
        <f t="shared" si="2"/>
        <v/>
      </c>
      <c r="AM33" s="31" t="str">
        <f t="shared" si="3"/>
        <v/>
      </c>
      <c r="AN33" s="31" t="str">
        <f t="shared" si="4"/>
        <v/>
      </c>
      <c r="AO33" s="31" t="str">
        <f t="shared" si="5"/>
        <v/>
      </c>
      <c r="AP33" s="31" t="str">
        <f t="shared" si="6"/>
        <v/>
      </c>
      <c r="AQ33" s="31" t="str">
        <f t="shared" si="7"/>
        <v/>
      </c>
      <c r="AR33" s="31" t="str">
        <f t="shared" si="8"/>
        <v/>
      </c>
      <c r="AS33" s="31" t="str">
        <f t="shared" si="9"/>
        <v/>
      </c>
      <c r="AT33" s="31" t="str">
        <f t="shared" si="10"/>
        <v/>
      </c>
      <c r="AU33" s="31" t="str">
        <f t="shared" si="11"/>
        <v/>
      </c>
      <c r="AV33" s="31" t="str">
        <f t="shared" si="21"/>
        <v/>
      </c>
    </row>
    <row r="34" spans="1:59" x14ac:dyDescent="0.35">
      <c r="A34" s="84"/>
      <c r="B34" s="53"/>
      <c r="C34" s="20"/>
      <c r="D34" s="20"/>
      <c r="E34" s="20"/>
      <c r="F34" s="84"/>
      <c r="G34" s="3"/>
      <c r="H34" s="57"/>
      <c r="I34" s="59"/>
      <c r="J34" s="20"/>
      <c r="K34" s="20"/>
      <c r="L34" s="31"/>
      <c r="M34" s="60"/>
      <c r="N34" s="2"/>
      <c r="O34" s="2"/>
      <c r="P34" s="2"/>
      <c r="Q34" s="2"/>
      <c r="R34" s="2"/>
      <c r="S34" s="2"/>
      <c r="T34" s="31"/>
      <c r="U34" s="31"/>
      <c r="V34" s="31"/>
      <c r="W34" s="31"/>
      <c r="X34" s="31"/>
      <c r="Y34" s="31"/>
      <c r="Z34" s="31"/>
      <c r="AA34" s="31"/>
      <c r="AB34" s="31"/>
      <c r="AC34" s="28"/>
      <c r="AD34" s="73"/>
      <c r="AE34" s="84"/>
      <c r="AF34" s="65"/>
      <c r="AG34" s="46"/>
      <c r="AH34" s="31"/>
      <c r="AI34" s="31" t="str">
        <f t="shared" si="0"/>
        <v/>
      </c>
      <c r="AJ34" s="31" t="str">
        <f t="shared" si="20"/>
        <v/>
      </c>
      <c r="AK34" s="31" t="str">
        <f t="shared" si="1"/>
        <v/>
      </c>
      <c r="AL34" s="31" t="str">
        <f t="shared" si="2"/>
        <v/>
      </c>
      <c r="AM34" s="31" t="str">
        <f t="shared" si="3"/>
        <v/>
      </c>
      <c r="AN34" s="31" t="str">
        <f t="shared" si="4"/>
        <v/>
      </c>
      <c r="AO34" s="31" t="str">
        <f t="shared" si="5"/>
        <v/>
      </c>
      <c r="AP34" s="31" t="str">
        <f t="shared" si="6"/>
        <v/>
      </c>
      <c r="AQ34" s="31" t="str">
        <f t="shared" si="7"/>
        <v/>
      </c>
      <c r="AR34" s="31" t="str">
        <f t="shared" si="8"/>
        <v/>
      </c>
      <c r="AS34" s="31" t="str">
        <f t="shared" si="9"/>
        <v/>
      </c>
      <c r="AT34" s="31" t="str">
        <f t="shared" si="10"/>
        <v/>
      </c>
      <c r="AU34" s="31" t="str">
        <f t="shared" si="11"/>
        <v/>
      </c>
      <c r="AV34" s="31" t="str">
        <f t="shared" si="21"/>
        <v/>
      </c>
    </row>
    <row r="35" spans="1:59" x14ac:dyDescent="0.35">
      <c r="A35" s="84"/>
      <c r="B35" s="53"/>
      <c r="C35" s="20"/>
      <c r="D35" s="20"/>
      <c r="E35" s="20"/>
      <c r="F35" s="84"/>
      <c r="G35" s="3"/>
      <c r="H35" s="57"/>
      <c r="I35" s="59"/>
      <c r="J35" s="1"/>
      <c r="K35" s="20"/>
      <c r="L35" s="31"/>
      <c r="M35" s="60"/>
      <c r="N35" s="2"/>
      <c r="O35" s="2"/>
      <c r="P35" s="2"/>
      <c r="Q35" s="2"/>
      <c r="R35" s="2"/>
      <c r="S35" s="2"/>
      <c r="T35" s="31"/>
      <c r="U35" s="31"/>
      <c r="V35" s="31"/>
      <c r="W35" s="31"/>
      <c r="X35" s="31"/>
      <c r="Y35" s="31"/>
      <c r="Z35" s="31"/>
      <c r="AA35" s="31"/>
      <c r="AB35" s="31"/>
      <c r="AC35" s="28"/>
      <c r="AD35" s="73"/>
      <c r="AE35" s="84"/>
      <c r="AF35" s="65"/>
      <c r="AG35" s="46"/>
      <c r="AH35" s="31"/>
      <c r="AI35" s="31" t="str">
        <f t="shared" ref="AI35:AI66" si="23">IF(AND($I35="W", $J35="TWA", $K35="PBZ",$T35&lt;&gt;"", $AF35&lt;&gt;"ND"), $T35*($M35/480),"")</f>
        <v/>
      </c>
      <c r="AJ35" s="31" t="str">
        <f t="shared" si="20"/>
        <v/>
      </c>
      <c r="AK35" s="31" t="str">
        <f t="shared" ref="AK35:AK66" si="24">IF(AND($I35="W", $J35="12-hr", $K35="PBZ",$T35&lt;&gt;"", $AF35&lt;&gt;"ND"), $T35, "")</f>
        <v/>
      </c>
      <c r="AL35" s="31" t="str">
        <f t="shared" si="2"/>
        <v/>
      </c>
      <c r="AM35" s="31" t="str">
        <f t="shared" ref="AM35:AM66" si="25">IF(AND($I35="W", $J35="15-min", $K35="PBZ",$T35&lt;&gt;"", $AF35&lt;&gt;"ND"), $T35, "")</f>
        <v/>
      </c>
      <c r="AN35" s="31" t="str">
        <f t="shared" si="4"/>
        <v/>
      </c>
      <c r="AO35" s="31" t="str">
        <f t="shared" ref="AO35:AO66" si="26">IF(AND($I35="W", $J35="short-term", $K35="PBZ",$T35&lt;&gt;"", $AF35&lt;&gt;"ND"), $T35, "")</f>
        <v/>
      </c>
      <c r="AP35" s="31" t="str">
        <f t="shared" si="6"/>
        <v/>
      </c>
      <c r="AQ35" s="31" t="str">
        <f t="shared" ref="AQ35:AQ66" si="27">IF(AND($I35="ONU", $J35="TWA", $K35="PBZ",$T35&lt;&gt;"", $AF35&lt;&gt;"ND"), $T35*($M35/480), "")</f>
        <v/>
      </c>
      <c r="AR35" s="31" t="str">
        <f t="shared" si="8"/>
        <v/>
      </c>
      <c r="AS35" s="31" t="str">
        <f t="shared" ref="AS35:AS66" si="28">IF(AND($I35="ONU", $J35="12-hr", $K35="PBZ",$T35&lt;&gt;"", $AF35&lt;&gt;"ND"), $T35, "")</f>
        <v/>
      </c>
      <c r="AT35" s="31" t="str">
        <f t="shared" si="10"/>
        <v/>
      </c>
      <c r="AU35" s="31" t="str">
        <f t="shared" si="11"/>
        <v/>
      </c>
      <c r="AV35" s="31" t="str">
        <f t="shared" si="21"/>
        <v/>
      </c>
    </row>
    <row r="36" spans="1:59" x14ac:dyDescent="0.35">
      <c r="A36" s="84"/>
      <c r="B36" s="53"/>
      <c r="C36" s="20"/>
      <c r="D36" s="20"/>
      <c r="E36" s="20"/>
      <c r="F36" s="84"/>
      <c r="G36" s="3"/>
      <c r="H36" s="57"/>
      <c r="I36" s="59"/>
      <c r="J36" s="1"/>
      <c r="K36" s="20"/>
      <c r="L36" s="31"/>
      <c r="M36" s="60"/>
      <c r="N36" s="2"/>
      <c r="O36" s="2"/>
      <c r="P36" s="2"/>
      <c r="Q36" s="2"/>
      <c r="R36" s="2"/>
      <c r="S36" s="2"/>
      <c r="T36" s="31"/>
      <c r="U36" s="31"/>
      <c r="V36" s="31"/>
      <c r="W36" s="31"/>
      <c r="X36" s="31"/>
      <c r="Y36" s="31"/>
      <c r="Z36" s="31"/>
      <c r="AA36" s="31"/>
      <c r="AB36" s="31"/>
      <c r="AC36" s="28"/>
      <c r="AD36" s="73"/>
      <c r="AE36" s="84"/>
      <c r="AF36" s="65"/>
      <c r="AG36" s="46"/>
      <c r="AH36" s="31"/>
      <c r="AI36" s="31" t="str">
        <f t="shared" si="23"/>
        <v/>
      </c>
      <c r="AJ36" s="31" t="str">
        <f t="shared" si="20"/>
        <v/>
      </c>
      <c r="AK36" s="31" t="str">
        <f t="shared" si="24"/>
        <v/>
      </c>
      <c r="AL36" s="31" t="str">
        <f t="shared" si="2"/>
        <v/>
      </c>
      <c r="AM36" s="31" t="str">
        <f t="shared" si="25"/>
        <v/>
      </c>
      <c r="AN36" s="31" t="str">
        <f t="shared" si="4"/>
        <v/>
      </c>
      <c r="AO36" s="31" t="str">
        <f t="shared" si="26"/>
        <v/>
      </c>
      <c r="AP36" s="31" t="str">
        <f t="shared" si="6"/>
        <v/>
      </c>
      <c r="AQ36" s="31" t="str">
        <f t="shared" si="27"/>
        <v/>
      </c>
      <c r="AR36" s="31" t="str">
        <f t="shared" si="8"/>
        <v/>
      </c>
      <c r="AS36" s="31" t="str">
        <f t="shared" si="28"/>
        <v/>
      </c>
      <c r="AT36" s="31" t="str">
        <f t="shared" si="10"/>
        <v/>
      </c>
      <c r="AU36" s="31" t="str">
        <f t="shared" si="11"/>
        <v/>
      </c>
      <c r="AV36" s="31" t="str">
        <f t="shared" si="21"/>
        <v/>
      </c>
    </row>
    <row r="37" spans="1:59" x14ac:dyDescent="0.35">
      <c r="A37" s="84"/>
      <c r="B37" s="53"/>
      <c r="C37" s="20"/>
      <c r="D37" s="20"/>
      <c r="E37" s="20"/>
      <c r="F37" s="84"/>
      <c r="G37" s="3"/>
      <c r="H37" s="57"/>
      <c r="I37" s="59"/>
      <c r="J37" s="1"/>
      <c r="K37" s="20"/>
      <c r="L37" s="31"/>
      <c r="M37" s="60"/>
      <c r="N37" s="2"/>
      <c r="O37" s="2"/>
      <c r="P37" s="2"/>
      <c r="Q37" s="2"/>
      <c r="R37" s="2"/>
      <c r="S37" s="2"/>
      <c r="T37" s="31"/>
      <c r="U37" s="31"/>
      <c r="V37" s="31"/>
      <c r="W37" s="31"/>
      <c r="X37" s="31"/>
      <c r="Y37" s="31"/>
      <c r="Z37" s="31"/>
      <c r="AA37" s="31"/>
      <c r="AB37" s="31"/>
      <c r="AC37" s="28"/>
      <c r="AD37" s="73"/>
      <c r="AE37" s="11"/>
      <c r="AF37" s="65"/>
      <c r="AG37" s="46"/>
      <c r="AH37" s="31"/>
      <c r="AI37" s="31" t="str">
        <f t="shared" si="23"/>
        <v/>
      </c>
      <c r="AJ37" s="31" t="str">
        <f t="shared" si="20"/>
        <v/>
      </c>
      <c r="AK37" s="31" t="str">
        <f t="shared" si="24"/>
        <v/>
      </c>
      <c r="AL37" s="31" t="str">
        <f t="shared" si="2"/>
        <v/>
      </c>
      <c r="AM37" s="31" t="str">
        <f t="shared" si="25"/>
        <v/>
      </c>
      <c r="AN37" s="31" t="str">
        <f t="shared" si="4"/>
        <v/>
      </c>
      <c r="AO37" s="31" t="str">
        <f t="shared" si="26"/>
        <v/>
      </c>
      <c r="AP37" s="31" t="str">
        <f t="shared" si="6"/>
        <v/>
      </c>
      <c r="AQ37" s="31" t="str">
        <f t="shared" si="27"/>
        <v/>
      </c>
      <c r="AR37" s="31" t="str">
        <f t="shared" si="8"/>
        <v/>
      </c>
      <c r="AS37" s="31" t="str">
        <f t="shared" si="28"/>
        <v/>
      </c>
      <c r="AT37" s="31" t="str">
        <f t="shared" si="10"/>
        <v/>
      </c>
      <c r="AU37" s="31" t="str">
        <f t="shared" si="11"/>
        <v/>
      </c>
      <c r="AV37" s="31" t="str">
        <f t="shared" si="21"/>
        <v/>
      </c>
    </row>
    <row r="38" spans="1:59" x14ac:dyDescent="0.35">
      <c r="A38" s="84"/>
      <c r="B38" s="53"/>
      <c r="C38" s="20"/>
      <c r="D38" s="20"/>
      <c r="E38" s="20"/>
      <c r="F38" s="84"/>
      <c r="G38" s="3"/>
      <c r="H38" s="57"/>
      <c r="I38" s="59"/>
      <c r="J38" s="1"/>
      <c r="K38" s="20"/>
      <c r="L38" s="31"/>
      <c r="M38" s="57"/>
      <c r="N38" s="2"/>
      <c r="O38" s="2"/>
      <c r="P38" s="2"/>
      <c r="Q38" s="2"/>
      <c r="R38" s="2"/>
      <c r="S38" s="2"/>
      <c r="T38" s="31"/>
      <c r="U38" s="31"/>
      <c r="V38" s="31"/>
      <c r="W38" s="31"/>
      <c r="X38" s="31"/>
      <c r="Y38" s="31"/>
      <c r="Z38" s="31"/>
      <c r="AA38" s="31"/>
      <c r="AB38" s="31"/>
      <c r="AC38" s="28"/>
      <c r="AD38" s="73"/>
      <c r="AE38" s="11"/>
      <c r="AF38" s="65"/>
      <c r="AG38" s="46"/>
      <c r="AH38" s="31"/>
      <c r="AI38" s="31" t="str">
        <f t="shared" si="23"/>
        <v/>
      </c>
      <c r="AJ38" s="31" t="str">
        <f t="shared" si="20"/>
        <v/>
      </c>
      <c r="AK38" s="31" t="str">
        <f t="shared" si="24"/>
        <v/>
      </c>
      <c r="AL38" s="31" t="str">
        <f t="shared" si="2"/>
        <v/>
      </c>
      <c r="AM38" s="31" t="str">
        <f t="shared" si="25"/>
        <v/>
      </c>
      <c r="AN38" s="31" t="str">
        <f t="shared" si="4"/>
        <v/>
      </c>
      <c r="AO38" s="31" t="str">
        <f t="shared" si="26"/>
        <v/>
      </c>
      <c r="AP38" s="31" t="str">
        <f t="shared" si="6"/>
        <v/>
      </c>
      <c r="AQ38" s="31" t="str">
        <f t="shared" si="27"/>
        <v/>
      </c>
      <c r="AR38" s="31" t="str">
        <f t="shared" si="8"/>
        <v/>
      </c>
      <c r="AS38" s="31" t="str">
        <f t="shared" si="28"/>
        <v/>
      </c>
      <c r="AT38" s="31" t="str">
        <f t="shared" si="10"/>
        <v/>
      </c>
      <c r="AU38" s="31" t="str">
        <f t="shared" si="11"/>
        <v/>
      </c>
      <c r="AV38" s="31" t="str">
        <f t="shared" si="21"/>
        <v/>
      </c>
    </row>
    <row r="39" spans="1:59" x14ac:dyDescent="0.35">
      <c r="A39" s="84"/>
      <c r="B39" s="53"/>
      <c r="C39" s="20"/>
      <c r="D39" s="20"/>
      <c r="E39" s="20"/>
      <c r="F39" s="84"/>
      <c r="G39" s="3"/>
      <c r="H39" s="57"/>
      <c r="I39" s="59"/>
      <c r="J39" s="1"/>
      <c r="K39" s="20"/>
      <c r="L39" s="31"/>
      <c r="M39" s="57"/>
      <c r="N39" s="2"/>
      <c r="O39" s="2"/>
      <c r="P39" s="2"/>
      <c r="Q39" s="2"/>
      <c r="R39" s="2"/>
      <c r="S39" s="2"/>
      <c r="T39" s="31"/>
      <c r="U39" s="31"/>
      <c r="V39" s="31"/>
      <c r="W39" s="31"/>
      <c r="X39" s="31"/>
      <c r="Y39" s="31"/>
      <c r="Z39" s="31"/>
      <c r="AA39" s="31"/>
      <c r="AB39" s="31"/>
      <c r="AC39" s="28"/>
      <c r="AD39" s="73"/>
      <c r="AE39" s="11"/>
      <c r="AF39" s="65"/>
      <c r="AG39" s="46"/>
      <c r="AH39" s="31"/>
      <c r="AI39" s="31" t="str">
        <f t="shared" si="23"/>
        <v/>
      </c>
      <c r="AJ39" s="31" t="str">
        <f t="shared" si="20"/>
        <v/>
      </c>
      <c r="AK39" s="31" t="str">
        <f t="shared" si="24"/>
        <v/>
      </c>
      <c r="AL39" s="31" t="str">
        <f t="shared" si="2"/>
        <v/>
      </c>
      <c r="AM39" s="31" t="str">
        <f t="shared" si="25"/>
        <v/>
      </c>
      <c r="AN39" s="31" t="str">
        <f t="shared" si="4"/>
        <v/>
      </c>
      <c r="AO39" s="31" t="str">
        <f t="shared" si="26"/>
        <v/>
      </c>
      <c r="AP39" s="31" t="str">
        <f t="shared" si="6"/>
        <v/>
      </c>
      <c r="AQ39" s="31" t="str">
        <f t="shared" si="27"/>
        <v/>
      </c>
      <c r="AR39" s="31" t="str">
        <f t="shared" si="8"/>
        <v/>
      </c>
      <c r="AS39" s="31" t="str">
        <f t="shared" si="28"/>
        <v/>
      </c>
      <c r="AT39" s="31" t="str">
        <f t="shared" si="10"/>
        <v/>
      </c>
      <c r="AU39" s="31" t="str">
        <f t="shared" si="11"/>
        <v/>
      </c>
      <c r="AV39" s="31" t="str">
        <f t="shared" si="21"/>
        <v/>
      </c>
    </row>
    <row r="40" spans="1:59" x14ac:dyDescent="0.35">
      <c r="A40" s="84"/>
      <c r="B40" s="53"/>
      <c r="C40" s="20"/>
      <c r="D40" s="20"/>
      <c r="E40" s="20"/>
      <c r="F40" s="84"/>
      <c r="G40" s="3"/>
      <c r="H40" s="57"/>
      <c r="I40" s="59"/>
      <c r="J40" s="1"/>
      <c r="K40" s="20"/>
      <c r="L40" s="31"/>
      <c r="M40" s="57"/>
      <c r="N40" s="2"/>
      <c r="O40" s="2"/>
      <c r="P40" s="2"/>
      <c r="Q40" s="2"/>
      <c r="R40" s="2"/>
      <c r="S40" s="2"/>
      <c r="T40" s="31"/>
      <c r="U40" s="31"/>
      <c r="V40" s="31"/>
      <c r="W40" s="31"/>
      <c r="X40" s="31"/>
      <c r="Y40" s="31"/>
      <c r="Z40" s="31"/>
      <c r="AA40" s="31"/>
      <c r="AB40" s="31"/>
      <c r="AC40" s="28"/>
      <c r="AD40" s="73"/>
      <c r="AE40" s="11"/>
      <c r="AF40" s="65"/>
      <c r="AG40" s="46"/>
      <c r="AH40" s="31"/>
      <c r="AI40" s="31" t="str">
        <f t="shared" si="23"/>
        <v/>
      </c>
      <c r="AJ40" s="31" t="str">
        <f t="shared" si="20"/>
        <v/>
      </c>
      <c r="AK40" s="31" t="str">
        <f t="shared" si="24"/>
        <v/>
      </c>
      <c r="AL40" s="31" t="str">
        <f t="shared" si="2"/>
        <v/>
      </c>
      <c r="AM40" s="31" t="str">
        <f t="shared" si="25"/>
        <v/>
      </c>
      <c r="AN40" s="31" t="str">
        <f t="shared" si="4"/>
        <v/>
      </c>
      <c r="AO40" s="31" t="str">
        <f t="shared" si="26"/>
        <v/>
      </c>
      <c r="AP40" s="31" t="str">
        <f t="shared" si="6"/>
        <v/>
      </c>
      <c r="AQ40" s="31" t="str">
        <f t="shared" si="27"/>
        <v/>
      </c>
      <c r="AR40" s="31" t="str">
        <f t="shared" si="8"/>
        <v/>
      </c>
      <c r="AS40" s="31" t="str">
        <f t="shared" si="28"/>
        <v/>
      </c>
      <c r="AT40" s="31" t="str">
        <f t="shared" si="10"/>
        <v/>
      </c>
      <c r="AU40" s="31" t="str">
        <f t="shared" si="11"/>
        <v/>
      </c>
      <c r="AV40" s="31" t="str">
        <f t="shared" si="21"/>
        <v/>
      </c>
    </row>
    <row r="41" spans="1:59" x14ac:dyDescent="0.35">
      <c r="A41" s="84"/>
      <c r="B41" s="53"/>
      <c r="C41" s="20"/>
      <c r="D41" s="20"/>
      <c r="E41" s="20"/>
      <c r="F41" s="84"/>
      <c r="G41" s="3"/>
      <c r="H41" s="57"/>
      <c r="I41" s="59"/>
      <c r="J41" s="1"/>
      <c r="K41" s="20"/>
      <c r="L41" s="31"/>
      <c r="M41" s="57"/>
      <c r="N41" s="2"/>
      <c r="O41" s="2"/>
      <c r="P41" s="2"/>
      <c r="Q41" s="2"/>
      <c r="R41" s="2"/>
      <c r="S41" s="2"/>
      <c r="T41" s="31"/>
      <c r="U41" s="31"/>
      <c r="V41" s="31"/>
      <c r="W41" s="31"/>
      <c r="X41" s="31"/>
      <c r="Y41" s="31"/>
      <c r="Z41" s="31"/>
      <c r="AA41" s="31"/>
      <c r="AB41" s="31"/>
      <c r="AC41" s="28"/>
      <c r="AD41" s="73"/>
      <c r="AE41" s="11"/>
      <c r="AF41" s="65"/>
      <c r="AG41" s="46"/>
      <c r="AH41" s="31"/>
      <c r="AI41" s="31" t="str">
        <f t="shared" si="23"/>
        <v/>
      </c>
      <c r="AJ41" s="31" t="str">
        <f t="shared" si="20"/>
        <v/>
      </c>
      <c r="AK41" s="31" t="str">
        <f t="shared" si="24"/>
        <v/>
      </c>
      <c r="AL41" s="31" t="str">
        <f t="shared" si="2"/>
        <v/>
      </c>
      <c r="AM41" s="31" t="str">
        <f t="shared" si="25"/>
        <v/>
      </c>
      <c r="AN41" s="31" t="str">
        <f t="shared" si="4"/>
        <v/>
      </c>
      <c r="AO41" s="31" t="str">
        <f t="shared" si="26"/>
        <v/>
      </c>
      <c r="AP41" s="31" t="str">
        <f t="shared" si="6"/>
        <v/>
      </c>
      <c r="AQ41" s="31" t="str">
        <f t="shared" si="27"/>
        <v/>
      </c>
      <c r="AR41" s="31" t="str">
        <f t="shared" si="8"/>
        <v/>
      </c>
      <c r="AS41" s="31" t="str">
        <f t="shared" si="28"/>
        <v/>
      </c>
      <c r="AT41" s="31" t="str">
        <f t="shared" si="10"/>
        <v/>
      </c>
      <c r="AU41" s="31" t="str">
        <f t="shared" si="11"/>
        <v/>
      </c>
      <c r="AV41" s="31" t="str">
        <f t="shared" si="21"/>
        <v/>
      </c>
    </row>
    <row r="42" spans="1:59" x14ac:dyDescent="0.35">
      <c r="A42" s="84"/>
      <c r="B42" s="53"/>
      <c r="C42" s="20"/>
      <c r="D42" s="20"/>
      <c r="E42" s="20"/>
      <c r="F42" s="84"/>
      <c r="G42" s="3"/>
      <c r="H42" s="57"/>
      <c r="I42" s="59"/>
      <c r="J42" s="1"/>
      <c r="K42" s="20"/>
      <c r="L42" s="31"/>
      <c r="M42" s="57"/>
      <c r="N42" s="2"/>
      <c r="O42" s="2"/>
      <c r="P42" s="2"/>
      <c r="Q42" s="2"/>
      <c r="R42" s="2"/>
      <c r="S42" s="2"/>
      <c r="T42" s="31"/>
      <c r="U42" s="31"/>
      <c r="V42" s="31"/>
      <c r="W42" s="31"/>
      <c r="X42" s="31"/>
      <c r="Y42" s="31"/>
      <c r="Z42" s="31"/>
      <c r="AA42" s="31"/>
      <c r="AB42" s="31"/>
      <c r="AC42" s="28"/>
      <c r="AD42" s="73"/>
      <c r="AE42" s="11"/>
      <c r="AF42" s="65"/>
      <c r="AG42" s="46"/>
      <c r="AH42" s="31"/>
      <c r="AI42" s="31" t="str">
        <f t="shared" si="23"/>
        <v/>
      </c>
      <c r="AJ42" s="31" t="str">
        <f t="shared" si="20"/>
        <v/>
      </c>
      <c r="AK42" s="31" t="str">
        <f t="shared" si="24"/>
        <v/>
      </c>
      <c r="AL42" s="31" t="str">
        <f t="shared" si="2"/>
        <v/>
      </c>
      <c r="AM42" s="31" t="str">
        <f t="shared" si="25"/>
        <v/>
      </c>
      <c r="AN42" s="31" t="str">
        <f t="shared" si="4"/>
        <v/>
      </c>
      <c r="AO42" s="31" t="str">
        <f t="shared" si="26"/>
        <v/>
      </c>
      <c r="AP42" s="31" t="str">
        <f t="shared" si="6"/>
        <v/>
      </c>
      <c r="AQ42" s="31" t="str">
        <f t="shared" si="27"/>
        <v/>
      </c>
      <c r="AR42" s="31" t="str">
        <f t="shared" si="8"/>
        <v/>
      </c>
      <c r="AS42" s="31" t="str">
        <f t="shared" si="28"/>
        <v/>
      </c>
      <c r="AT42" s="31" t="str">
        <f t="shared" si="10"/>
        <v/>
      </c>
      <c r="AU42" s="31" t="str">
        <f t="shared" si="11"/>
        <v/>
      </c>
      <c r="AV42" s="31" t="str">
        <f t="shared" si="21"/>
        <v/>
      </c>
    </row>
    <row r="43" spans="1:59" customFormat="1" ht="245.25" customHeight="1" x14ac:dyDescent="0.35">
      <c r="A43" s="84"/>
      <c r="B43" s="53"/>
      <c r="C43" s="20"/>
      <c r="D43" s="20"/>
      <c r="E43" s="20"/>
      <c r="F43" s="55"/>
      <c r="G43" s="3"/>
      <c r="H43" s="56"/>
      <c r="I43" s="58"/>
      <c r="J43" s="1"/>
      <c r="K43" s="20"/>
      <c r="L43" s="31"/>
      <c r="M43" s="56"/>
      <c r="N43" s="2"/>
      <c r="O43" s="2"/>
      <c r="P43" s="2"/>
      <c r="Q43" s="2"/>
      <c r="R43" s="2"/>
      <c r="S43" s="2"/>
      <c r="T43" s="31"/>
      <c r="U43" s="31"/>
      <c r="V43" s="31"/>
      <c r="W43" s="31"/>
      <c r="X43" s="31"/>
      <c r="Y43" s="31"/>
      <c r="Z43" s="31"/>
      <c r="AA43" s="31"/>
      <c r="AB43" s="31"/>
      <c r="AC43" s="28"/>
      <c r="AD43" s="76"/>
      <c r="AE43" s="44"/>
      <c r="AF43" s="78"/>
      <c r="AG43" s="46"/>
      <c r="AH43" s="31"/>
      <c r="AI43" s="31" t="str">
        <f t="shared" si="23"/>
        <v/>
      </c>
      <c r="AJ43" s="31" t="str">
        <f t="shared" si="20"/>
        <v/>
      </c>
      <c r="AK43" s="31" t="str">
        <f t="shared" si="24"/>
        <v/>
      </c>
      <c r="AL43" s="31" t="str">
        <f t="shared" si="2"/>
        <v/>
      </c>
      <c r="AM43" s="31" t="str">
        <f t="shared" si="25"/>
        <v/>
      </c>
      <c r="AN43" s="31" t="str">
        <f t="shared" si="4"/>
        <v/>
      </c>
      <c r="AO43" s="31" t="str">
        <f t="shared" si="26"/>
        <v/>
      </c>
      <c r="AP43" s="31" t="str">
        <f t="shared" si="6"/>
        <v/>
      </c>
      <c r="AQ43" s="31" t="str">
        <f t="shared" si="27"/>
        <v/>
      </c>
      <c r="AR43" s="31" t="str">
        <f t="shared" si="8"/>
        <v/>
      </c>
      <c r="AS43" s="31" t="str">
        <f t="shared" si="28"/>
        <v/>
      </c>
      <c r="AT43" s="31" t="str">
        <f t="shared" si="10"/>
        <v/>
      </c>
      <c r="AU43" s="31" t="str">
        <f t="shared" si="11"/>
        <v/>
      </c>
      <c r="AV43" s="31" t="str">
        <f t="shared" si="21"/>
        <v/>
      </c>
      <c r="AW43" s="14"/>
      <c r="AX43" s="14"/>
      <c r="AY43" s="14"/>
      <c r="AZ43" s="14"/>
      <c r="BA43" s="14"/>
      <c r="BB43" s="14"/>
      <c r="BC43" s="14"/>
      <c r="BD43" s="14"/>
      <c r="BE43" s="14"/>
      <c r="BF43" s="14"/>
      <c r="BG43" s="14"/>
    </row>
    <row r="44" spans="1:59" customFormat="1" x14ac:dyDescent="0.35">
      <c r="A44" s="84"/>
      <c r="B44" s="53"/>
      <c r="C44" s="20"/>
      <c r="D44" s="20"/>
      <c r="E44" s="20"/>
      <c r="F44" s="55"/>
      <c r="G44" s="3"/>
      <c r="H44" s="57"/>
      <c r="I44" s="59"/>
      <c r="J44" s="1"/>
      <c r="K44" s="20"/>
      <c r="L44" s="31"/>
      <c r="M44" s="57"/>
      <c r="N44" s="2"/>
      <c r="O44" s="2"/>
      <c r="P44" s="2"/>
      <c r="Q44" s="2"/>
      <c r="R44" s="2"/>
      <c r="S44" s="2"/>
      <c r="T44" s="31"/>
      <c r="U44" s="31"/>
      <c r="V44" s="31"/>
      <c r="W44" s="31"/>
      <c r="X44" s="31"/>
      <c r="Y44" s="31"/>
      <c r="Z44" s="31"/>
      <c r="AA44" s="31"/>
      <c r="AB44" s="31"/>
      <c r="AC44" s="28"/>
      <c r="AD44" s="76"/>
      <c r="AE44" s="44"/>
      <c r="AF44" s="78"/>
      <c r="AG44" s="46"/>
      <c r="AH44" s="31"/>
      <c r="AI44" s="31" t="str">
        <f t="shared" si="23"/>
        <v/>
      </c>
      <c r="AJ44" s="31" t="str">
        <f t="shared" si="20"/>
        <v/>
      </c>
      <c r="AK44" s="31" t="str">
        <f t="shared" si="24"/>
        <v/>
      </c>
      <c r="AL44" s="31" t="str">
        <f t="shared" si="2"/>
        <v/>
      </c>
      <c r="AM44" s="31" t="str">
        <f t="shared" si="25"/>
        <v/>
      </c>
      <c r="AN44" s="31" t="str">
        <f t="shared" si="4"/>
        <v/>
      </c>
      <c r="AO44" s="31" t="str">
        <f t="shared" si="26"/>
        <v/>
      </c>
      <c r="AP44" s="31" t="str">
        <f t="shared" si="6"/>
        <v/>
      </c>
      <c r="AQ44" s="31" t="str">
        <f t="shared" si="27"/>
        <v/>
      </c>
      <c r="AR44" s="31" t="str">
        <f t="shared" si="8"/>
        <v/>
      </c>
      <c r="AS44" s="31" t="str">
        <f t="shared" si="28"/>
        <v/>
      </c>
      <c r="AT44" s="31" t="str">
        <f t="shared" si="10"/>
        <v/>
      </c>
      <c r="AU44" s="31" t="str">
        <f t="shared" si="11"/>
        <v/>
      </c>
      <c r="AV44" s="31" t="str">
        <f t="shared" si="21"/>
        <v/>
      </c>
      <c r="AW44" s="14"/>
      <c r="AX44" s="14"/>
      <c r="AY44" s="14"/>
      <c r="AZ44" s="14"/>
      <c r="BA44" s="14"/>
      <c r="BB44" s="14"/>
      <c r="BC44" s="14"/>
      <c r="BD44" s="14"/>
      <c r="BE44" s="14"/>
      <c r="BF44" s="14"/>
      <c r="BG44" s="14"/>
    </row>
    <row r="45" spans="1:59" customFormat="1" x14ac:dyDescent="0.35">
      <c r="A45" s="84"/>
      <c r="B45" s="53"/>
      <c r="C45" s="20"/>
      <c r="D45" s="20"/>
      <c r="E45" s="20"/>
      <c r="F45" s="55"/>
      <c r="G45" s="3"/>
      <c r="H45" s="57"/>
      <c r="I45" s="59"/>
      <c r="J45" s="1"/>
      <c r="K45" s="20"/>
      <c r="L45" s="31"/>
      <c r="M45" s="57"/>
      <c r="N45" s="2"/>
      <c r="O45" s="2"/>
      <c r="P45" s="2"/>
      <c r="Q45" s="2"/>
      <c r="R45" s="2"/>
      <c r="S45" s="2"/>
      <c r="T45" s="31"/>
      <c r="U45" s="31"/>
      <c r="V45" s="31"/>
      <c r="W45" s="31"/>
      <c r="X45" s="31"/>
      <c r="Y45" s="31"/>
      <c r="Z45" s="31"/>
      <c r="AA45" s="31"/>
      <c r="AB45" s="31"/>
      <c r="AC45" s="28"/>
      <c r="AD45" s="76"/>
      <c r="AE45" s="44"/>
      <c r="AF45" s="78"/>
      <c r="AG45" s="46"/>
      <c r="AH45" s="31"/>
      <c r="AI45" s="31" t="str">
        <f t="shared" si="23"/>
        <v/>
      </c>
      <c r="AJ45" s="31" t="str">
        <f t="shared" si="20"/>
        <v/>
      </c>
      <c r="AK45" s="31" t="str">
        <f t="shared" si="24"/>
        <v/>
      </c>
      <c r="AL45" s="31" t="str">
        <f t="shared" si="2"/>
        <v/>
      </c>
      <c r="AM45" s="31" t="str">
        <f t="shared" si="25"/>
        <v/>
      </c>
      <c r="AN45" s="31" t="str">
        <f t="shared" si="4"/>
        <v/>
      </c>
      <c r="AO45" s="31" t="str">
        <f t="shared" si="26"/>
        <v/>
      </c>
      <c r="AP45" s="31" t="str">
        <f t="shared" si="6"/>
        <v/>
      </c>
      <c r="AQ45" s="31" t="str">
        <f t="shared" si="27"/>
        <v/>
      </c>
      <c r="AR45" s="31" t="str">
        <f t="shared" si="8"/>
        <v/>
      </c>
      <c r="AS45" s="31" t="str">
        <f t="shared" si="28"/>
        <v/>
      </c>
      <c r="AT45" s="31" t="str">
        <f t="shared" si="10"/>
        <v/>
      </c>
      <c r="AU45" s="31" t="str">
        <f t="shared" si="11"/>
        <v/>
      </c>
      <c r="AV45" s="31" t="str">
        <f t="shared" si="21"/>
        <v/>
      </c>
      <c r="AW45" s="14"/>
      <c r="AX45" s="14"/>
      <c r="AY45" s="14"/>
      <c r="AZ45" s="14"/>
      <c r="BA45" s="14"/>
      <c r="BB45" s="14"/>
      <c r="BC45" s="14"/>
      <c r="BD45" s="14"/>
      <c r="BE45" s="14"/>
      <c r="BF45" s="14"/>
      <c r="BG45" s="14"/>
    </row>
    <row r="46" spans="1:59" customFormat="1" x14ac:dyDescent="0.35">
      <c r="A46" s="84"/>
      <c r="B46" s="53"/>
      <c r="C46" s="20"/>
      <c r="D46" s="20"/>
      <c r="E46" s="20"/>
      <c r="F46" s="55"/>
      <c r="G46" s="3"/>
      <c r="H46" s="57"/>
      <c r="I46" s="59"/>
      <c r="J46" s="1"/>
      <c r="K46" s="20"/>
      <c r="L46" s="31"/>
      <c r="M46" s="57"/>
      <c r="N46" s="2"/>
      <c r="O46" s="2"/>
      <c r="P46" s="2"/>
      <c r="Q46" s="2"/>
      <c r="R46" s="2"/>
      <c r="S46" s="2"/>
      <c r="T46" s="31"/>
      <c r="U46" s="31"/>
      <c r="V46" s="31"/>
      <c r="W46" s="31"/>
      <c r="X46" s="31"/>
      <c r="Y46" s="31"/>
      <c r="Z46" s="31"/>
      <c r="AA46" s="31"/>
      <c r="AB46" s="31"/>
      <c r="AC46" s="28"/>
      <c r="AD46" s="76"/>
      <c r="AE46" s="44"/>
      <c r="AF46" s="78"/>
      <c r="AG46" s="46"/>
      <c r="AH46" s="31"/>
      <c r="AI46" s="31" t="str">
        <f t="shared" si="23"/>
        <v/>
      </c>
      <c r="AJ46" s="31" t="str">
        <f t="shared" si="20"/>
        <v/>
      </c>
      <c r="AK46" s="31" t="str">
        <f t="shared" si="24"/>
        <v/>
      </c>
      <c r="AL46" s="31" t="str">
        <f t="shared" si="2"/>
        <v/>
      </c>
      <c r="AM46" s="31" t="str">
        <f t="shared" si="25"/>
        <v/>
      </c>
      <c r="AN46" s="31" t="str">
        <f t="shared" si="4"/>
        <v/>
      </c>
      <c r="AO46" s="31" t="str">
        <f t="shared" si="26"/>
        <v/>
      </c>
      <c r="AP46" s="31" t="str">
        <f t="shared" si="6"/>
        <v/>
      </c>
      <c r="AQ46" s="31" t="str">
        <f t="shared" si="27"/>
        <v/>
      </c>
      <c r="AR46" s="31" t="str">
        <f t="shared" si="8"/>
        <v/>
      </c>
      <c r="AS46" s="31" t="str">
        <f t="shared" si="28"/>
        <v/>
      </c>
      <c r="AT46" s="31" t="str">
        <f t="shared" si="10"/>
        <v/>
      </c>
      <c r="AU46" s="31" t="str">
        <f t="shared" si="11"/>
        <v/>
      </c>
      <c r="AV46" s="31" t="str">
        <f t="shared" si="21"/>
        <v/>
      </c>
      <c r="AW46" s="14"/>
      <c r="AX46" s="14"/>
      <c r="AY46" s="14"/>
      <c r="AZ46" s="14"/>
      <c r="BA46" s="14"/>
      <c r="BB46" s="14"/>
      <c r="BC46" s="14"/>
      <c r="BD46" s="14"/>
      <c r="BE46" s="14"/>
      <c r="BF46" s="14"/>
      <c r="BG46" s="14"/>
    </row>
    <row r="47" spans="1:59" customFormat="1" x14ac:dyDescent="0.35">
      <c r="A47" s="84"/>
      <c r="B47" s="53"/>
      <c r="C47" s="20"/>
      <c r="D47" s="20"/>
      <c r="E47" s="20"/>
      <c r="F47" s="55"/>
      <c r="G47" s="3"/>
      <c r="H47" s="57"/>
      <c r="I47" s="59"/>
      <c r="J47" s="1"/>
      <c r="K47" s="20"/>
      <c r="L47" s="31"/>
      <c r="M47" s="57"/>
      <c r="N47" s="2"/>
      <c r="O47" s="2"/>
      <c r="P47" s="2"/>
      <c r="Q47" s="2"/>
      <c r="R47" s="2"/>
      <c r="S47" s="2"/>
      <c r="T47" s="31"/>
      <c r="U47" s="31"/>
      <c r="V47" s="31"/>
      <c r="W47" s="31"/>
      <c r="X47" s="31"/>
      <c r="Y47" s="31"/>
      <c r="Z47" s="31"/>
      <c r="AA47" s="31"/>
      <c r="AB47" s="31"/>
      <c r="AC47" s="28"/>
      <c r="AD47" s="76"/>
      <c r="AE47" s="44"/>
      <c r="AF47" s="78"/>
      <c r="AG47" s="46"/>
      <c r="AH47" s="31"/>
      <c r="AI47" s="31" t="str">
        <f t="shared" si="23"/>
        <v/>
      </c>
      <c r="AJ47" s="31" t="str">
        <f t="shared" si="20"/>
        <v/>
      </c>
      <c r="AK47" s="31" t="str">
        <f t="shared" si="24"/>
        <v/>
      </c>
      <c r="AL47" s="31" t="str">
        <f t="shared" si="2"/>
        <v/>
      </c>
      <c r="AM47" s="31" t="str">
        <f t="shared" si="25"/>
        <v/>
      </c>
      <c r="AN47" s="31" t="str">
        <f t="shared" si="4"/>
        <v/>
      </c>
      <c r="AO47" s="31" t="str">
        <f t="shared" si="26"/>
        <v/>
      </c>
      <c r="AP47" s="31" t="str">
        <f t="shared" si="6"/>
        <v/>
      </c>
      <c r="AQ47" s="31" t="str">
        <f t="shared" si="27"/>
        <v/>
      </c>
      <c r="AR47" s="31" t="str">
        <f t="shared" si="8"/>
        <v/>
      </c>
      <c r="AS47" s="31" t="str">
        <f t="shared" si="28"/>
        <v/>
      </c>
      <c r="AT47" s="31" t="str">
        <f t="shared" si="10"/>
        <v/>
      </c>
      <c r="AU47" s="31" t="str">
        <f t="shared" si="11"/>
        <v/>
      </c>
      <c r="AV47" s="31" t="str">
        <f t="shared" si="21"/>
        <v/>
      </c>
      <c r="AW47" s="14"/>
      <c r="AX47" s="14"/>
      <c r="AY47" s="14"/>
      <c r="AZ47" s="14"/>
      <c r="BA47" s="14"/>
      <c r="BB47" s="14"/>
      <c r="BC47" s="14"/>
      <c r="BD47" s="14"/>
      <c r="BE47" s="14"/>
      <c r="BF47" s="14"/>
      <c r="BG47" s="14"/>
    </row>
    <row r="48" spans="1:59" customFormat="1" x14ac:dyDescent="0.35">
      <c r="A48" s="84"/>
      <c r="B48" s="53"/>
      <c r="C48" s="20"/>
      <c r="D48" s="20"/>
      <c r="E48" s="20"/>
      <c r="F48" s="55"/>
      <c r="G48" s="3"/>
      <c r="H48" s="57"/>
      <c r="I48" s="59"/>
      <c r="J48" s="1"/>
      <c r="K48" s="20"/>
      <c r="L48" s="31"/>
      <c r="M48" s="57"/>
      <c r="N48" s="2"/>
      <c r="O48" s="2"/>
      <c r="P48" s="2"/>
      <c r="Q48" s="2"/>
      <c r="R48" s="2"/>
      <c r="S48" s="2"/>
      <c r="T48" s="31"/>
      <c r="U48" s="31"/>
      <c r="V48" s="31"/>
      <c r="W48" s="31"/>
      <c r="X48" s="31"/>
      <c r="Y48" s="31"/>
      <c r="Z48" s="31"/>
      <c r="AA48" s="31"/>
      <c r="AB48" s="31"/>
      <c r="AC48" s="28"/>
      <c r="AD48" s="76"/>
      <c r="AE48" s="44"/>
      <c r="AF48" s="78"/>
      <c r="AG48" s="46"/>
      <c r="AH48" s="31"/>
      <c r="AI48" s="31" t="str">
        <f t="shared" si="23"/>
        <v/>
      </c>
      <c r="AJ48" s="31" t="str">
        <f t="shared" si="20"/>
        <v/>
      </c>
      <c r="AK48" s="31" t="str">
        <f t="shared" si="24"/>
        <v/>
      </c>
      <c r="AL48" s="31" t="str">
        <f t="shared" si="2"/>
        <v/>
      </c>
      <c r="AM48" s="31" t="str">
        <f t="shared" si="25"/>
        <v/>
      </c>
      <c r="AN48" s="31" t="str">
        <f t="shared" si="4"/>
        <v/>
      </c>
      <c r="AO48" s="31" t="str">
        <f t="shared" si="26"/>
        <v/>
      </c>
      <c r="AP48" s="31" t="str">
        <f t="shared" si="6"/>
        <v/>
      </c>
      <c r="AQ48" s="31" t="str">
        <f t="shared" si="27"/>
        <v/>
      </c>
      <c r="AR48" s="31" t="str">
        <f t="shared" si="8"/>
        <v/>
      </c>
      <c r="AS48" s="31" t="str">
        <f t="shared" si="28"/>
        <v/>
      </c>
      <c r="AT48" s="31" t="str">
        <f t="shared" si="10"/>
        <v/>
      </c>
      <c r="AU48" s="31" t="str">
        <f t="shared" si="11"/>
        <v/>
      </c>
      <c r="AV48" s="31" t="str">
        <f t="shared" si="21"/>
        <v/>
      </c>
      <c r="AW48" s="14"/>
      <c r="AX48" s="14"/>
      <c r="AY48" s="14"/>
      <c r="AZ48" s="14"/>
      <c r="BA48" s="14"/>
      <c r="BB48" s="14"/>
      <c r="BC48" s="14"/>
      <c r="BD48" s="14"/>
      <c r="BE48" s="14"/>
      <c r="BF48" s="14"/>
      <c r="BG48" s="14"/>
    </row>
    <row r="49" spans="1:59" customFormat="1" x14ac:dyDescent="0.35">
      <c r="A49" s="84"/>
      <c r="B49" s="53"/>
      <c r="C49" s="20"/>
      <c r="D49" s="20"/>
      <c r="E49" s="20"/>
      <c r="F49" s="55"/>
      <c r="G49" s="3"/>
      <c r="H49" s="57"/>
      <c r="I49" s="59"/>
      <c r="J49" s="1"/>
      <c r="K49" s="20"/>
      <c r="L49" s="31"/>
      <c r="M49" s="57"/>
      <c r="N49" s="2"/>
      <c r="O49" s="2"/>
      <c r="P49" s="2"/>
      <c r="Q49" s="2"/>
      <c r="R49" s="2"/>
      <c r="S49" s="2"/>
      <c r="T49" s="31"/>
      <c r="U49" s="31"/>
      <c r="V49" s="31"/>
      <c r="W49" s="31"/>
      <c r="X49" s="31"/>
      <c r="Y49" s="31"/>
      <c r="Z49" s="31"/>
      <c r="AA49" s="31"/>
      <c r="AB49" s="31"/>
      <c r="AC49" s="28"/>
      <c r="AD49" s="76"/>
      <c r="AE49" s="44"/>
      <c r="AF49" s="78"/>
      <c r="AG49" s="46"/>
      <c r="AH49" s="31"/>
      <c r="AI49" s="31" t="str">
        <f t="shared" si="23"/>
        <v/>
      </c>
      <c r="AJ49" s="31" t="str">
        <f t="shared" si="20"/>
        <v/>
      </c>
      <c r="AK49" s="31" t="str">
        <f t="shared" si="24"/>
        <v/>
      </c>
      <c r="AL49" s="31" t="str">
        <f t="shared" si="2"/>
        <v/>
      </c>
      <c r="AM49" s="31" t="str">
        <f t="shared" si="25"/>
        <v/>
      </c>
      <c r="AN49" s="31" t="str">
        <f t="shared" si="4"/>
        <v/>
      </c>
      <c r="AO49" s="31" t="str">
        <f t="shared" si="26"/>
        <v/>
      </c>
      <c r="AP49" s="31" t="str">
        <f t="shared" si="6"/>
        <v/>
      </c>
      <c r="AQ49" s="31" t="str">
        <f t="shared" si="27"/>
        <v/>
      </c>
      <c r="AR49" s="31" t="str">
        <f t="shared" si="8"/>
        <v/>
      </c>
      <c r="AS49" s="31" t="str">
        <f t="shared" si="28"/>
        <v/>
      </c>
      <c r="AT49" s="31" t="str">
        <f t="shared" si="10"/>
        <v/>
      </c>
      <c r="AU49" s="31" t="str">
        <f t="shared" si="11"/>
        <v/>
      </c>
      <c r="AV49" s="31" t="str">
        <f t="shared" si="21"/>
        <v/>
      </c>
      <c r="AW49" s="14"/>
      <c r="AX49" s="14"/>
      <c r="AY49" s="14"/>
      <c r="AZ49" s="14"/>
      <c r="BA49" s="14"/>
      <c r="BB49" s="14"/>
      <c r="BC49" s="14"/>
      <c r="BD49" s="14"/>
      <c r="BE49" s="14"/>
      <c r="BF49" s="14"/>
      <c r="BG49" s="14"/>
    </row>
    <row r="50" spans="1:59" customFormat="1" x14ac:dyDescent="0.35">
      <c r="A50" s="84"/>
      <c r="B50" s="53"/>
      <c r="C50" s="20"/>
      <c r="D50" s="20"/>
      <c r="E50" s="20"/>
      <c r="F50" s="55"/>
      <c r="G50" s="3"/>
      <c r="H50" s="57"/>
      <c r="I50" s="59"/>
      <c r="J50" s="1"/>
      <c r="K50" s="20"/>
      <c r="L50" s="31"/>
      <c r="M50" s="57"/>
      <c r="N50" s="2"/>
      <c r="O50" s="2"/>
      <c r="P50" s="2"/>
      <c r="Q50" s="2"/>
      <c r="R50" s="2"/>
      <c r="S50" s="2"/>
      <c r="T50" s="31"/>
      <c r="U50" s="31"/>
      <c r="V50" s="31"/>
      <c r="W50" s="31"/>
      <c r="X50" s="31"/>
      <c r="Y50" s="31"/>
      <c r="Z50" s="31"/>
      <c r="AA50" s="31"/>
      <c r="AB50" s="31"/>
      <c r="AC50" s="28"/>
      <c r="AD50" s="76"/>
      <c r="AE50" s="44"/>
      <c r="AF50" s="78"/>
      <c r="AG50" s="46"/>
      <c r="AH50" s="31"/>
      <c r="AI50" s="31" t="str">
        <f t="shared" si="23"/>
        <v/>
      </c>
      <c r="AJ50" s="31" t="str">
        <f t="shared" si="20"/>
        <v/>
      </c>
      <c r="AK50" s="31" t="str">
        <f t="shared" si="24"/>
        <v/>
      </c>
      <c r="AL50" s="31" t="str">
        <f t="shared" si="2"/>
        <v/>
      </c>
      <c r="AM50" s="31" t="str">
        <f t="shared" si="25"/>
        <v/>
      </c>
      <c r="AN50" s="31" t="str">
        <f t="shared" si="4"/>
        <v/>
      </c>
      <c r="AO50" s="31" t="str">
        <f t="shared" si="26"/>
        <v/>
      </c>
      <c r="AP50" s="31" t="str">
        <f t="shared" si="6"/>
        <v/>
      </c>
      <c r="AQ50" s="31" t="str">
        <f t="shared" si="27"/>
        <v/>
      </c>
      <c r="AR50" s="31" t="str">
        <f t="shared" si="8"/>
        <v/>
      </c>
      <c r="AS50" s="31" t="str">
        <f t="shared" si="28"/>
        <v/>
      </c>
      <c r="AT50" s="31" t="str">
        <f t="shared" si="10"/>
        <v/>
      </c>
      <c r="AU50" s="31" t="str">
        <f t="shared" si="11"/>
        <v/>
      </c>
      <c r="AV50" s="31" t="str">
        <f t="shared" si="21"/>
        <v/>
      </c>
      <c r="AW50" s="14"/>
      <c r="AX50" s="14"/>
      <c r="AY50" s="14"/>
      <c r="AZ50" s="14"/>
      <c r="BA50" s="14"/>
      <c r="BB50" s="14"/>
      <c r="BC50" s="14"/>
      <c r="BD50" s="14"/>
      <c r="BE50" s="14"/>
      <c r="BF50" s="14"/>
      <c r="BG50" s="14"/>
    </row>
    <row r="51" spans="1:59" customFormat="1" x14ac:dyDescent="0.35">
      <c r="A51" s="84"/>
      <c r="B51" s="53"/>
      <c r="C51" s="20"/>
      <c r="D51" s="20"/>
      <c r="E51" s="20"/>
      <c r="F51" s="55"/>
      <c r="G51" s="3"/>
      <c r="H51" s="57"/>
      <c r="I51" s="59"/>
      <c r="J51" s="1"/>
      <c r="K51" s="20"/>
      <c r="L51" s="31"/>
      <c r="M51" s="57"/>
      <c r="N51" s="2"/>
      <c r="O51" s="2"/>
      <c r="P51" s="2"/>
      <c r="Q51" s="2"/>
      <c r="R51" s="2"/>
      <c r="S51" s="2"/>
      <c r="T51" s="31"/>
      <c r="U51" s="31"/>
      <c r="V51" s="31"/>
      <c r="W51" s="31"/>
      <c r="X51" s="31"/>
      <c r="Y51" s="31"/>
      <c r="Z51" s="31"/>
      <c r="AA51" s="31"/>
      <c r="AB51" s="31"/>
      <c r="AC51" s="28"/>
      <c r="AD51" s="76"/>
      <c r="AE51" s="44"/>
      <c r="AF51" s="78"/>
      <c r="AG51" s="46"/>
      <c r="AH51" s="31"/>
      <c r="AI51" s="31" t="str">
        <f t="shared" si="23"/>
        <v/>
      </c>
      <c r="AJ51" s="31" t="str">
        <f t="shared" si="20"/>
        <v/>
      </c>
      <c r="AK51" s="31" t="str">
        <f t="shared" si="24"/>
        <v/>
      </c>
      <c r="AL51" s="31" t="str">
        <f t="shared" si="2"/>
        <v/>
      </c>
      <c r="AM51" s="31" t="str">
        <f t="shared" si="25"/>
        <v/>
      </c>
      <c r="AN51" s="31" t="str">
        <f t="shared" si="4"/>
        <v/>
      </c>
      <c r="AO51" s="31" t="str">
        <f t="shared" si="26"/>
        <v/>
      </c>
      <c r="AP51" s="31" t="str">
        <f t="shared" si="6"/>
        <v/>
      </c>
      <c r="AQ51" s="31" t="str">
        <f t="shared" si="27"/>
        <v/>
      </c>
      <c r="AR51" s="31" t="str">
        <f t="shared" si="8"/>
        <v/>
      </c>
      <c r="AS51" s="31" t="str">
        <f t="shared" si="28"/>
        <v/>
      </c>
      <c r="AT51" s="31" t="str">
        <f t="shared" si="10"/>
        <v/>
      </c>
      <c r="AU51" s="31" t="str">
        <f t="shared" si="11"/>
        <v/>
      </c>
      <c r="AV51" s="31" t="str">
        <f t="shared" si="21"/>
        <v/>
      </c>
      <c r="AW51" s="14"/>
      <c r="AX51" s="14"/>
      <c r="AY51" s="14"/>
      <c r="AZ51" s="14"/>
      <c r="BA51" s="14"/>
      <c r="BB51" s="14"/>
      <c r="BC51" s="14"/>
      <c r="BD51" s="14"/>
      <c r="BE51" s="14"/>
      <c r="BF51" s="14"/>
      <c r="BG51" s="14"/>
    </row>
    <row r="52" spans="1:59" customFormat="1" x14ac:dyDescent="0.35">
      <c r="A52" s="84"/>
      <c r="B52" s="53"/>
      <c r="C52" s="20"/>
      <c r="D52" s="20"/>
      <c r="E52" s="20"/>
      <c r="F52" s="55"/>
      <c r="G52" s="3"/>
      <c r="H52" s="57"/>
      <c r="I52" s="59"/>
      <c r="J52" s="1"/>
      <c r="K52" s="20"/>
      <c r="L52" s="31"/>
      <c r="M52" s="57"/>
      <c r="N52" s="2"/>
      <c r="O52" s="2"/>
      <c r="P52" s="2"/>
      <c r="Q52" s="2"/>
      <c r="R52" s="2"/>
      <c r="S52" s="2"/>
      <c r="T52" s="31"/>
      <c r="U52" s="31"/>
      <c r="V52" s="31"/>
      <c r="W52" s="31"/>
      <c r="X52" s="31"/>
      <c r="Y52" s="31"/>
      <c r="Z52" s="31"/>
      <c r="AA52" s="31"/>
      <c r="AB52" s="31"/>
      <c r="AC52" s="28"/>
      <c r="AD52" s="76"/>
      <c r="AE52" s="44"/>
      <c r="AF52" s="78"/>
      <c r="AG52" s="46"/>
      <c r="AH52" s="31"/>
      <c r="AI52" s="31" t="str">
        <f t="shared" si="23"/>
        <v/>
      </c>
      <c r="AJ52" s="31" t="str">
        <f t="shared" si="20"/>
        <v/>
      </c>
      <c r="AK52" s="31" t="str">
        <f t="shared" si="24"/>
        <v/>
      </c>
      <c r="AL52" s="31" t="str">
        <f t="shared" si="2"/>
        <v/>
      </c>
      <c r="AM52" s="31" t="str">
        <f t="shared" si="25"/>
        <v/>
      </c>
      <c r="AN52" s="31" t="str">
        <f t="shared" si="4"/>
        <v/>
      </c>
      <c r="AO52" s="31" t="str">
        <f t="shared" si="26"/>
        <v/>
      </c>
      <c r="AP52" s="31" t="str">
        <f t="shared" si="6"/>
        <v/>
      </c>
      <c r="AQ52" s="31" t="str">
        <f t="shared" si="27"/>
        <v/>
      </c>
      <c r="AR52" s="31" t="str">
        <f t="shared" si="8"/>
        <v/>
      </c>
      <c r="AS52" s="31" t="str">
        <f t="shared" si="28"/>
        <v/>
      </c>
      <c r="AT52" s="31" t="str">
        <f t="shared" si="10"/>
        <v/>
      </c>
      <c r="AU52" s="31" t="str">
        <f t="shared" si="11"/>
        <v/>
      </c>
      <c r="AV52" s="31" t="str">
        <f t="shared" si="21"/>
        <v/>
      </c>
      <c r="AW52" s="14"/>
      <c r="AX52" s="14"/>
      <c r="AY52" s="14"/>
      <c r="AZ52" s="14"/>
      <c r="BA52" s="14"/>
      <c r="BB52" s="14"/>
      <c r="BC52" s="14"/>
      <c r="BD52" s="14"/>
      <c r="BE52" s="14"/>
      <c r="BF52" s="14"/>
      <c r="BG52" s="14"/>
    </row>
    <row r="53" spans="1:59" customFormat="1" x14ac:dyDescent="0.35">
      <c r="A53" s="48"/>
      <c r="B53" s="3"/>
      <c r="C53" s="3"/>
      <c r="D53" s="3"/>
      <c r="E53" s="3"/>
      <c r="F53" s="26"/>
      <c r="G53" s="6"/>
      <c r="H53" s="6"/>
      <c r="I53" s="3"/>
      <c r="J53" s="3"/>
      <c r="K53" s="3"/>
      <c r="L53" s="3"/>
      <c r="M53" s="3"/>
      <c r="N53" s="3"/>
      <c r="O53" s="3"/>
      <c r="P53" s="3"/>
      <c r="Q53" s="3"/>
      <c r="R53" s="50"/>
      <c r="S53" s="50"/>
      <c r="T53" s="2"/>
      <c r="U53" s="31"/>
      <c r="V53" s="31"/>
      <c r="W53" s="31"/>
      <c r="X53" s="31"/>
      <c r="Y53" s="31"/>
      <c r="Z53" s="31"/>
      <c r="AA53" s="31"/>
      <c r="AB53" s="31"/>
      <c r="AC53" s="3"/>
      <c r="AD53" s="26"/>
      <c r="AE53" s="66"/>
      <c r="AF53" s="79"/>
      <c r="AG53" s="46"/>
      <c r="AH53" s="31"/>
      <c r="AI53" s="31" t="str">
        <f t="shared" si="23"/>
        <v/>
      </c>
      <c r="AJ53" s="31" t="str">
        <f t="shared" si="20"/>
        <v/>
      </c>
      <c r="AK53" s="31" t="str">
        <f t="shared" si="24"/>
        <v/>
      </c>
      <c r="AL53" s="31" t="str">
        <f t="shared" si="2"/>
        <v/>
      </c>
      <c r="AM53" s="31" t="str">
        <f t="shared" si="25"/>
        <v/>
      </c>
      <c r="AN53" s="31" t="str">
        <f t="shared" si="4"/>
        <v/>
      </c>
      <c r="AO53" s="31" t="str">
        <f t="shared" si="26"/>
        <v/>
      </c>
      <c r="AP53" s="31" t="str">
        <f t="shared" si="6"/>
        <v/>
      </c>
      <c r="AQ53" s="31" t="str">
        <f t="shared" si="27"/>
        <v/>
      </c>
      <c r="AR53" s="31" t="str">
        <f t="shared" si="8"/>
        <v/>
      </c>
      <c r="AS53" s="31" t="str">
        <f t="shared" si="28"/>
        <v/>
      </c>
      <c r="AT53" s="31" t="str">
        <f t="shared" si="10"/>
        <v/>
      </c>
      <c r="AU53" s="31" t="str">
        <f t="shared" si="11"/>
        <v/>
      </c>
      <c r="AV53" s="31" t="str">
        <f t="shared" si="21"/>
        <v/>
      </c>
      <c r="AW53" s="14"/>
      <c r="AX53" s="14"/>
      <c r="AY53" s="14"/>
      <c r="AZ53" s="14"/>
      <c r="BA53" s="14"/>
      <c r="BB53" s="14"/>
      <c r="BC53" s="14"/>
      <c r="BD53" s="14"/>
      <c r="BE53" s="14"/>
      <c r="BF53" s="14"/>
      <c r="BG53" s="14"/>
    </row>
    <row r="54" spans="1:59" customFormat="1" x14ac:dyDescent="0.35">
      <c r="A54" s="25"/>
      <c r="B54" s="3"/>
      <c r="C54" s="20"/>
      <c r="D54" s="51"/>
      <c r="E54" s="20"/>
      <c r="F54" s="67"/>
      <c r="G54" s="3"/>
      <c r="H54" s="6"/>
      <c r="I54" s="3"/>
      <c r="J54" s="3"/>
      <c r="K54" s="3"/>
      <c r="L54" s="3"/>
      <c r="M54" s="50"/>
      <c r="N54" s="3"/>
      <c r="O54" s="3"/>
      <c r="P54" s="3"/>
      <c r="Q54" s="3"/>
      <c r="R54" s="50"/>
      <c r="S54" s="52"/>
      <c r="T54" s="2"/>
      <c r="U54" s="31"/>
      <c r="V54" s="31"/>
      <c r="W54" s="31"/>
      <c r="X54" s="31"/>
      <c r="Y54" s="31"/>
      <c r="Z54" s="31"/>
      <c r="AA54" s="31"/>
      <c r="AB54" s="31"/>
      <c r="AC54" s="20"/>
      <c r="AD54" s="67"/>
      <c r="AE54" s="66"/>
      <c r="AF54" s="79"/>
      <c r="AG54" s="46"/>
      <c r="AH54" s="31"/>
      <c r="AI54" s="31" t="str">
        <f t="shared" si="23"/>
        <v/>
      </c>
      <c r="AJ54" s="31" t="str">
        <f t="shared" si="20"/>
        <v/>
      </c>
      <c r="AK54" s="31" t="str">
        <f t="shared" si="24"/>
        <v/>
      </c>
      <c r="AL54" s="31" t="str">
        <f t="shared" si="2"/>
        <v/>
      </c>
      <c r="AM54" s="31" t="str">
        <f t="shared" si="25"/>
        <v/>
      </c>
      <c r="AN54" s="31" t="str">
        <f t="shared" si="4"/>
        <v/>
      </c>
      <c r="AO54" s="31" t="str">
        <f t="shared" si="26"/>
        <v/>
      </c>
      <c r="AP54" s="31" t="str">
        <f t="shared" si="6"/>
        <v/>
      </c>
      <c r="AQ54" s="31" t="str">
        <f t="shared" si="27"/>
        <v/>
      </c>
      <c r="AR54" s="31" t="str">
        <f t="shared" si="8"/>
        <v/>
      </c>
      <c r="AS54" s="31" t="str">
        <f t="shared" si="28"/>
        <v/>
      </c>
      <c r="AT54" s="31" t="str">
        <f t="shared" si="10"/>
        <v/>
      </c>
      <c r="AU54" s="31" t="str">
        <f t="shared" si="11"/>
        <v/>
      </c>
      <c r="AV54" s="31" t="str">
        <f t="shared" si="21"/>
        <v/>
      </c>
      <c r="AW54" s="14"/>
      <c r="AX54" s="14"/>
      <c r="AY54" s="14"/>
      <c r="AZ54" s="14"/>
      <c r="BA54" s="14"/>
      <c r="BB54" s="14"/>
      <c r="BC54" s="14"/>
      <c r="BD54" s="14"/>
      <c r="BE54" s="14"/>
      <c r="BF54" s="14"/>
      <c r="BG54" s="14"/>
    </row>
    <row r="55" spans="1:59" customFormat="1" x14ac:dyDescent="0.35">
      <c r="A55" s="25"/>
      <c r="B55" s="3"/>
      <c r="C55" s="20"/>
      <c r="D55" s="51"/>
      <c r="E55" s="20"/>
      <c r="F55" s="67"/>
      <c r="G55" s="3"/>
      <c r="H55" s="6"/>
      <c r="I55" s="3"/>
      <c r="J55" s="3"/>
      <c r="K55" s="3"/>
      <c r="L55" s="3"/>
      <c r="M55" s="50"/>
      <c r="N55" s="3"/>
      <c r="O55" s="3"/>
      <c r="P55" s="3"/>
      <c r="Q55" s="3"/>
      <c r="R55" s="50"/>
      <c r="S55" s="52"/>
      <c r="T55" s="2"/>
      <c r="U55" s="31"/>
      <c r="V55" s="31"/>
      <c r="W55" s="31"/>
      <c r="X55" s="31"/>
      <c r="Y55" s="31"/>
      <c r="Z55" s="31"/>
      <c r="AA55" s="31"/>
      <c r="AB55" s="31"/>
      <c r="AC55" s="20"/>
      <c r="AD55" s="67"/>
      <c r="AE55" s="66"/>
      <c r="AF55" s="79"/>
      <c r="AG55" s="46"/>
      <c r="AH55" s="31"/>
      <c r="AI55" s="31" t="str">
        <f t="shared" si="23"/>
        <v/>
      </c>
      <c r="AJ55" s="31" t="str">
        <f t="shared" si="20"/>
        <v/>
      </c>
      <c r="AK55" s="31" t="str">
        <f t="shared" si="24"/>
        <v/>
      </c>
      <c r="AL55" s="31" t="str">
        <f t="shared" si="2"/>
        <v/>
      </c>
      <c r="AM55" s="31" t="str">
        <f t="shared" si="25"/>
        <v/>
      </c>
      <c r="AN55" s="31" t="str">
        <f t="shared" si="4"/>
        <v/>
      </c>
      <c r="AO55" s="31" t="str">
        <f t="shared" si="26"/>
        <v/>
      </c>
      <c r="AP55" s="31" t="str">
        <f t="shared" si="6"/>
        <v/>
      </c>
      <c r="AQ55" s="31" t="str">
        <f t="shared" si="27"/>
        <v/>
      </c>
      <c r="AR55" s="31" t="str">
        <f t="shared" si="8"/>
        <v/>
      </c>
      <c r="AS55" s="31" t="str">
        <f t="shared" si="28"/>
        <v/>
      </c>
      <c r="AT55" s="31" t="str">
        <f t="shared" si="10"/>
        <v/>
      </c>
      <c r="AU55" s="31" t="str">
        <f t="shared" si="11"/>
        <v/>
      </c>
      <c r="AV55" s="31" t="str">
        <f t="shared" si="21"/>
        <v/>
      </c>
      <c r="AW55" s="14"/>
      <c r="AX55" s="14"/>
      <c r="AY55" s="14"/>
      <c r="AZ55" s="14"/>
      <c r="BA55" s="14"/>
      <c r="BB55" s="14"/>
      <c r="BC55" s="14"/>
      <c r="BD55" s="14"/>
      <c r="BE55" s="14"/>
      <c r="BF55" s="14"/>
      <c r="BG55" s="14"/>
    </row>
    <row r="56" spans="1:59" customFormat="1" x14ac:dyDescent="0.35">
      <c r="A56" s="25"/>
      <c r="B56" s="3"/>
      <c r="C56" s="20"/>
      <c r="D56" s="51"/>
      <c r="E56" s="20"/>
      <c r="F56" s="67"/>
      <c r="G56" s="3"/>
      <c r="H56" s="6"/>
      <c r="I56" s="3"/>
      <c r="J56" s="3"/>
      <c r="K56" s="3"/>
      <c r="L56" s="3"/>
      <c r="M56" s="50"/>
      <c r="N56" s="3"/>
      <c r="O56" s="52"/>
      <c r="P56" s="52"/>
      <c r="Q56" s="3"/>
      <c r="R56" s="50"/>
      <c r="S56" s="52"/>
      <c r="T56" s="2"/>
      <c r="U56" s="31"/>
      <c r="V56" s="31"/>
      <c r="W56" s="31"/>
      <c r="X56" s="31"/>
      <c r="Y56" s="31"/>
      <c r="Z56" s="31"/>
      <c r="AA56" s="31"/>
      <c r="AB56" s="31"/>
      <c r="AC56" s="20"/>
      <c r="AD56" s="67"/>
      <c r="AE56" s="66"/>
      <c r="AF56" s="79"/>
      <c r="AG56" s="46"/>
      <c r="AH56" s="31"/>
      <c r="AI56" s="31" t="str">
        <f t="shared" si="23"/>
        <v/>
      </c>
      <c r="AJ56" s="31" t="str">
        <f t="shared" si="20"/>
        <v/>
      </c>
      <c r="AK56" s="31" t="str">
        <f t="shared" si="24"/>
        <v/>
      </c>
      <c r="AL56" s="31" t="str">
        <f t="shared" si="2"/>
        <v/>
      </c>
      <c r="AM56" s="31" t="str">
        <f t="shared" si="25"/>
        <v/>
      </c>
      <c r="AN56" s="31" t="str">
        <f t="shared" si="4"/>
        <v/>
      </c>
      <c r="AO56" s="31" t="str">
        <f t="shared" si="26"/>
        <v/>
      </c>
      <c r="AP56" s="31" t="str">
        <f t="shared" si="6"/>
        <v/>
      </c>
      <c r="AQ56" s="31" t="str">
        <f t="shared" si="27"/>
        <v/>
      </c>
      <c r="AR56" s="31" t="str">
        <f t="shared" si="8"/>
        <v/>
      </c>
      <c r="AS56" s="31" t="str">
        <f t="shared" si="28"/>
        <v/>
      </c>
      <c r="AT56" s="31" t="str">
        <f t="shared" si="10"/>
        <v/>
      </c>
      <c r="AU56" s="31" t="str">
        <f t="shared" si="11"/>
        <v/>
      </c>
      <c r="AV56" s="31" t="str">
        <f t="shared" si="21"/>
        <v/>
      </c>
      <c r="AW56" s="14"/>
      <c r="AX56" s="14"/>
      <c r="AY56" s="14"/>
      <c r="AZ56" s="14"/>
      <c r="BA56" s="14"/>
      <c r="BB56" s="14"/>
      <c r="BC56" s="14"/>
      <c r="BD56" s="14"/>
      <c r="BE56" s="14"/>
      <c r="BF56" s="14"/>
      <c r="BG56" s="14"/>
    </row>
    <row r="57" spans="1:59" customFormat="1" x14ac:dyDescent="0.35">
      <c r="A57" s="25"/>
      <c r="B57" s="3"/>
      <c r="C57" s="20"/>
      <c r="D57" s="51"/>
      <c r="E57" s="20"/>
      <c r="F57" s="67"/>
      <c r="G57" s="3"/>
      <c r="H57" s="6"/>
      <c r="I57" s="3"/>
      <c r="J57" s="3"/>
      <c r="K57" s="3"/>
      <c r="L57" s="3"/>
      <c r="M57" s="50"/>
      <c r="N57" s="3"/>
      <c r="O57" s="3"/>
      <c r="P57" s="3"/>
      <c r="Q57" s="3"/>
      <c r="R57" s="50"/>
      <c r="S57" s="52"/>
      <c r="T57" s="5"/>
      <c r="U57" s="31"/>
      <c r="V57" s="31"/>
      <c r="W57" s="31"/>
      <c r="X57" s="31"/>
      <c r="Y57" s="31"/>
      <c r="Z57" s="31"/>
      <c r="AA57" s="31"/>
      <c r="AB57" s="31"/>
      <c r="AC57" s="20"/>
      <c r="AD57" s="67"/>
      <c r="AE57" s="66"/>
      <c r="AF57" s="79"/>
      <c r="AG57" s="46"/>
      <c r="AH57" s="31"/>
      <c r="AI57" s="31" t="str">
        <f t="shared" si="23"/>
        <v/>
      </c>
      <c r="AJ57" s="31" t="str">
        <f t="shared" si="20"/>
        <v/>
      </c>
      <c r="AK57" s="31" t="str">
        <f t="shared" si="24"/>
        <v/>
      </c>
      <c r="AL57" s="31" t="str">
        <f t="shared" si="2"/>
        <v/>
      </c>
      <c r="AM57" s="31" t="str">
        <f t="shared" si="25"/>
        <v/>
      </c>
      <c r="AN57" s="31" t="str">
        <f t="shared" si="4"/>
        <v/>
      </c>
      <c r="AO57" s="31" t="str">
        <f t="shared" si="26"/>
        <v/>
      </c>
      <c r="AP57" s="31" t="str">
        <f t="shared" si="6"/>
        <v/>
      </c>
      <c r="AQ57" s="31" t="str">
        <f t="shared" si="27"/>
        <v/>
      </c>
      <c r="AR57" s="31" t="str">
        <f t="shared" si="8"/>
        <v/>
      </c>
      <c r="AS57" s="31" t="str">
        <f t="shared" si="28"/>
        <v/>
      </c>
      <c r="AT57" s="31" t="str">
        <f t="shared" si="10"/>
        <v/>
      </c>
      <c r="AU57" s="31" t="str">
        <f t="shared" si="11"/>
        <v/>
      </c>
      <c r="AV57" s="31" t="str">
        <f t="shared" si="21"/>
        <v/>
      </c>
      <c r="AW57" s="14"/>
      <c r="AX57" s="14"/>
      <c r="AY57" s="14"/>
      <c r="AZ57" s="14"/>
      <c r="BA57" s="14"/>
      <c r="BB57" s="14"/>
      <c r="BC57" s="14"/>
      <c r="BD57" s="14"/>
      <c r="BE57" s="14"/>
      <c r="BF57" s="14"/>
      <c r="BG57" s="14"/>
    </row>
    <row r="58" spans="1:59" customFormat="1" x14ac:dyDescent="0.35">
      <c r="A58" s="25"/>
      <c r="B58" s="3"/>
      <c r="C58" s="20"/>
      <c r="D58" s="51"/>
      <c r="E58" s="20"/>
      <c r="F58" s="67"/>
      <c r="G58" s="3"/>
      <c r="H58" s="6"/>
      <c r="I58" s="3"/>
      <c r="J58" s="3"/>
      <c r="K58" s="3"/>
      <c r="L58" s="3"/>
      <c r="M58" s="50"/>
      <c r="N58" s="3"/>
      <c r="O58" s="52"/>
      <c r="P58" s="3"/>
      <c r="Q58" s="52"/>
      <c r="R58" s="3"/>
      <c r="S58" s="52"/>
      <c r="T58" s="2"/>
      <c r="U58" s="31"/>
      <c r="V58" s="31"/>
      <c r="W58" s="31"/>
      <c r="X58" s="31"/>
      <c r="Y58" s="31"/>
      <c r="Z58" s="31"/>
      <c r="AA58" s="31"/>
      <c r="AB58" s="31"/>
      <c r="AC58" s="3"/>
      <c r="AD58" s="26"/>
      <c r="AE58" s="66"/>
      <c r="AF58" s="79"/>
      <c r="AG58" s="46"/>
      <c r="AH58" s="31"/>
      <c r="AI58" s="31" t="str">
        <f t="shared" si="23"/>
        <v/>
      </c>
      <c r="AJ58" s="31" t="str">
        <f t="shared" si="20"/>
        <v/>
      </c>
      <c r="AK58" s="31" t="str">
        <f t="shared" si="24"/>
        <v/>
      </c>
      <c r="AL58" s="31" t="str">
        <f t="shared" si="2"/>
        <v/>
      </c>
      <c r="AM58" s="31" t="str">
        <f t="shared" si="25"/>
        <v/>
      </c>
      <c r="AN58" s="31" t="str">
        <f t="shared" si="4"/>
        <v/>
      </c>
      <c r="AO58" s="31" t="str">
        <f t="shared" si="26"/>
        <v/>
      </c>
      <c r="AP58" s="31" t="str">
        <f t="shared" si="6"/>
        <v/>
      </c>
      <c r="AQ58" s="31" t="str">
        <f t="shared" si="27"/>
        <v/>
      </c>
      <c r="AR58" s="31" t="str">
        <f t="shared" si="8"/>
        <v/>
      </c>
      <c r="AS58" s="31" t="str">
        <f t="shared" si="28"/>
        <v/>
      </c>
      <c r="AT58" s="31" t="str">
        <f t="shared" si="10"/>
        <v/>
      </c>
      <c r="AU58" s="31" t="str">
        <f t="shared" si="11"/>
        <v/>
      </c>
      <c r="AV58" s="31" t="str">
        <f t="shared" si="21"/>
        <v/>
      </c>
      <c r="AW58" s="14"/>
      <c r="AX58" s="14"/>
      <c r="AY58" s="14"/>
      <c r="AZ58" s="14"/>
      <c r="BA58" s="14"/>
      <c r="BB58" s="14"/>
      <c r="BC58" s="14"/>
      <c r="BD58" s="14"/>
      <c r="BE58" s="14"/>
      <c r="BF58" s="14"/>
      <c r="BG58" s="14"/>
    </row>
    <row r="59" spans="1:59" customFormat="1" x14ac:dyDescent="0.35">
      <c r="A59" s="25"/>
      <c r="B59" s="3"/>
      <c r="C59" s="20"/>
      <c r="D59" s="51"/>
      <c r="E59" s="20"/>
      <c r="F59" s="67"/>
      <c r="G59" s="3"/>
      <c r="H59" s="6"/>
      <c r="I59" s="3"/>
      <c r="J59" s="3"/>
      <c r="K59" s="3"/>
      <c r="L59" s="3"/>
      <c r="M59" s="50"/>
      <c r="N59" s="3"/>
      <c r="O59" s="52"/>
      <c r="P59" s="3"/>
      <c r="Q59" s="52"/>
      <c r="R59" s="3"/>
      <c r="S59" s="52"/>
      <c r="T59" s="2"/>
      <c r="U59" s="31"/>
      <c r="V59" s="31"/>
      <c r="W59" s="31"/>
      <c r="X59" s="31"/>
      <c r="Y59" s="31"/>
      <c r="Z59" s="31"/>
      <c r="AA59" s="31"/>
      <c r="AB59" s="31"/>
      <c r="AC59" s="3"/>
      <c r="AD59" s="26"/>
      <c r="AE59" s="66"/>
      <c r="AF59" s="79"/>
      <c r="AG59" s="46"/>
      <c r="AH59" s="31"/>
      <c r="AI59" s="31" t="str">
        <f t="shared" si="23"/>
        <v/>
      </c>
      <c r="AJ59" s="31" t="str">
        <f t="shared" si="20"/>
        <v/>
      </c>
      <c r="AK59" s="31" t="str">
        <f t="shared" si="24"/>
        <v/>
      </c>
      <c r="AL59" s="31" t="str">
        <f t="shared" si="2"/>
        <v/>
      </c>
      <c r="AM59" s="31" t="str">
        <f t="shared" si="25"/>
        <v/>
      </c>
      <c r="AN59" s="31" t="str">
        <f t="shared" si="4"/>
        <v/>
      </c>
      <c r="AO59" s="31" t="str">
        <f t="shared" si="26"/>
        <v/>
      </c>
      <c r="AP59" s="31" t="str">
        <f t="shared" si="6"/>
        <v/>
      </c>
      <c r="AQ59" s="31" t="str">
        <f t="shared" si="27"/>
        <v/>
      </c>
      <c r="AR59" s="31" t="str">
        <f t="shared" si="8"/>
        <v/>
      </c>
      <c r="AS59" s="31" t="str">
        <f t="shared" si="28"/>
        <v/>
      </c>
      <c r="AT59" s="31" t="str">
        <f t="shared" si="10"/>
        <v/>
      </c>
      <c r="AU59" s="31" t="str">
        <f t="shared" si="11"/>
        <v/>
      </c>
      <c r="AV59" s="31" t="str">
        <f t="shared" si="21"/>
        <v/>
      </c>
      <c r="AW59" s="14"/>
      <c r="AX59" s="14"/>
      <c r="AY59" s="14"/>
      <c r="AZ59" s="14"/>
      <c r="BA59" s="14"/>
      <c r="BB59" s="14"/>
      <c r="BC59" s="14"/>
      <c r="BD59" s="14"/>
      <c r="BE59" s="14"/>
      <c r="BF59" s="14"/>
      <c r="BG59" s="14"/>
    </row>
    <row r="60" spans="1:59" customFormat="1" x14ac:dyDescent="0.35">
      <c r="A60" s="25"/>
      <c r="B60" s="3"/>
      <c r="C60" s="20"/>
      <c r="D60" s="51"/>
      <c r="E60" s="20"/>
      <c r="F60" s="67"/>
      <c r="G60" s="3"/>
      <c r="H60" s="6"/>
      <c r="I60" s="3"/>
      <c r="J60" s="3"/>
      <c r="K60" s="3"/>
      <c r="L60" s="3"/>
      <c r="M60" s="53"/>
      <c r="N60" s="3"/>
      <c r="O60" s="3"/>
      <c r="P60" s="3"/>
      <c r="Q60" s="3"/>
      <c r="R60" s="3"/>
      <c r="S60" s="34"/>
      <c r="T60" s="2"/>
      <c r="U60" s="31"/>
      <c r="V60" s="31"/>
      <c r="W60" s="31"/>
      <c r="X60" s="31"/>
      <c r="Y60" s="31"/>
      <c r="Z60" s="31"/>
      <c r="AA60" s="31"/>
      <c r="AB60" s="31"/>
      <c r="AC60" s="20"/>
      <c r="AD60" s="67"/>
      <c r="AE60" s="66"/>
      <c r="AF60" s="79"/>
      <c r="AG60" s="46"/>
      <c r="AH60" s="31"/>
      <c r="AI60" s="31" t="str">
        <f t="shared" si="23"/>
        <v/>
      </c>
      <c r="AJ60" s="31" t="str">
        <f t="shared" si="20"/>
        <v/>
      </c>
      <c r="AK60" s="31" t="str">
        <f t="shared" si="24"/>
        <v/>
      </c>
      <c r="AL60" s="31" t="str">
        <f t="shared" si="2"/>
        <v/>
      </c>
      <c r="AM60" s="31" t="str">
        <f t="shared" si="25"/>
        <v/>
      </c>
      <c r="AN60" s="31" t="str">
        <f t="shared" si="4"/>
        <v/>
      </c>
      <c r="AO60" s="31" t="str">
        <f t="shared" si="26"/>
        <v/>
      </c>
      <c r="AP60" s="31" t="str">
        <f t="shared" si="6"/>
        <v/>
      </c>
      <c r="AQ60" s="31" t="str">
        <f t="shared" si="27"/>
        <v/>
      </c>
      <c r="AR60" s="31" t="str">
        <f t="shared" si="8"/>
        <v/>
      </c>
      <c r="AS60" s="31" t="str">
        <f t="shared" si="28"/>
        <v/>
      </c>
      <c r="AT60" s="31" t="str">
        <f t="shared" si="10"/>
        <v/>
      </c>
      <c r="AU60" s="31" t="str">
        <f t="shared" si="11"/>
        <v/>
      </c>
      <c r="AV60" s="31" t="str">
        <f t="shared" si="21"/>
        <v/>
      </c>
      <c r="AW60" s="14"/>
      <c r="AX60" s="14"/>
      <c r="AY60" s="14"/>
      <c r="AZ60" s="14"/>
      <c r="BA60" s="14"/>
      <c r="BB60" s="14"/>
      <c r="BC60" s="14"/>
      <c r="BD60" s="14"/>
      <c r="BE60" s="14"/>
      <c r="BF60" s="14"/>
      <c r="BG60" s="14"/>
    </row>
    <row r="61" spans="1:59" customFormat="1" x14ac:dyDescent="0.35">
      <c r="A61" s="25"/>
      <c r="B61" s="3"/>
      <c r="C61" s="20"/>
      <c r="D61" s="51"/>
      <c r="E61" s="20"/>
      <c r="F61" s="67"/>
      <c r="G61" s="3"/>
      <c r="H61" s="6"/>
      <c r="I61" s="3"/>
      <c r="J61" s="3"/>
      <c r="K61" s="3"/>
      <c r="L61" s="3"/>
      <c r="M61" s="53"/>
      <c r="N61" s="3"/>
      <c r="O61" s="3"/>
      <c r="P61" s="3"/>
      <c r="Q61" s="34"/>
      <c r="R61" s="3"/>
      <c r="S61" s="34"/>
      <c r="T61" s="2"/>
      <c r="U61" s="31"/>
      <c r="V61" s="31"/>
      <c r="W61" s="31"/>
      <c r="X61" s="31"/>
      <c r="Y61" s="31"/>
      <c r="Z61" s="31"/>
      <c r="AA61" s="31"/>
      <c r="AB61" s="31"/>
      <c r="AC61" s="20"/>
      <c r="AD61" s="67"/>
      <c r="AE61" s="66"/>
      <c r="AF61" s="79"/>
      <c r="AG61" s="46"/>
      <c r="AH61" s="31"/>
      <c r="AI61" s="31" t="str">
        <f t="shared" si="23"/>
        <v/>
      </c>
      <c r="AJ61" s="31" t="str">
        <f t="shared" si="20"/>
        <v/>
      </c>
      <c r="AK61" s="31" t="str">
        <f t="shared" si="24"/>
        <v/>
      </c>
      <c r="AL61" s="31" t="str">
        <f t="shared" si="2"/>
        <v/>
      </c>
      <c r="AM61" s="31" t="str">
        <f t="shared" si="25"/>
        <v/>
      </c>
      <c r="AN61" s="31" t="str">
        <f t="shared" si="4"/>
        <v/>
      </c>
      <c r="AO61" s="31" t="str">
        <f t="shared" si="26"/>
        <v/>
      </c>
      <c r="AP61" s="31" t="str">
        <f t="shared" si="6"/>
        <v/>
      </c>
      <c r="AQ61" s="31" t="str">
        <f t="shared" si="27"/>
        <v/>
      </c>
      <c r="AR61" s="31" t="str">
        <f t="shared" si="8"/>
        <v/>
      </c>
      <c r="AS61" s="31" t="str">
        <f t="shared" si="28"/>
        <v/>
      </c>
      <c r="AT61" s="31" t="str">
        <f t="shared" si="10"/>
        <v/>
      </c>
      <c r="AU61" s="31" t="str">
        <f t="shared" si="11"/>
        <v/>
      </c>
      <c r="AV61" s="31" t="str">
        <f t="shared" si="21"/>
        <v/>
      </c>
      <c r="AW61" s="14"/>
      <c r="AX61" s="14"/>
      <c r="AY61" s="14"/>
      <c r="AZ61" s="14"/>
      <c r="BA61" s="14"/>
      <c r="BB61" s="14"/>
      <c r="BC61" s="14"/>
      <c r="BD61" s="14"/>
      <c r="BE61" s="14"/>
      <c r="BF61" s="14"/>
      <c r="BG61" s="14"/>
    </row>
    <row r="62" spans="1:59" customFormat="1" x14ac:dyDescent="0.35">
      <c r="A62" s="25"/>
      <c r="B62" s="3"/>
      <c r="C62" s="20"/>
      <c r="D62" s="3"/>
      <c r="E62" s="20"/>
      <c r="F62" s="67"/>
      <c r="G62" s="3"/>
      <c r="H62" s="6"/>
      <c r="I62" s="3"/>
      <c r="J62" s="3"/>
      <c r="K62" s="3"/>
      <c r="L62" s="8"/>
      <c r="M62" s="3"/>
      <c r="N62" s="3"/>
      <c r="O62" s="3"/>
      <c r="P62" s="3"/>
      <c r="Q62" s="3"/>
      <c r="R62" s="3"/>
      <c r="S62" s="34"/>
      <c r="T62" s="2"/>
      <c r="U62" s="31"/>
      <c r="V62" s="31"/>
      <c r="W62" s="31"/>
      <c r="X62" s="31"/>
      <c r="Y62" s="31"/>
      <c r="Z62" s="31"/>
      <c r="AA62" s="31"/>
      <c r="AB62" s="31"/>
      <c r="AC62" s="20"/>
      <c r="AD62" s="67"/>
      <c r="AE62" s="66"/>
      <c r="AF62" s="79"/>
      <c r="AG62" s="46"/>
      <c r="AH62" s="31"/>
      <c r="AI62" s="31" t="str">
        <f t="shared" si="23"/>
        <v/>
      </c>
      <c r="AJ62" s="31" t="str">
        <f t="shared" si="20"/>
        <v/>
      </c>
      <c r="AK62" s="31" t="str">
        <f t="shared" si="24"/>
        <v/>
      </c>
      <c r="AL62" s="31" t="str">
        <f t="shared" si="2"/>
        <v/>
      </c>
      <c r="AM62" s="31" t="str">
        <f t="shared" si="25"/>
        <v/>
      </c>
      <c r="AN62" s="31" t="str">
        <f t="shared" si="4"/>
        <v/>
      </c>
      <c r="AO62" s="31" t="str">
        <f t="shared" si="26"/>
        <v/>
      </c>
      <c r="AP62" s="31" t="str">
        <f t="shared" si="6"/>
        <v/>
      </c>
      <c r="AQ62" s="31" t="str">
        <f t="shared" si="27"/>
        <v/>
      </c>
      <c r="AR62" s="31" t="str">
        <f t="shared" si="8"/>
        <v/>
      </c>
      <c r="AS62" s="31" t="str">
        <f t="shared" si="28"/>
        <v/>
      </c>
      <c r="AT62" s="31" t="str">
        <f t="shared" si="10"/>
        <v/>
      </c>
      <c r="AU62" s="31" t="str">
        <f t="shared" si="11"/>
        <v/>
      </c>
      <c r="AV62" s="31" t="str">
        <f t="shared" si="21"/>
        <v/>
      </c>
      <c r="AW62" s="14"/>
      <c r="AX62" s="14"/>
      <c r="AY62" s="14"/>
      <c r="AZ62" s="14"/>
      <c r="BA62" s="14"/>
      <c r="BB62" s="14"/>
      <c r="BC62" s="14"/>
      <c r="BD62" s="14"/>
      <c r="BE62" s="14"/>
      <c r="BF62" s="14"/>
      <c r="BG62" s="14"/>
    </row>
    <row r="63" spans="1:59" customFormat="1" x14ac:dyDescent="0.35">
      <c r="A63" s="25"/>
      <c r="B63" s="3"/>
      <c r="C63" s="20"/>
      <c r="D63" s="3"/>
      <c r="E63" s="20"/>
      <c r="F63" s="67"/>
      <c r="G63" s="3"/>
      <c r="H63" s="6"/>
      <c r="I63" s="3"/>
      <c r="J63" s="3"/>
      <c r="K63" s="3"/>
      <c r="L63" s="8"/>
      <c r="M63" s="3"/>
      <c r="N63" s="3"/>
      <c r="O63" s="3"/>
      <c r="P63" s="3"/>
      <c r="Q63" s="3"/>
      <c r="R63" s="3"/>
      <c r="S63" s="34"/>
      <c r="T63" s="2"/>
      <c r="U63" s="31"/>
      <c r="V63" s="31"/>
      <c r="W63" s="31"/>
      <c r="X63" s="31"/>
      <c r="Y63" s="31"/>
      <c r="Z63" s="31"/>
      <c r="AA63" s="31"/>
      <c r="AB63" s="31"/>
      <c r="AC63" s="20"/>
      <c r="AD63" s="67"/>
      <c r="AE63" s="66"/>
      <c r="AF63" s="79"/>
      <c r="AG63" s="46"/>
      <c r="AH63" s="31"/>
      <c r="AI63" s="31" t="str">
        <f t="shared" si="23"/>
        <v/>
      </c>
      <c r="AJ63" s="31" t="str">
        <f t="shared" si="20"/>
        <v/>
      </c>
      <c r="AK63" s="31" t="str">
        <f t="shared" si="24"/>
        <v/>
      </c>
      <c r="AL63" s="31" t="str">
        <f t="shared" si="2"/>
        <v/>
      </c>
      <c r="AM63" s="31" t="str">
        <f t="shared" si="25"/>
        <v/>
      </c>
      <c r="AN63" s="31" t="str">
        <f t="shared" si="4"/>
        <v/>
      </c>
      <c r="AO63" s="31" t="str">
        <f t="shared" si="26"/>
        <v/>
      </c>
      <c r="AP63" s="31" t="str">
        <f t="shared" si="6"/>
        <v/>
      </c>
      <c r="AQ63" s="31" t="str">
        <f t="shared" si="27"/>
        <v/>
      </c>
      <c r="AR63" s="31" t="str">
        <f t="shared" si="8"/>
        <v/>
      </c>
      <c r="AS63" s="31" t="str">
        <f t="shared" si="28"/>
        <v/>
      </c>
      <c r="AT63" s="31" t="str">
        <f t="shared" si="10"/>
        <v/>
      </c>
      <c r="AU63" s="31" t="str">
        <f t="shared" si="11"/>
        <v/>
      </c>
      <c r="AV63" s="31" t="str">
        <f t="shared" si="21"/>
        <v/>
      </c>
      <c r="AW63" s="14"/>
      <c r="AX63" s="14"/>
      <c r="AY63" s="14"/>
      <c r="AZ63" s="14"/>
      <c r="BA63" s="14"/>
      <c r="BB63" s="14"/>
      <c r="BC63" s="14"/>
      <c r="BD63" s="14"/>
      <c r="BE63" s="14"/>
      <c r="BF63" s="14"/>
      <c r="BG63" s="14"/>
    </row>
    <row r="64" spans="1:59" customFormat="1" x14ac:dyDescent="0.35">
      <c r="A64" s="25"/>
      <c r="B64" s="3"/>
      <c r="C64" s="20"/>
      <c r="D64" s="3"/>
      <c r="E64" s="20"/>
      <c r="F64" s="67"/>
      <c r="G64" s="3"/>
      <c r="H64" s="6"/>
      <c r="I64" s="3"/>
      <c r="J64" s="3"/>
      <c r="K64" s="3"/>
      <c r="L64" s="8"/>
      <c r="M64" s="3"/>
      <c r="N64" s="3"/>
      <c r="O64" s="3"/>
      <c r="P64" s="3"/>
      <c r="Q64" s="3"/>
      <c r="R64" s="3"/>
      <c r="S64" s="34"/>
      <c r="T64" s="2"/>
      <c r="U64" s="31"/>
      <c r="V64" s="31"/>
      <c r="W64" s="31"/>
      <c r="X64" s="31"/>
      <c r="Y64" s="31"/>
      <c r="Z64" s="31"/>
      <c r="AA64" s="31"/>
      <c r="AB64" s="31"/>
      <c r="AC64" s="20"/>
      <c r="AD64" s="67"/>
      <c r="AE64" s="66"/>
      <c r="AF64" s="79"/>
      <c r="AG64" s="46"/>
      <c r="AH64" s="31"/>
      <c r="AI64" s="31" t="str">
        <f t="shared" si="23"/>
        <v/>
      </c>
      <c r="AJ64" s="31" t="str">
        <f t="shared" si="20"/>
        <v/>
      </c>
      <c r="AK64" s="31" t="str">
        <f t="shared" si="24"/>
        <v/>
      </c>
      <c r="AL64" s="31" t="str">
        <f t="shared" si="2"/>
        <v/>
      </c>
      <c r="AM64" s="31" t="str">
        <f t="shared" si="25"/>
        <v/>
      </c>
      <c r="AN64" s="31" t="str">
        <f t="shared" si="4"/>
        <v/>
      </c>
      <c r="AO64" s="31" t="str">
        <f t="shared" si="26"/>
        <v/>
      </c>
      <c r="AP64" s="31" t="str">
        <f t="shared" si="6"/>
        <v/>
      </c>
      <c r="AQ64" s="31" t="str">
        <f t="shared" si="27"/>
        <v/>
      </c>
      <c r="AR64" s="31" t="str">
        <f t="shared" si="8"/>
        <v/>
      </c>
      <c r="AS64" s="31" t="str">
        <f t="shared" si="28"/>
        <v/>
      </c>
      <c r="AT64" s="31" t="str">
        <f t="shared" si="10"/>
        <v/>
      </c>
      <c r="AU64" s="31" t="str">
        <f t="shared" si="11"/>
        <v/>
      </c>
      <c r="AV64" s="31" t="str">
        <f t="shared" si="21"/>
        <v/>
      </c>
      <c r="AW64" s="14"/>
      <c r="AX64" s="14"/>
      <c r="AY64" s="14"/>
      <c r="AZ64" s="14"/>
      <c r="BA64" s="14"/>
      <c r="BB64" s="14"/>
      <c r="BC64" s="14"/>
      <c r="BD64" s="14"/>
      <c r="BE64" s="14"/>
      <c r="BF64" s="14"/>
      <c r="BG64" s="14"/>
    </row>
    <row r="65" spans="1:59" customFormat="1" x14ac:dyDescent="0.35">
      <c r="A65" s="25"/>
      <c r="B65" s="3"/>
      <c r="C65" s="20"/>
      <c r="D65" s="3"/>
      <c r="E65" s="20"/>
      <c r="F65" s="67"/>
      <c r="G65" s="3"/>
      <c r="H65" s="6"/>
      <c r="I65" s="3"/>
      <c r="J65" s="3"/>
      <c r="K65" s="3"/>
      <c r="L65" s="8"/>
      <c r="M65" s="3"/>
      <c r="N65" s="3"/>
      <c r="O65" s="3"/>
      <c r="P65" s="3"/>
      <c r="Q65" s="3"/>
      <c r="R65" s="3"/>
      <c r="S65" s="34"/>
      <c r="T65" s="2"/>
      <c r="U65" s="31"/>
      <c r="V65" s="31"/>
      <c r="W65" s="31"/>
      <c r="X65" s="31"/>
      <c r="Y65" s="31"/>
      <c r="Z65" s="31"/>
      <c r="AA65" s="31"/>
      <c r="AB65" s="31"/>
      <c r="AC65" s="20"/>
      <c r="AD65" s="67"/>
      <c r="AE65" s="66"/>
      <c r="AF65" s="79"/>
      <c r="AG65" s="46"/>
      <c r="AH65" s="31"/>
      <c r="AI65" s="31" t="str">
        <f t="shared" si="23"/>
        <v/>
      </c>
      <c r="AJ65" s="31" t="str">
        <f t="shared" si="20"/>
        <v/>
      </c>
      <c r="AK65" s="31" t="str">
        <f t="shared" si="24"/>
        <v/>
      </c>
      <c r="AL65" s="31" t="str">
        <f t="shared" si="2"/>
        <v/>
      </c>
      <c r="AM65" s="31" t="str">
        <f t="shared" si="25"/>
        <v/>
      </c>
      <c r="AN65" s="31" t="str">
        <f t="shared" si="4"/>
        <v/>
      </c>
      <c r="AO65" s="31" t="str">
        <f t="shared" si="26"/>
        <v/>
      </c>
      <c r="AP65" s="31" t="str">
        <f t="shared" si="6"/>
        <v/>
      </c>
      <c r="AQ65" s="31" t="str">
        <f t="shared" si="27"/>
        <v/>
      </c>
      <c r="AR65" s="31" t="str">
        <f t="shared" si="8"/>
        <v/>
      </c>
      <c r="AS65" s="31" t="str">
        <f t="shared" si="28"/>
        <v/>
      </c>
      <c r="AT65" s="31" t="str">
        <f t="shared" si="10"/>
        <v/>
      </c>
      <c r="AU65" s="31" t="str">
        <f t="shared" si="11"/>
        <v/>
      </c>
      <c r="AV65" s="31" t="str">
        <f t="shared" si="21"/>
        <v/>
      </c>
      <c r="AW65" s="14"/>
      <c r="AX65" s="14"/>
      <c r="AY65" s="14"/>
      <c r="AZ65" s="14"/>
      <c r="BA65" s="14"/>
      <c r="BB65" s="14"/>
      <c r="BC65" s="14"/>
      <c r="BD65" s="14"/>
      <c r="BE65" s="14"/>
      <c r="BF65" s="14"/>
      <c r="BG65" s="14"/>
    </row>
    <row r="66" spans="1:59" customFormat="1" x14ac:dyDescent="0.35">
      <c r="A66" s="25"/>
      <c r="B66" s="3"/>
      <c r="C66" s="20"/>
      <c r="D66" s="3"/>
      <c r="E66" s="20"/>
      <c r="F66" s="67"/>
      <c r="G66" s="3"/>
      <c r="H66" s="6"/>
      <c r="I66" s="3"/>
      <c r="J66" s="3"/>
      <c r="K66" s="3"/>
      <c r="L66" s="8"/>
      <c r="M66" s="3"/>
      <c r="N66" s="3"/>
      <c r="O66" s="3"/>
      <c r="P66" s="3"/>
      <c r="Q66" s="3"/>
      <c r="R66" s="3"/>
      <c r="S66" s="34"/>
      <c r="T66" s="2"/>
      <c r="U66" s="31"/>
      <c r="V66" s="31"/>
      <c r="W66" s="31"/>
      <c r="X66" s="31"/>
      <c r="Y66" s="31"/>
      <c r="Z66" s="31"/>
      <c r="AA66" s="31"/>
      <c r="AB66" s="31"/>
      <c r="AC66" s="20"/>
      <c r="AD66" s="67"/>
      <c r="AE66" s="66"/>
      <c r="AF66" s="79"/>
      <c r="AG66" s="46"/>
      <c r="AH66" s="31"/>
      <c r="AI66" s="31" t="str">
        <f t="shared" si="23"/>
        <v/>
      </c>
      <c r="AJ66" s="31" t="str">
        <f t="shared" si="20"/>
        <v/>
      </c>
      <c r="AK66" s="31" t="str">
        <f t="shared" si="24"/>
        <v/>
      </c>
      <c r="AL66" s="31" t="str">
        <f t="shared" si="2"/>
        <v/>
      </c>
      <c r="AM66" s="31" t="str">
        <f t="shared" si="25"/>
        <v/>
      </c>
      <c r="AN66" s="31" t="str">
        <f t="shared" si="4"/>
        <v/>
      </c>
      <c r="AO66" s="31" t="str">
        <f t="shared" si="26"/>
        <v/>
      </c>
      <c r="AP66" s="31" t="str">
        <f t="shared" si="6"/>
        <v/>
      </c>
      <c r="AQ66" s="31" t="str">
        <f t="shared" si="27"/>
        <v/>
      </c>
      <c r="AR66" s="31" t="str">
        <f t="shared" si="8"/>
        <v/>
      </c>
      <c r="AS66" s="31" t="str">
        <f t="shared" si="28"/>
        <v/>
      </c>
      <c r="AT66" s="31" t="str">
        <f t="shared" si="10"/>
        <v/>
      </c>
      <c r="AU66" s="31" t="str">
        <f t="shared" si="11"/>
        <v/>
      </c>
      <c r="AV66" s="31" t="str">
        <f t="shared" si="21"/>
        <v/>
      </c>
      <c r="AW66" s="14"/>
      <c r="AX66" s="14"/>
      <c r="AY66" s="14"/>
      <c r="AZ66" s="14"/>
      <c r="BA66" s="14"/>
      <c r="BB66" s="14"/>
      <c r="BC66" s="14"/>
      <c r="BD66" s="14"/>
      <c r="BE66" s="14"/>
      <c r="BF66" s="14"/>
      <c r="BG66" s="14"/>
    </row>
    <row r="67" spans="1:59" customFormat="1" x14ac:dyDescent="0.35">
      <c r="A67" s="25"/>
      <c r="B67" s="3"/>
      <c r="C67" s="20"/>
      <c r="D67" s="3"/>
      <c r="E67" s="20"/>
      <c r="F67" s="67"/>
      <c r="G67" s="3"/>
      <c r="H67" s="6"/>
      <c r="I67" s="3"/>
      <c r="J67" s="3"/>
      <c r="K67" s="3"/>
      <c r="L67" s="8"/>
      <c r="M67" s="3"/>
      <c r="N67" s="3"/>
      <c r="O67" s="3"/>
      <c r="P67" s="3"/>
      <c r="Q67" s="3"/>
      <c r="R67" s="3"/>
      <c r="S67" s="34"/>
      <c r="T67" s="31"/>
      <c r="U67" s="31"/>
      <c r="V67" s="31"/>
      <c r="W67" s="31"/>
      <c r="X67" s="31"/>
      <c r="Y67" s="31"/>
      <c r="Z67" s="31"/>
      <c r="AA67" s="31"/>
      <c r="AB67" s="31"/>
      <c r="AC67" s="20"/>
      <c r="AD67" s="67"/>
      <c r="AE67" s="66"/>
      <c r="AF67" s="79"/>
      <c r="AG67" s="46"/>
      <c r="AH67" s="31"/>
      <c r="AI67" s="31" t="str">
        <f t="shared" ref="AI67:AI98" si="29">IF(AND($I67="W", $J67="TWA", $K67="PBZ",$T67&lt;&gt;"", $AF67&lt;&gt;"ND"), $T67*($M67/480),"")</f>
        <v/>
      </c>
      <c r="AJ67" s="31" t="str">
        <f t="shared" si="20"/>
        <v/>
      </c>
      <c r="AK67" s="31" t="str">
        <f t="shared" ref="AK67:AK98" si="30">IF(AND($I67="W", $J67="12-hr", $K67="PBZ",$T67&lt;&gt;"", $AF67&lt;&gt;"ND"), $T67, "")</f>
        <v/>
      </c>
      <c r="AL67" s="31" t="str">
        <f t="shared" ref="AL67:AL130" si="31">+IFERROR(LN(AK67),"")</f>
        <v/>
      </c>
      <c r="AM67" s="31" t="str">
        <f t="shared" ref="AM67:AM98" si="32">IF(AND($I67="W", $J67="15-min", $K67="PBZ",$T67&lt;&gt;"", $AF67&lt;&gt;"ND"), $T67, "")</f>
        <v/>
      </c>
      <c r="AN67" s="31" t="str">
        <f t="shared" ref="AN67:AN130" si="33">+IFERROR(LN(AM67),"")</f>
        <v/>
      </c>
      <c r="AO67" s="31" t="str">
        <f t="shared" ref="AO67:AO98" si="34">IF(AND($I67="W", $J67="short-term", $K67="PBZ",$T67&lt;&gt;"", $AF67&lt;&gt;"ND"), $T67, "")</f>
        <v/>
      </c>
      <c r="AP67" s="31" t="str">
        <f t="shared" ref="AP67:AP130" si="35">+IFERROR(LN(AO67),"")</f>
        <v/>
      </c>
      <c r="AQ67" s="31" t="str">
        <f t="shared" ref="AQ67:AQ98" si="36">IF(AND($I67="ONU", $J67="TWA", $K67="PBZ",$T67&lt;&gt;"", $AF67&lt;&gt;"ND"), $T67*($M67/480), "")</f>
        <v/>
      </c>
      <c r="AR67" s="31" t="str">
        <f t="shared" ref="AR67:AR130" si="37">+IFERROR(LN(AQ67),"")</f>
        <v/>
      </c>
      <c r="AS67" s="31" t="str">
        <f t="shared" ref="AS67:AS98" si="38">IF(AND($I67="ONU", $J67="12-hr", $K67="PBZ",$T67&lt;&gt;"", $AF67&lt;&gt;"ND"), $T67, "")</f>
        <v/>
      </c>
      <c r="AT67" s="31" t="str">
        <f t="shared" ref="AT67:AT130" si="39">+IFERROR(LN(AS67),"")</f>
        <v/>
      </c>
      <c r="AU67" s="31" t="str">
        <f t="shared" ref="AU67:AU130" si="40">IF(AND($I67="W", $J67="Short-term", $K67="PBZ", $M67&lt;&gt;"", $T67&lt;&gt;""),$M67, "")</f>
        <v/>
      </c>
      <c r="AV67" s="31" t="str">
        <f t="shared" si="21"/>
        <v/>
      </c>
      <c r="AW67" s="14"/>
      <c r="AX67" s="14"/>
      <c r="AY67" s="14"/>
      <c r="AZ67" s="14"/>
      <c r="BA67" s="14"/>
      <c r="BB67" s="14"/>
      <c r="BC67" s="14"/>
      <c r="BD67" s="14"/>
      <c r="BE67" s="14"/>
      <c r="BF67" s="14"/>
      <c r="BG67" s="14"/>
    </row>
    <row r="68" spans="1:59" customFormat="1" x14ac:dyDescent="0.35">
      <c r="A68" s="25"/>
      <c r="B68" s="3"/>
      <c r="C68" s="20"/>
      <c r="D68" s="3"/>
      <c r="E68" s="20"/>
      <c r="F68" s="67"/>
      <c r="G68" s="3"/>
      <c r="H68" s="6"/>
      <c r="I68" s="3"/>
      <c r="J68" s="3"/>
      <c r="K68" s="3"/>
      <c r="L68" s="8"/>
      <c r="M68" s="3"/>
      <c r="N68" s="3"/>
      <c r="O68" s="3"/>
      <c r="P68" s="3"/>
      <c r="Q68" s="3"/>
      <c r="R68" s="3"/>
      <c r="S68" s="34"/>
      <c r="T68" s="31"/>
      <c r="U68" s="31"/>
      <c r="V68" s="31"/>
      <c r="W68" s="31"/>
      <c r="X68" s="31"/>
      <c r="Y68" s="31"/>
      <c r="Z68" s="31"/>
      <c r="AA68" s="31"/>
      <c r="AB68" s="31"/>
      <c r="AC68" s="20"/>
      <c r="AD68" s="67"/>
      <c r="AE68" s="66"/>
      <c r="AF68" s="79"/>
      <c r="AG68" s="46"/>
      <c r="AH68" s="31"/>
      <c r="AI68" s="31" t="str">
        <f t="shared" si="29"/>
        <v/>
      </c>
      <c r="AJ68" s="31" t="str">
        <f t="shared" ref="AJ68:AJ131" si="41">+IFERROR(LN(AI68),"")</f>
        <v/>
      </c>
      <c r="AK68" s="31" t="str">
        <f t="shared" si="30"/>
        <v/>
      </c>
      <c r="AL68" s="31" t="str">
        <f t="shared" si="31"/>
        <v/>
      </c>
      <c r="AM68" s="31" t="str">
        <f t="shared" si="32"/>
        <v/>
      </c>
      <c r="AN68" s="31" t="str">
        <f t="shared" si="33"/>
        <v/>
      </c>
      <c r="AO68" s="31" t="str">
        <f t="shared" si="34"/>
        <v/>
      </c>
      <c r="AP68" s="31" t="str">
        <f t="shared" si="35"/>
        <v/>
      </c>
      <c r="AQ68" s="31" t="str">
        <f t="shared" si="36"/>
        <v/>
      </c>
      <c r="AR68" s="31" t="str">
        <f t="shared" si="37"/>
        <v/>
      </c>
      <c r="AS68" s="31" t="str">
        <f t="shared" si="38"/>
        <v/>
      </c>
      <c r="AT68" s="31" t="str">
        <f t="shared" si="39"/>
        <v/>
      </c>
      <c r="AU68" s="31" t="str">
        <f t="shared" si="40"/>
        <v/>
      </c>
      <c r="AV68" s="31" t="str">
        <f t="shared" ref="AV68:AV131" si="42">IF(AND($I68="ONU", $J68="Short-term", $K68="PBZ", $M68&lt;&gt;"", $T68&lt;&gt;""),$M68, "")</f>
        <v/>
      </c>
      <c r="AW68" s="14"/>
      <c r="AX68" s="14"/>
      <c r="AY68" s="14"/>
      <c r="AZ68" s="14"/>
      <c r="BA68" s="14"/>
      <c r="BB68" s="14"/>
      <c r="BC68" s="14"/>
      <c r="BD68" s="14"/>
      <c r="BE68" s="14"/>
      <c r="BF68" s="14"/>
      <c r="BG68" s="14"/>
    </row>
    <row r="69" spans="1:59" customFormat="1" x14ac:dyDescent="0.35">
      <c r="A69" s="25"/>
      <c r="B69" s="3"/>
      <c r="C69" s="20"/>
      <c r="D69" s="3"/>
      <c r="E69" s="20"/>
      <c r="F69" s="67"/>
      <c r="G69" s="3"/>
      <c r="H69" s="6"/>
      <c r="I69" s="3"/>
      <c r="J69" s="3"/>
      <c r="K69" s="3"/>
      <c r="L69" s="3"/>
      <c r="M69" s="3"/>
      <c r="N69" s="3"/>
      <c r="O69" s="3"/>
      <c r="P69" s="3"/>
      <c r="Q69" s="3"/>
      <c r="R69" s="3"/>
      <c r="S69" s="3"/>
      <c r="T69" s="31"/>
      <c r="U69" s="31"/>
      <c r="V69" s="31"/>
      <c r="W69" s="31"/>
      <c r="X69" s="31"/>
      <c r="Y69" s="31"/>
      <c r="Z69" s="31"/>
      <c r="AA69" s="31"/>
      <c r="AB69" s="31"/>
      <c r="AC69" s="20"/>
      <c r="AD69" s="67"/>
      <c r="AE69" s="66"/>
      <c r="AF69" s="79"/>
      <c r="AG69" s="46"/>
      <c r="AH69" s="31"/>
      <c r="AI69" s="31" t="str">
        <f t="shared" si="29"/>
        <v/>
      </c>
      <c r="AJ69" s="31" t="str">
        <f t="shared" si="41"/>
        <v/>
      </c>
      <c r="AK69" s="31" t="str">
        <f t="shared" si="30"/>
        <v/>
      </c>
      <c r="AL69" s="31" t="str">
        <f t="shared" si="31"/>
        <v/>
      </c>
      <c r="AM69" s="31" t="str">
        <f t="shared" si="32"/>
        <v/>
      </c>
      <c r="AN69" s="31" t="str">
        <f t="shared" si="33"/>
        <v/>
      </c>
      <c r="AO69" s="31" t="str">
        <f t="shared" si="34"/>
        <v/>
      </c>
      <c r="AP69" s="31" t="str">
        <f t="shared" si="35"/>
        <v/>
      </c>
      <c r="AQ69" s="31" t="str">
        <f t="shared" si="36"/>
        <v/>
      </c>
      <c r="AR69" s="31" t="str">
        <f t="shared" si="37"/>
        <v/>
      </c>
      <c r="AS69" s="31" t="str">
        <f t="shared" si="38"/>
        <v/>
      </c>
      <c r="AT69" s="31" t="str">
        <f t="shared" si="39"/>
        <v/>
      </c>
      <c r="AU69" s="31" t="str">
        <f t="shared" si="40"/>
        <v/>
      </c>
      <c r="AV69" s="31" t="str">
        <f t="shared" si="42"/>
        <v/>
      </c>
      <c r="AW69" s="14"/>
      <c r="AX69" s="14"/>
      <c r="AY69" s="14"/>
      <c r="AZ69" s="14"/>
      <c r="BA69" s="14"/>
      <c r="BB69" s="14"/>
      <c r="BC69" s="14"/>
      <c r="BD69" s="14"/>
      <c r="BE69" s="14"/>
      <c r="BF69" s="14"/>
      <c r="BG69" s="14"/>
    </row>
    <row r="70" spans="1:59" customFormat="1" x14ac:dyDescent="0.35">
      <c r="A70" s="25"/>
      <c r="B70" s="3"/>
      <c r="C70" s="20"/>
      <c r="D70" s="3"/>
      <c r="E70" s="20"/>
      <c r="F70" s="67"/>
      <c r="G70" s="3"/>
      <c r="H70" s="6"/>
      <c r="I70" s="3"/>
      <c r="J70" s="3"/>
      <c r="K70" s="3"/>
      <c r="L70" s="3"/>
      <c r="M70" s="3"/>
      <c r="N70" s="3"/>
      <c r="O70" s="3"/>
      <c r="P70" s="3"/>
      <c r="Q70" s="3"/>
      <c r="R70" s="3"/>
      <c r="S70" s="3"/>
      <c r="T70" s="31"/>
      <c r="U70" s="31"/>
      <c r="V70" s="31"/>
      <c r="W70" s="31"/>
      <c r="X70" s="31"/>
      <c r="Y70" s="31"/>
      <c r="Z70" s="31"/>
      <c r="AA70" s="31"/>
      <c r="AB70" s="31"/>
      <c r="AC70" s="20"/>
      <c r="AD70" s="67"/>
      <c r="AE70" s="66"/>
      <c r="AF70" s="79"/>
      <c r="AG70" s="46"/>
      <c r="AH70" s="31"/>
      <c r="AI70" s="31" t="str">
        <f t="shared" si="29"/>
        <v/>
      </c>
      <c r="AJ70" s="31" t="str">
        <f t="shared" si="41"/>
        <v/>
      </c>
      <c r="AK70" s="31" t="str">
        <f t="shared" si="30"/>
        <v/>
      </c>
      <c r="AL70" s="31" t="str">
        <f t="shared" si="31"/>
        <v/>
      </c>
      <c r="AM70" s="31" t="str">
        <f t="shared" si="32"/>
        <v/>
      </c>
      <c r="AN70" s="31" t="str">
        <f t="shared" si="33"/>
        <v/>
      </c>
      <c r="AO70" s="31" t="str">
        <f t="shared" si="34"/>
        <v/>
      </c>
      <c r="AP70" s="31" t="str">
        <f t="shared" si="35"/>
        <v/>
      </c>
      <c r="AQ70" s="31" t="str">
        <f t="shared" si="36"/>
        <v/>
      </c>
      <c r="AR70" s="31" t="str">
        <f t="shared" si="37"/>
        <v/>
      </c>
      <c r="AS70" s="31" t="str">
        <f t="shared" si="38"/>
        <v/>
      </c>
      <c r="AT70" s="31" t="str">
        <f t="shared" si="39"/>
        <v/>
      </c>
      <c r="AU70" s="31" t="str">
        <f t="shared" si="40"/>
        <v/>
      </c>
      <c r="AV70" s="31" t="str">
        <f t="shared" si="42"/>
        <v/>
      </c>
      <c r="AW70" s="14"/>
      <c r="AX70" s="14"/>
      <c r="AY70" s="14"/>
      <c r="AZ70" s="14"/>
      <c r="BA70" s="14"/>
      <c r="BB70" s="14"/>
      <c r="BC70" s="14"/>
      <c r="BD70" s="14"/>
      <c r="BE70" s="14"/>
      <c r="BF70" s="14"/>
      <c r="BG70" s="14"/>
    </row>
    <row r="71" spans="1:59" x14ac:dyDescent="0.35">
      <c r="A71" s="25"/>
      <c r="B71" s="3"/>
      <c r="C71" s="20"/>
      <c r="D71" s="3"/>
      <c r="E71" s="20"/>
      <c r="F71" s="67"/>
      <c r="G71" s="3"/>
      <c r="H71" s="20"/>
      <c r="I71" s="3"/>
      <c r="J71" s="3"/>
      <c r="K71" s="3"/>
      <c r="L71" s="3"/>
      <c r="M71" s="3"/>
      <c r="N71" s="3"/>
      <c r="O71" s="3"/>
      <c r="P71" s="3"/>
      <c r="Q71" s="3"/>
      <c r="R71" s="3"/>
      <c r="S71" s="3"/>
      <c r="T71" s="31"/>
      <c r="U71" s="31"/>
      <c r="V71" s="31"/>
      <c r="W71" s="31"/>
      <c r="X71" s="31"/>
      <c r="Y71" s="31"/>
      <c r="Z71" s="31"/>
      <c r="AA71" s="31"/>
      <c r="AB71" s="31"/>
      <c r="AC71" s="20"/>
      <c r="AD71" s="67"/>
      <c r="AE71" s="66"/>
      <c r="AF71" s="79"/>
      <c r="AG71" s="46"/>
      <c r="AH71" s="31"/>
      <c r="AI71" s="31" t="str">
        <f t="shared" si="29"/>
        <v/>
      </c>
      <c r="AJ71" s="31" t="str">
        <f t="shared" si="41"/>
        <v/>
      </c>
      <c r="AK71" s="31" t="str">
        <f t="shared" si="30"/>
        <v/>
      </c>
      <c r="AL71" s="31" t="str">
        <f t="shared" si="31"/>
        <v/>
      </c>
      <c r="AM71" s="31" t="str">
        <f t="shared" si="32"/>
        <v/>
      </c>
      <c r="AN71" s="31" t="str">
        <f t="shared" si="33"/>
        <v/>
      </c>
      <c r="AO71" s="31" t="str">
        <f t="shared" si="34"/>
        <v/>
      </c>
      <c r="AP71" s="31" t="str">
        <f t="shared" si="35"/>
        <v/>
      </c>
      <c r="AQ71" s="31" t="str">
        <f t="shared" si="36"/>
        <v/>
      </c>
      <c r="AR71" s="31" t="str">
        <f t="shared" si="37"/>
        <v/>
      </c>
      <c r="AS71" s="31" t="str">
        <f t="shared" si="38"/>
        <v/>
      </c>
      <c r="AT71" s="31" t="str">
        <f t="shared" si="39"/>
        <v/>
      </c>
      <c r="AU71" s="31" t="str">
        <f t="shared" si="40"/>
        <v/>
      </c>
      <c r="AV71" s="31" t="str">
        <f t="shared" si="42"/>
        <v/>
      </c>
    </row>
    <row r="72" spans="1:59" x14ac:dyDescent="0.35">
      <c r="A72" s="25"/>
      <c r="B72" s="3"/>
      <c r="C72" s="20"/>
      <c r="D72" s="3"/>
      <c r="E72" s="20"/>
      <c r="F72" s="67"/>
      <c r="G72" s="3"/>
      <c r="H72" s="6"/>
      <c r="I72" s="3"/>
      <c r="J72" s="3"/>
      <c r="K72" s="3"/>
      <c r="L72" s="3"/>
      <c r="M72" s="3"/>
      <c r="N72" s="3"/>
      <c r="O72" s="3"/>
      <c r="P72" s="3"/>
      <c r="Q72" s="3"/>
      <c r="R72" s="3"/>
      <c r="S72" s="34"/>
      <c r="T72" s="31"/>
      <c r="U72" s="31"/>
      <c r="V72" s="31"/>
      <c r="W72" s="31"/>
      <c r="X72" s="31"/>
      <c r="Y72" s="31"/>
      <c r="Z72" s="31"/>
      <c r="AA72" s="31"/>
      <c r="AB72" s="31"/>
      <c r="AC72" s="20"/>
      <c r="AD72" s="67"/>
      <c r="AE72" s="66"/>
      <c r="AF72" s="79"/>
      <c r="AG72" s="46"/>
      <c r="AH72" s="31"/>
      <c r="AI72" s="31" t="str">
        <f t="shared" si="29"/>
        <v/>
      </c>
      <c r="AJ72" s="31" t="str">
        <f t="shared" si="41"/>
        <v/>
      </c>
      <c r="AK72" s="31" t="str">
        <f t="shared" si="30"/>
        <v/>
      </c>
      <c r="AL72" s="31" t="str">
        <f t="shared" si="31"/>
        <v/>
      </c>
      <c r="AM72" s="31" t="str">
        <f t="shared" si="32"/>
        <v/>
      </c>
      <c r="AN72" s="31" t="str">
        <f t="shared" si="33"/>
        <v/>
      </c>
      <c r="AO72" s="31" t="str">
        <f t="shared" si="34"/>
        <v/>
      </c>
      <c r="AP72" s="31" t="str">
        <f t="shared" si="35"/>
        <v/>
      </c>
      <c r="AQ72" s="31" t="str">
        <f t="shared" si="36"/>
        <v/>
      </c>
      <c r="AR72" s="31" t="str">
        <f t="shared" si="37"/>
        <v/>
      </c>
      <c r="AS72" s="31" t="str">
        <f t="shared" si="38"/>
        <v/>
      </c>
      <c r="AT72" s="31" t="str">
        <f t="shared" si="39"/>
        <v/>
      </c>
      <c r="AU72" s="31" t="str">
        <f t="shared" si="40"/>
        <v/>
      </c>
      <c r="AV72" s="31" t="str">
        <f t="shared" si="42"/>
        <v/>
      </c>
    </row>
    <row r="73" spans="1:59" x14ac:dyDescent="0.35">
      <c r="A73" s="25"/>
      <c r="B73" s="3"/>
      <c r="C73" s="20"/>
      <c r="D73" s="3"/>
      <c r="E73" s="20"/>
      <c r="F73" s="67"/>
      <c r="G73" s="3"/>
      <c r="H73" s="6"/>
      <c r="I73" s="3"/>
      <c r="J73" s="3"/>
      <c r="K73" s="3"/>
      <c r="L73" s="3"/>
      <c r="M73" s="3"/>
      <c r="N73" s="3"/>
      <c r="O73" s="3"/>
      <c r="P73" s="3"/>
      <c r="Q73" s="3"/>
      <c r="R73" s="3"/>
      <c r="S73" s="34"/>
      <c r="T73" s="31"/>
      <c r="U73" s="31"/>
      <c r="V73" s="31"/>
      <c r="W73" s="31"/>
      <c r="X73" s="31"/>
      <c r="Y73" s="31"/>
      <c r="Z73" s="31"/>
      <c r="AA73" s="31"/>
      <c r="AB73" s="31"/>
      <c r="AC73" s="20"/>
      <c r="AD73" s="67"/>
      <c r="AE73" s="66"/>
      <c r="AF73" s="79"/>
      <c r="AG73" s="46"/>
      <c r="AH73" s="31"/>
      <c r="AI73" s="31" t="str">
        <f t="shared" si="29"/>
        <v/>
      </c>
      <c r="AJ73" s="31" t="str">
        <f t="shared" si="41"/>
        <v/>
      </c>
      <c r="AK73" s="31" t="str">
        <f t="shared" si="30"/>
        <v/>
      </c>
      <c r="AL73" s="31" t="str">
        <f t="shared" si="31"/>
        <v/>
      </c>
      <c r="AM73" s="31" t="str">
        <f t="shared" si="32"/>
        <v/>
      </c>
      <c r="AN73" s="31" t="str">
        <f t="shared" si="33"/>
        <v/>
      </c>
      <c r="AO73" s="31" t="str">
        <f t="shared" si="34"/>
        <v/>
      </c>
      <c r="AP73" s="31" t="str">
        <f t="shared" si="35"/>
        <v/>
      </c>
      <c r="AQ73" s="31" t="str">
        <f t="shared" si="36"/>
        <v/>
      </c>
      <c r="AR73" s="31" t="str">
        <f t="shared" si="37"/>
        <v/>
      </c>
      <c r="AS73" s="31" t="str">
        <f t="shared" si="38"/>
        <v/>
      </c>
      <c r="AT73" s="31" t="str">
        <f t="shared" si="39"/>
        <v/>
      </c>
      <c r="AU73" s="31" t="str">
        <f t="shared" si="40"/>
        <v/>
      </c>
      <c r="AV73" s="31" t="str">
        <f t="shared" si="42"/>
        <v/>
      </c>
    </row>
    <row r="74" spans="1:59" x14ac:dyDescent="0.35">
      <c r="A74" s="25"/>
      <c r="B74" s="3"/>
      <c r="C74" s="20"/>
      <c r="D74" s="3"/>
      <c r="E74" s="20"/>
      <c r="F74" s="67"/>
      <c r="G74" s="3"/>
      <c r="H74" s="6"/>
      <c r="I74" s="3"/>
      <c r="J74" s="3"/>
      <c r="K74" s="3"/>
      <c r="L74" s="3"/>
      <c r="M74" s="3"/>
      <c r="N74" s="3"/>
      <c r="O74" s="3"/>
      <c r="P74" s="3"/>
      <c r="Q74" s="3"/>
      <c r="R74" s="3"/>
      <c r="S74" s="34"/>
      <c r="T74" s="31"/>
      <c r="U74" s="31"/>
      <c r="V74" s="31"/>
      <c r="W74" s="31"/>
      <c r="X74" s="31"/>
      <c r="Y74" s="31"/>
      <c r="Z74" s="31"/>
      <c r="AA74" s="31"/>
      <c r="AB74" s="31"/>
      <c r="AC74" s="20"/>
      <c r="AD74" s="67"/>
      <c r="AE74" s="66"/>
      <c r="AF74" s="79"/>
      <c r="AG74" s="46"/>
      <c r="AH74" s="31"/>
      <c r="AI74" s="31" t="str">
        <f t="shared" si="29"/>
        <v/>
      </c>
      <c r="AJ74" s="31" t="str">
        <f t="shared" si="41"/>
        <v/>
      </c>
      <c r="AK74" s="31" t="str">
        <f t="shared" si="30"/>
        <v/>
      </c>
      <c r="AL74" s="31" t="str">
        <f t="shared" si="31"/>
        <v/>
      </c>
      <c r="AM74" s="31" t="str">
        <f t="shared" si="32"/>
        <v/>
      </c>
      <c r="AN74" s="31" t="str">
        <f t="shared" si="33"/>
        <v/>
      </c>
      <c r="AO74" s="31" t="str">
        <f t="shared" si="34"/>
        <v/>
      </c>
      <c r="AP74" s="31" t="str">
        <f t="shared" si="35"/>
        <v/>
      </c>
      <c r="AQ74" s="31" t="str">
        <f t="shared" si="36"/>
        <v/>
      </c>
      <c r="AR74" s="31" t="str">
        <f t="shared" si="37"/>
        <v/>
      </c>
      <c r="AS74" s="31" t="str">
        <f t="shared" si="38"/>
        <v/>
      </c>
      <c r="AT74" s="31" t="str">
        <f t="shared" si="39"/>
        <v/>
      </c>
      <c r="AU74" s="31" t="str">
        <f t="shared" si="40"/>
        <v/>
      </c>
      <c r="AV74" s="31" t="str">
        <f t="shared" si="42"/>
        <v/>
      </c>
    </row>
    <row r="75" spans="1:59" x14ac:dyDescent="0.35">
      <c r="A75" s="25"/>
      <c r="B75" s="3"/>
      <c r="C75" s="20"/>
      <c r="D75" s="3"/>
      <c r="E75" s="20"/>
      <c r="F75" s="67"/>
      <c r="G75" s="3"/>
      <c r="H75" s="6"/>
      <c r="I75" s="3"/>
      <c r="J75" s="3"/>
      <c r="K75" s="3"/>
      <c r="L75" s="3"/>
      <c r="M75" s="3"/>
      <c r="N75" s="3"/>
      <c r="O75" s="3"/>
      <c r="P75" s="3"/>
      <c r="Q75" s="3"/>
      <c r="R75" s="3"/>
      <c r="S75" s="34"/>
      <c r="T75" s="31"/>
      <c r="U75" s="31"/>
      <c r="V75" s="31"/>
      <c r="W75" s="31"/>
      <c r="X75" s="31"/>
      <c r="Y75" s="31"/>
      <c r="Z75" s="31"/>
      <c r="AA75" s="31"/>
      <c r="AB75" s="31"/>
      <c r="AC75" s="20"/>
      <c r="AD75" s="67"/>
      <c r="AE75" s="66"/>
      <c r="AF75" s="79"/>
      <c r="AG75" s="46"/>
      <c r="AH75" s="31"/>
      <c r="AI75" s="31" t="str">
        <f t="shared" si="29"/>
        <v/>
      </c>
      <c r="AJ75" s="31" t="str">
        <f t="shared" si="41"/>
        <v/>
      </c>
      <c r="AK75" s="31" t="str">
        <f t="shared" si="30"/>
        <v/>
      </c>
      <c r="AL75" s="31" t="str">
        <f t="shared" si="31"/>
        <v/>
      </c>
      <c r="AM75" s="31" t="str">
        <f t="shared" si="32"/>
        <v/>
      </c>
      <c r="AN75" s="31" t="str">
        <f t="shared" si="33"/>
        <v/>
      </c>
      <c r="AO75" s="31" t="str">
        <f t="shared" si="34"/>
        <v/>
      </c>
      <c r="AP75" s="31" t="str">
        <f t="shared" si="35"/>
        <v/>
      </c>
      <c r="AQ75" s="31" t="str">
        <f t="shared" si="36"/>
        <v/>
      </c>
      <c r="AR75" s="31" t="str">
        <f t="shared" si="37"/>
        <v/>
      </c>
      <c r="AS75" s="31" t="str">
        <f t="shared" si="38"/>
        <v/>
      </c>
      <c r="AT75" s="31" t="str">
        <f t="shared" si="39"/>
        <v/>
      </c>
      <c r="AU75" s="31" t="str">
        <f t="shared" si="40"/>
        <v/>
      </c>
      <c r="AV75" s="31" t="str">
        <f t="shared" si="42"/>
        <v/>
      </c>
    </row>
    <row r="76" spans="1:59" x14ac:dyDescent="0.35">
      <c r="A76" s="25"/>
      <c r="B76" s="3"/>
      <c r="C76" s="20"/>
      <c r="D76" s="3"/>
      <c r="E76" s="20"/>
      <c r="F76" s="67"/>
      <c r="G76" s="3"/>
      <c r="H76" s="6"/>
      <c r="I76" s="3"/>
      <c r="J76" s="3"/>
      <c r="K76" s="3"/>
      <c r="L76" s="3"/>
      <c r="M76" s="3"/>
      <c r="N76" s="3"/>
      <c r="O76" s="3"/>
      <c r="P76" s="3"/>
      <c r="Q76" s="3"/>
      <c r="R76" s="3"/>
      <c r="S76" s="34"/>
      <c r="T76" s="31"/>
      <c r="U76" s="31"/>
      <c r="V76" s="31"/>
      <c r="W76" s="31"/>
      <c r="X76" s="31"/>
      <c r="Y76" s="31"/>
      <c r="Z76" s="31"/>
      <c r="AA76" s="31"/>
      <c r="AB76" s="31"/>
      <c r="AC76" s="20"/>
      <c r="AD76" s="67"/>
      <c r="AE76" s="66"/>
      <c r="AF76" s="79"/>
      <c r="AG76" s="46"/>
      <c r="AH76" s="31"/>
      <c r="AI76" s="31" t="str">
        <f t="shared" si="29"/>
        <v/>
      </c>
      <c r="AJ76" s="31" t="str">
        <f t="shared" si="41"/>
        <v/>
      </c>
      <c r="AK76" s="31" t="str">
        <f t="shared" si="30"/>
        <v/>
      </c>
      <c r="AL76" s="31" t="str">
        <f t="shared" si="31"/>
        <v/>
      </c>
      <c r="AM76" s="31" t="str">
        <f t="shared" si="32"/>
        <v/>
      </c>
      <c r="AN76" s="31" t="str">
        <f t="shared" si="33"/>
        <v/>
      </c>
      <c r="AO76" s="31" t="str">
        <f t="shared" si="34"/>
        <v/>
      </c>
      <c r="AP76" s="31" t="str">
        <f t="shared" si="35"/>
        <v/>
      </c>
      <c r="AQ76" s="31" t="str">
        <f t="shared" si="36"/>
        <v/>
      </c>
      <c r="AR76" s="31" t="str">
        <f t="shared" si="37"/>
        <v/>
      </c>
      <c r="AS76" s="31" t="str">
        <f t="shared" si="38"/>
        <v/>
      </c>
      <c r="AT76" s="31" t="str">
        <f t="shared" si="39"/>
        <v/>
      </c>
      <c r="AU76" s="31" t="str">
        <f t="shared" si="40"/>
        <v/>
      </c>
      <c r="AV76" s="31" t="str">
        <f t="shared" si="42"/>
        <v/>
      </c>
    </row>
    <row r="77" spans="1:59" ht="33" customHeight="1" x14ac:dyDescent="0.35">
      <c r="A77" s="25"/>
      <c r="B77" s="3"/>
      <c r="C77" s="20"/>
      <c r="D77" s="3"/>
      <c r="E77" s="20"/>
      <c r="F77" s="67"/>
      <c r="G77" s="3"/>
      <c r="H77" s="6"/>
      <c r="I77" s="3"/>
      <c r="J77" s="3"/>
      <c r="K77" s="3"/>
      <c r="L77" s="3"/>
      <c r="M77" s="3"/>
      <c r="N77" s="3"/>
      <c r="O77" s="3"/>
      <c r="P77" s="3"/>
      <c r="Q77" s="3"/>
      <c r="R77" s="3"/>
      <c r="S77" s="34"/>
      <c r="T77" s="31"/>
      <c r="U77" s="31"/>
      <c r="V77" s="31"/>
      <c r="W77" s="31"/>
      <c r="X77" s="31"/>
      <c r="Y77" s="31"/>
      <c r="Z77" s="31"/>
      <c r="AA77" s="31"/>
      <c r="AB77" s="31"/>
      <c r="AC77" s="20"/>
      <c r="AD77" s="67"/>
      <c r="AE77" s="66"/>
      <c r="AF77" s="79"/>
      <c r="AG77" s="46"/>
      <c r="AH77" s="31"/>
      <c r="AI77" s="31" t="str">
        <f t="shared" si="29"/>
        <v/>
      </c>
      <c r="AJ77" s="31" t="str">
        <f t="shared" si="41"/>
        <v/>
      </c>
      <c r="AK77" s="31" t="str">
        <f t="shared" si="30"/>
        <v/>
      </c>
      <c r="AL77" s="31" t="str">
        <f t="shared" si="31"/>
        <v/>
      </c>
      <c r="AM77" s="31" t="str">
        <f t="shared" si="32"/>
        <v/>
      </c>
      <c r="AN77" s="31" t="str">
        <f t="shared" si="33"/>
        <v/>
      </c>
      <c r="AO77" s="31" t="str">
        <f t="shared" si="34"/>
        <v/>
      </c>
      <c r="AP77" s="31" t="str">
        <f t="shared" si="35"/>
        <v/>
      </c>
      <c r="AQ77" s="31" t="str">
        <f t="shared" si="36"/>
        <v/>
      </c>
      <c r="AR77" s="31" t="str">
        <f t="shared" si="37"/>
        <v/>
      </c>
      <c r="AS77" s="31" t="str">
        <f t="shared" si="38"/>
        <v/>
      </c>
      <c r="AT77" s="31" t="str">
        <f t="shared" si="39"/>
        <v/>
      </c>
      <c r="AU77" s="31" t="str">
        <f t="shared" si="40"/>
        <v/>
      </c>
      <c r="AV77" s="31" t="str">
        <f t="shared" si="42"/>
        <v/>
      </c>
    </row>
    <row r="78" spans="1:59" x14ac:dyDescent="0.35">
      <c r="A78" s="25"/>
      <c r="B78" s="3"/>
      <c r="C78" s="20"/>
      <c r="D78" s="3"/>
      <c r="E78" s="20"/>
      <c r="F78" s="67"/>
      <c r="G78" s="3"/>
      <c r="H78" s="6"/>
      <c r="I78" s="3"/>
      <c r="J78" s="3"/>
      <c r="K78" s="3"/>
      <c r="L78" s="3"/>
      <c r="M78" s="3"/>
      <c r="N78" s="3"/>
      <c r="O78" s="3"/>
      <c r="P78" s="3"/>
      <c r="Q78" s="3"/>
      <c r="R78" s="3"/>
      <c r="S78" s="34"/>
      <c r="T78" s="31"/>
      <c r="U78" s="31"/>
      <c r="V78" s="31"/>
      <c r="W78" s="31"/>
      <c r="X78" s="31"/>
      <c r="Y78" s="31"/>
      <c r="Z78" s="31"/>
      <c r="AA78" s="31"/>
      <c r="AB78" s="31"/>
      <c r="AC78" s="20"/>
      <c r="AD78" s="67"/>
      <c r="AE78" s="66"/>
      <c r="AF78" s="79"/>
      <c r="AG78" s="46"/>
      <c r="AH78" s="31"/>
      <c r="AI78" s="31" t="str">
        <f t="shared" si="29"/>
        <v/>
      </c>
      <c r="AJ78" s="31" t="str">
        <f t="shared" si="41"/>
        <v/>
      </c>
      <c r="AK78" s="31" t="str">
        <f t="shared" si="30"/>
        <v/>
      </c>
      <c r="AL78" s="31" t="str">
        <f t="shared" si="31"/>
        <v/>
      </c>
      <c r="AM78" s="31" t="str">
        <f t="shared" si="32"/>
        <v/>
      </c>
      <c r="AN78" s="31" t="str">
        <f t="shared" si="33"/>
        <v/>
      </c>
      <c r="AO78" s="31" t="str">
        <f t="shared" si="34"/>
        <v/>
      </c>
      <c r="AP78" s="31" t="str">
        <f t="shared" si="35"/>
        <v/>
      </c>
      <c r="AQ78" s="31" t="str">
        <f t="shared" si="36"/>
        <v/>
      </c>
      <c r="AR78" s="31" t="str">
        <f t="shared" si="37"/>
        <v/>
      </c>
      <c r="AS78" s="31" t="str">
        <f t="shared" si="38"/>
        <v/>
      </c>
      <c r="AT78" s="31" t="str">
        <f t="shared" si="39"/>
        <v/>
      </c>
      <c r="AU78" s="31" t="str">
        <f t="shared" si="40"/>
        <v/>
      </c>
      <c r="AV78" s="31" t="str">
        <f t="shared" si="42"/>
        <v/>
      </c>
    </row>
    <row r="79" spans="1:59" x14ac:dyDescent="0.35">
      <c r="A79" s="25"/>
      <c r="B79" s="3"/>
      <c r="C79" s="20"/>
      <c r="D79" s="3"/>
      <c r="E79" s="20"/>
      <c r="F79" s="67"/>
      <c r="G79" s="3"/>
      <c r="H79" s="6"/>
      <c r="I79" s="3"/>
      <c r="J79" s="3"/>
      <c r="K79" s="3"/>
      <c r="L79" s="3"/>
      <c r="M79" s="3"/>
      <c r="N79" s="3"/>
      <c r="O79" s="3"/>
      <c r="P79" s="3"/>
      <c r="Q79" s="3"/>
      <c r="R79" s="3"/>
      <c r="S79" s="34"/>
      <c r="T79" s="31"/>
      <c r="U79" s="31"/>
      <c r="V79" s="31"/>
      <c r="W79" s="31"/>
      <c r="X79" s="31"/>
      <c r="Y79" s="31"/>
      <c r="Z79" s="31"/>
      <c r="AA79" s="31"/>
      <c r="AB79" s="31"/>
      <c r="AC79" s="20"/>
      <c r="AD79" s="67"/>
      <c r="AE79" s="66"/>
      <c r="AF79" s="79"/>
      <c r="AG79" s="46"/>
      <c r="AH79" s="31"/>
      <c r="AI79" s="31" t="str">
        <f t="shared" si="29"/>
        <v/>
      </c>
      <c r="AJ79" s="31" t="str">
        <f t="shared" si="41"/>
        <v/>
      </c>
      <c r="AK79" s="31" t="str">
        <f t="shared" si="30"/>
        <v/>
      </c>
      <c r="AL79" s="31" t="str">
        <f t="shared" si="31"/>
        <v/>
      </c>
      <c r="AM79" s="31" t="str">
        <f t="shared" si="32"/>
        <v/>
      </c>
      <c r="AN79" s="31" t="str">
        <f t="shared" si="33"/>
        <v/>
      </c>
      <c r="AO79" s="31" t="str">
        <f t="shared" si="34"/>
        <v/>
      </c>
      <c r="AP79" s="31" t="str">
        <f t="shared" si="35"/>
        <v/>
      </c>
      <c r="AQ79" s="31" t="str">
        <f t="shared" si="36"/>
        <v/>
      </c>
      <c r="AR79" s="31" t="str">
        <f t="shared" si="37"/>
        <v/>
      </c>
      <c r="AS79" s="31" t="str">
        <f t="shared" si="38"/>
        <v/>
      </c>
      <c r="AT79" s="31" t="str">
        <f t="shared" si="39"/>
        <v/>
      </c>
      <c r="AU79" s="31" t="str">
        <f t="shared" si="40"/>
        <v/>
      </c>
      <c r="AV79" s="31" t="str">
        <f t="shared" si="42"/>
        <v/>
      </c>
    </row>
    <row r="80" spans="1:59" x14ac:dyDescent="0.35">
      <c r="A80" s="25"/>
      <c r="B80" s="3"/>
      <c r="C80" s="20"/>
      <c r="D80" s="3"/>
      <c r="E80" s="20"/>
      <c r="F80" s="67"/>
      <c r="G80" s="3"/>
      <c r="H80" s="6"/>
      <c r="I80" s="3"/>
      <c r="J80" s="3"/>
      <c r="K80" s="3"/>
      <c r="L80" s="3"/>
      <c r="M80" s="3"/>
      <c r="N80" s="3"/>
      <c r="O80" s="3"/>
      <c r="P80" s="3"/>
      <c r="Q80" s="3"/>
      <c r="R80" s="3"/>
      <c r="S80" s="3"/>
      <c r="T80" s="31"/>
      <c r="U80" s="31"/>
      <c r="V80" s="31"/>
      <c r="W80" s="31"/>
      <c r="X80" s="31"/>
      <c r="Y80" s="31"/>
      <c r="Z80" s="31"/>
      <c r="AA80" s="31"/>
      <c r="AB80" s="31"/>
      <c r="AC80" s="20"/>
      <c r="AD80" s="67"/>
      <c r="AE80" s="66"/>
      <c r="AF80" s="79"/>
      <c r="AG80" s="46"/>
      <c r="AH80" s="31"/>
      <c r="AI80" s="31" t="str">
        <f t="shared" si="29"/>
        <v/>
      </c>
      <c r="AJ80" s="31" t="str">
        <f t="shared" si="41"/>
        <v/>
      </c>
      <c r="AK80" s="31" t="str">
        <f t="shared" si="30"/>
        <v/>
      </c>
      <c r="AL80" s="31" t="str">
        <f t="shared" si="31"/>
        <v/>
      </c>
      <c r="AM80" s="31" t="str">
        <f t="shared" si="32"/>
        <v/>
      </c>
      <c r="AN80" s="31" t="str">
        <f t="shared" si="33"/>
        <v/>
      </c>
      <c r="AO80" s="31" t="str">
        <f t="shared" si="34"/>
        <v/>
      </c>
      <c r="AP80" s="31" t="str">
        <f t="shared" si="35"/>
        <v/>
      </c>
      <c r="AQ80" s="31" t="str">
        <f t="shared" si="36"/>
        <v/>
      </c>
      <c r="AR80" s="31" t="str">
        <f t="shared" si="37"/>
        <v/>
      </c>
      <c r="AS80" s="31" t="str">
        <f t="shared" si="38"/>
        <v/>
      </c>
      <c r="AT80" s="31" t="str">
        <f t="shared" si="39"/>
        <v/>
      </c>
      <c r="AU80" s="31" t="str">
        <f t="shared" si="40"/>
        <v/>
      </c>
      <c r="AV80" s="31" t="str">
        <f t="shared" si="42"/>
        <v/>
      </c>
    </row>
    <row r="81" spans="1:59" x14ac:dyDescent="0.35">
      <c r="A81" s="25"/>
      <c r="B81" s="3"/>
      <c r="C81" s="20"/>
      <c r="D81" s="3"/>
      <c r="E81" s="20"/>
      <c r="F81" s="67"/>
      <c r="G81" s="3"/>
      <c r="H81" s="6"/>
      <c r="I81" s="3"/>
      <c r="J81" s="3"/>
      <c r="K81" s="3"/>
      <c r="L81" s="3"/>
      <c r="M81" s="3"/>
      <c r="N81" s="3"/>
      <c r="O81" s="3"/>
      <c r="P81" s="3"/>
      <c r="Q81" s="3"/>
      <c r="R81" s="3"/>
      <c r="S81" s="34"/>
      <c r="T81" s="31"/>
      <c r="U81" s="31"/>
      <c r="V81" s="31"/>
      <c r="W81" s="31"/>
      <c r="X81" s="31"/>
      <c r="Y81" s="31"/>
      <c r="Z81" s="31"/>
      <c r="AA81" s="31"/>
      <c r="AB81" s="31"/>
      <c r="AC81" s="20"/>
      <c r="AD81" s="67"/>
      <c r="AE81" s="66"/>
      <c r="AF81" s="79"/>
      <c r="AG81" s="46"/>
      <c r="AH81" s="31"/>
      <c r="AI81" s="31" t="str">
        <f t="shared" si="29"/>
        <v/>
      </c>
      <c r="AJ81" s="31" t="str">
        <f t="shared" si="41"/>
        <v/>
      </c>
      <c r="AK81" s="31" t="str">
        <f t="shared" si="30"/>
        <v/>
      </c>
      <c r="AL81" s="31" t="str">
        <f t="shared" si="31"/>
        <v/>
      </c>
      <c r="AM81" s="31" t="str">
        <f t="shared" si="32"/>
        <v/>
      </c>
      <c r="AN81" s="31" t="str">
        <f t="shared" si="33"/>
        <v/>
      </c>
      <c r="AO81" s="31" t="str">
        <f t="shared" si="34"/>
        <v/>
      </c>
      <c r="AP81" s="31" t="str">
        <f t="shared" si="35"/>
        <v/>
      </c>
      <c r="AQ81" s="31" t="str">
        <f t="shared" si="36"/>
        <v/>
      </c>
      <c r="AR81" s="31" t="str">
        <f t="shared" si="37"/>
        <v/>
      </c>
      <c r="AS81" s="31" t="str">
        <f t="shared" si="38"/>
        <v/>
      </c>
      <c r="AT81" s="31" t="str">
        <f t="shared" si="39"/>
        <v/>
      </c>
      <c r="AU81" s="31" t="str">
        <f t="shared" si="40"/>
        <v/>
      </c>
      <c r="AV81" s="31" t="str">
        <f t="shared" si="42"/>
        <v/>
      </c>
    </row>
    <row r="82" spans="1:59" x14ac:dyDescent="0.35">
      <c r="A82" s="25"/>
      <c r="B82" s="3"/>
      <c r="C82" s="20"/>
      <c r="D82" s="3"/>
      <c r="E82" s="20"/>
      <c r="F82" s="67"/>
      <c r="G82" s="3"/>
      <c r="H82" s="6"/>
      <c r="I82" s="3"/>
      <c r="J82" s="3"/>
      <c r="K82" s="3"/>
      <c r="L82" s="3"/>
      <c r="M82" s="3"/>
      <c r="N82" s="3"/>
      <c r="O82" s="3"/>
      <c r="P82" s="3"/>
      <c r="Q82" s="3"/>
      <c r="R82" s="3"/>
      <c r="S82" s="34"/>
      <c r="T82" s="31"/>
      <c r="U82" s="31"/>
      <c r="V82" s="31"/>
      <c r="W82" s="31"/>
      <c r="X82" s="31"/>
      <c r="Y82" s="31"/>
      <c r="Z82" s="31"/>
      <c r="AA82" s="31"/>
      <c r="AB82" s="31"/>
      <c r="AC82" s="20"/>
      <c r="AD82" s="67"/>
      <c r="AE82" s="66"/>
      <c r="AF82" s="79"/>
      <c r="AG82" s="46"/>
      <c r="AH82" s="31"/>
      <c r="AI82" s="31" t="str">
        <f t="shared" si="29"/>
        <v/>
      </c>
      <c r="AJ82" s="31" t="str">
        <f t="shared" si="41"/>
        <v/>
      </c>
      <c r="AK82" s="31" t="str">
        <f t="shared" si="30"/>
        <v/>
      </c>
      <c r="AL82" s="31" t="str">
        <f t="shared" si="31"/>
        <v/>
      </c>
      <c r="AM82" s="31" t="str">
        <f t="shared" si="32"/>
        <v/>
      </c>
      <c r="AN82" s="31" t="str">
        <f t="shared" si="33"/>
        <v/>
      </c>
      <c r="AO82" s="31" t="str">
        <f t="shared" si="34"/>
        <v/>
      </c>
      <c r="AP82" s="31" t="str">
        <f t="shared" si="35"/>
        <v/>
      </c>
      <c r="AQ82" s="31" t="str">
        <f t="shared" si="36"/>
        <v/>
      </c>
      <c r="AR82" s="31" t="str">
        <f t="shared" si="37"/>
        <v/>
      </c>
      <c r="AS82" s="31" t="str">
        <f t="shared" si="38"/>
        <v/>
      </c>
      <c r="AT82" s="31" t="str">
        <f t="shared" si="39"/>
        <v/>
      </c>
      <c r="AU82" s="31" t="str">
        <f t="shared" si="40"/>
        <v/>
      </c>
      <c r="AV82" s="31" t="str">
        <f t="shared" si="42"/>
        <v/>
      </c>
    </row>
    <row r="83" spans="1:59" x14ac:dyDescent="0.35">
      <c r="A83" s="25"/>
      <c r="B83" s="3"/>
      <c r="C83" s="20"/>
      <c r="D83" s="3"/>
      <c r="E83" s="20"/>
      <c r="F83" s="67"/>
      <c r="G83" s="3"/>
      <c r="H83" s="6"/>
      <c r="I83" s="3"/>
      <c r="J83" s="3"/>
      <c r="K83" s="3"/>
      <c r="L83" s="3"/>
      <c r="M83" s="3"/>
      <c r="N83" s="3"/>
      <c r="O83" s="3"/>
      <c r="P83" s="3"/>
      <c r="Q83" s="3"/>
      <c r="R83" s="3"/>
      <c r="S83" s="34"/>
      <c r="T83" s="31"/>
      <c r="U83" s="31"/>
      <c r="V83" s="31"/>
      <c r="W83" s="31"/>
      <c r="X83" s="31"/>
      <c r="Y83" s="31"/>
      <c r="Z83" s="31"/>
      <c r="AA83" s="31"/>
      <c r="AB83" s="31"/>
      <c r="AC83" s="20"/>
      <c r="AD83" s="67"/>
      <c r="AE83" s="66"/>
      <c r="AF83" s="79"/>
      <c r="AG83" s="46"/>
      <c r="AH83" s="31"/>
      <c r="AI83" s="31" t="str">
        <f t="shared" si="29"/>
        <v/>
      </c>
      <c r="AJ83" s="31" t="str">
        <f t="shared" si="41"/>
        <v/>
      </c>
      <c r="AK83" s="31" t="str">
        <f t="shared" si="30"/>
        <v/>
      </c>
      <c r="AL83" s="31" t="str">
        <f t="shared" si="31"/>
        <v/>
      </c>
      <c r="AM83" s="31" t="str">
        <f t="shared" si="32"/>
        <v/>
      </c>
      <c r="AN83" s="31" t="str">
        <f t="shared" si="33"/>
        <v/>
      </c>
      <c r="AO83" s="31" t="str">
        <f t="shared" si="34"/>
        <v/>
      </c>
      <c r="AP83" s="31" t="str">
        <f t="shared" si="35"/>
        <v/>
      </c>
      <c r="AQ83" s="31" t="str">
        <f t="shared" si="36"/>
        <v/>
      </c>
      <c r="AR83" s="31" t="str">
        <f t="shared" si="37"/>
        <v/>
      </c>
      <c r="AS83" s="31" t="str">
        <f t="shared" si="38"/>
        <v/>
      </c>
      <c r="AT83" s="31" t="str">
        <f t="shared" si="39"/>
        <v/>
      </c>
      <c r="AU83" s="31" t="str">
        <f t="shared" si="40"/>
        <v/>
      </c>
      <c r="AV83" s="31" t="str">
        <f t="shared" si="42"/>
        <v/>
      </c>
    </row>
    <row r="84" spans="1:59" x14ac:dyDescent="0.35">
      <c r="A84" s="25"/>
      <c r="B84" s="3"/>
      <c r="C84" s="20"/>
      <c r="D84" s="3"/>
      <c r="E84" s="20"/>
      <c r="F84" s="67"/>
      <c r="G84" s="3"/>
      <c r="H84" s="6"/>
      <c r="I84" s="3"/>
      <c r="J84" s="3"/>
      <c r="K84" s="3"/>
      <c r="L84" s="3"/>
      <c r="M84" s="3"/>
      <c r="N84" s="3"/>
      <c r="O84" s="3"/>
      <c r="P84" s="3"/>
      <c r="Q84" s="3"/>
      <c r="R84" s="3"/>
      <c r="S84" s="3"/>
      <c r="T84" s="31"/>
      <c r="U84" s="31"/>
      <c r="V84" s="31"/>
      <c r="W84" s="31"/>
      <c r="X84" s="31"/>
      <c r="Y84" s="31"/>
      <c r="Z84" s="31"/>
      <c r="AA84" s="31"/>
      <c r="AB84" s="31"/>
      <c r="AC84" s="20"/>
      <c r="AD84" s="67"/>
      <c r="AE84" s="66"/>
      <c r="AF84" s="79"/>
      <c r="AG84" s="46"/>
      <c r="AH84" s="31"/>
      <c r="AI84" s="31" t="str">
        <f t="shared" si="29"/>
        <v/>
      </c>
      <c r="AJ84" s="31" t="str">
        <f t="shared" si="41"/>
        <v/>
      </c>
      <c r="AK84" s="31" t="str">
        <f t="shared" si="30"/>
        <v/>
      </c>
      <c r="AL84" s="31" t="str">
        <f t="shared" si="31"/>
        <v/>
      </c>
      <c r="AM84" s="31" t="str">
        <f t="shared" si="32"/>
        <v/>
      </c>
      <c r="AN84" s="31" t="str">
        <f t="shared" si="33"/>
        <v/>
      </c>
      <c r="AO84" s="31" t="str">
        <f t="shared" si="34"/>
        <v/>
      </c>
      <c r="AP84" s="31" t="str">
        <f t="shared" si="35"/>
        <v/>
      </c>
      <c r="AQ84" s="31" t="str">
        <f t="shared" si="36"/>
        <v/>
      </c>
      <c r="AR84" s="31" t="str">
        <f t="shared" si="37"/>
        <v/>
      </c>
      <c r="AS84" s="31" t="str">
        <f t="shared" si="38"/>
        <v/>
      </c>
      <c r="AT84" s="31" t="str">
        <f t="shared" si="39"/>
        <v/>
      </c>
      <c r="AU84" s="31" t="str">
        <f t="shared" si="40"/>
        <v/>
      </c>
      <c r="AV84" s="31" t="str">
        <f t="shared" si="42"/>
        <v/>
      </c>
    </row>
    <row r="85" spans="1:59" x14ac:dyDescent="0.35">
      <c r="A85" s="25"/>
      <c r="B85" s="3"/>
      <c r="C85" s="20"/>
      <c r="D85" s="3"/>
      <c r="E85" s="20"/>
      <c r="F85" s="67"/>
      <c r="G85" s="3"/>
      <c r="H85" s="6"/>
      <c r="I85" s="3"/>
      <c r="J85" s="3"/>
      <c r="K85" s="3"/>
      <c r="L85" s="3"/>
      <c r="M85" s="3"/>
      <c r="N85" s="3"/>
      <c r="O85" s="3"/>
      <c r="P85" s="3"/>
      <c r="Q85" s="3"/>
      <c r="R85" s="3"/>
      <c r="S85" s="3"/>
      <c r="T85" s="31"/>
      <c r="U85" s="31"/>
      <c r="V85" s="31"/>
      <c r="W85" s="31"/>
      <c r="X85" s="31"/>
      <c r="Y85" s="31"/>
      <c r="Z85" s="31"/>
      <c r="AA85" s="31"/>
      <c r="AB85" s="31"/>
      <c r="AC85" s="20"/>
      <c r="AD85" s="67"/>
      <c r="AE85" s="66"/>
      <c r="AF85" s="79"/>
      <c r="AG85" s="46"/>
      <c r="AH85" s="31"/>
      <c r="AI85" s="31" t="str">
        <f t="shared" si="29"/>
        <v/>
      </c>
      <c r="AJ85" s="31" t="str">
        <f t="shared" si="41"/>
        <v/>
      </c>
      <c r="AK85" s="31" t="str">
        <f t="shared" si="30"/>
        <v/>
      </c>
      <c r="AL85" s="31" t="str">
        <f t="shared" si="31"/>
        <v/>
      </c>
      <c r="AM85" s="31" t="str">
        <f t="shared" si="32"/>
        <v/>
      </c>
      <c r="AN85" s="31" t="str">
        <f t="shared" si="33"/>
        <v/>
      </c>
      <c r="AO85" s="31" t="str">
        <f t="shared" si="34"/>
        <v/>
      </c>
      <c r="AP85" s="31" t="str">
        <f t="shared" si="35"/>
        <v/>
      </c>
      <c r="AQ85" s="31" t="str">
        <f t="shared" si="36"/>
        <v/>
      </c>
      <c r="AR85" s="31" t="str">
        <f t="shared" si="37"/>
        <v/>
      </c>
      <c r="AS85" s="31" t="str">
        <f t="shared" si="38"/>
        <v/>
      </c>
      <c r="AT85" s="31" t="str">
        <f t="shared" si="39"/>
        <v/>
      </c>
      <c r="AU85" s="31" t="str">
        <f t="shared" si="40"/>
        <v/>
      </c>
      <c r="AV85" s="31" t="str">
        <f t="shared" si="42"/>
        <v/>
      </c>
    </row>
    <row r="86" spans="1:59" x14ac:dyDescent="0.35">
      <c r="A86" s="25"/>
      <c r="B86" s="3"/>
      <c r="C86" s="20"/>
      <c r="D86" s="3"/>
      <c r="E86" s="20"/>
      <c r="F86" s="67"/>
      <c r="G86" s="3"/>
      <c r="H86" s="6"/>
      <c r="I86" s="3"/>
      <c r="J86" s="3"/>
      <c r="K86" s="3"/>
      <c r="L86" s="3"/>
      <c r="M86" s="3"/>
      <c r="N86" s="3"/>
      <c r="O86" s="3"/>
      <c r="P86" s="3"/>
      <c r="Q86" s="3"/>
      <c r="R86" s="3"/>
      <c r="S86" s="3"/>
      <c r="T86" s="31"/>
      <c r="U86" s="31"/>
      <c r="V86" s="31"/>
      <c r="W86" s="31"/>
      <c r="X86" s="31"/>
      <c r="Y86" s="31"/>
      <c r="Z86" s="31"/>
      <c r="AA86" s="31"/>
      <c r="AB86" s="31"/>
      <c r="AC86" s="20"/>
      <c r="AD86" s="67"/>
      <c r="AE86" s="66"/>
      <c r="AF86" s="79"/>
      <c r="AG86" s="46"/>
      <c r="AH86" s="31"/>
      <c r="AI86" s="31" t="str">
        <f t="shared" si="29"/>
        <v/>
      </c>
      <c r="AJ86" s="31" t="str">
        <f t="shared" si="41"/>
        <v/>
      </c>
      <c r="AK86" s="31" t="str">
        <f t="shared" si="30"/>
        <v/>
      </c>
      <c r="AL86" s="31" t="str">
        <f t="shared" si="31"/>
        <v/>
      </c>
      <c r="AM86" s="31" t="str">
        <f t="shared" si="32"/>
        <v/>
      </c>
      <c r="AN86" s="31" t="str">
        <f t="shared" si="33"/>
        <v/>
      </c>
      <c r="AO86" s="31" t="str">
        <f t="shared" si="34"/>
        <v/>
      </c>
      <c r="AP86" s="31" t="str">
        <f t="shared" si="35"/>
        <v/>
      </c>
      <c r="AQ86" s="31" t="str">
        <f t="shared" si="36"/>
        <v/>
      </c>
      <c r="AR86" s="31" t="str">
        <f t="shared" si="37"/>
        <v/>
      </c>
      <c r="AS86" s="31" t="str">
        <f t="shared" si="38"/>
        <v/>
      </c>
      <c r="AT86" s="31" t="str">
        <f t="shared" si="39"/>
        <v/>
      </c>
      <c r="AU86" s="31" t="str">
        <f t="shared" si="40"/>
        <v/>
      </c>
      <c r="AV86" s="31" t="str">
        <f t="shared" si="42"/>
        <v/>
      </c>
    </row>
    <row r="87" spans="1:59" x14ac:dyDescent="0.35">
      <c r="A87" s="84"/>
      <c r="B87" s="53"/>
      <c r="C87" s="20"/>
      <c r="D87" s="20"/>
      <c r="E87" s="20"/>
      <c r="F87" s="55"/>
      <c r="G87" s="3"/>
      <c r="H87" s="57"/>
      <c r="I87" s="59"/>
      <c r="J87" s="20"/>
      <c r="K87" s="20"/>
      <c r="L87" s="3"/>
      <c r="M87" s="57"/>
      <c r="N87" s="53"/>
      <c r="O87" s="53"/>
      <c r="P87" s="53"/>
      <c r="Q87" s="53"/>
      <c r="R87" s="53"/>
      <c r="S87" s="53"/>
      <c r="T87" s="3"/>
      <c r="U87" s="31"/>
      <c r="V87" s="31"/>
      <c r="W87" s="31"/>
      <c r="X87" s="31"/>
      <c r="Y87" s="31"/>
      <c r="Z87" s="31"/>
      <c r="AA87" s="31"/>
      <c r="AB87" s="31"/>
      <c r="AC87" s="28"/>
      <c r="AD87" s="77"/>
      <c r="AE87" s="55"/>
      <c r="AF87" s="78"/>
      <c r="AG87" s="46"/>
      <c r="AH87" s="3"/>
      <c r="AI87" s="31" t="str">
        <f t="shared" si="29"/>
        <v/>
      </c>
      <c r="AJ87" s="31" t="str">
        <f t="shared" si="41"/>
        <v/>
      </c>
      <c r="AK87" s="31" t="str">
        <f t="shared" si="30"/>
        <v/>
      </c>
      <c r="AL87" s="31" t="str">
        <f t="shared" si="31"/>
        <v/>
      </c>
      <c r="AM87" s="31" t="str">
        <f t="shared" si="32"/>
        <v/>
      </c>
      <c r="AN87" s="31" t="str">
        <f t="shared" si="33"/>
        <v/>
      </c>
      <c r="AO87" s="31" t="str">
        <f t="shared" si="34"/>
        <v/>
      </c>
      <c r="AP87" s="31" t="str">
        <f t="shared" si="35"/>
        <v/>
      </c>
      <c r="AQ87" s="31" t="str">
        <f t="shared" si="36"/>
        <v/>
      </c>
      <c r="AR87" s="31" t="str">
        <f t="shared" si="37"/>
        <v/>
      </c>
      <c r="AS87" s="31" t="str">
        <f t="shared" si="38"/>
        <v/>
      </c>
      <c r="AT87" s="31" t="str">
        <f t="shared" si="39"/>
        <v/>
      </c>
      <c r="AU87" s="31" t="str">
        <f t="shared" si="40"/>
        <v/>
      </c>
      <c r="AV87" s="31" t="str">
        <f t="shared" si="42"/>
        <v/>
      </c>
      <c r="BF87" s="83"/>
      <c r="BG87" s="83"/>
    </row>
    <row r="88" spans="1:59" x14ac:dyDescent="0.35">
      <c r="A88" s="84"/>
      <c r="B88" s="53"/>
      <c r="C88" s="20"/>
      <c r="D88" s="20"/>
      <c r="E88" s="20"/>
      <c r="F88" s="55"/>
      <c r="G88" s="3"/>
      <c r="H88" s="57"/>
      <c r="I88" s="59"/>
      <c r="J88" s="20"/>
      <c r="K88" s="20"/>
      <c r="L88" s="3"/>
      <c r="M88" s="57"/>
      <c r="N88" s="53"/>
      <c r="O88" s="53"/>
      <c r="P88" s="53"/>
      <c r="Q88" s="53"/>
      <c r="R88" s="53"/>
      <c r="S88" s="53"/>
      <c r="T88" s="3"/>
      <c r="U88" s="31"/>
      <c r="V88" s="31"/>
      <c r="W88" s="31"/>
      <c r="X88" s="31"/>
      <c r="Y88" s="31"/>
      <c r="Z88" s="31"/>
      <c r="AA88" s="31"/>
      <c r="AB88" s="31"/>
      <c r="AC88" s="54"/>
      <c r="AD88" s="54"/>
      <c r="AE88" s="28"/>
      <c r="AF88" s="64"/>
      <c r="AG88" s="55"/>
      <c r="AH88" s="55"/>
      <c r="AI88" s="31" t="str">
        <f t="shared" si="29"/>
        <v/>
      </c>
      <c r="AJ88" s="31" t="str">
        <f t="shared" si="41"/>
        <v/>
      </c>
      <c r="AK88" s="31" t="str">
        <f t="shared" si="30"/>
        <v/>
      </c>
      <c r="AL88" s="31" t="str">
        <f t="shared" si="31"/>
        <v/>
      </c>
      <c r="AM88" s="31" t="str">
        <f t="shared" si="32"/>
        <v/>
      </c>
      <c r="AN88" s="31" t="str">
        <f t="shared" si="33"/>
        <v/>
      </c>
      <c r="AO88" s="31" t="str">
        <f t="shared" si="34"/>
        <v/>
      </c>
      <c r="AP88" s="31" t="str">
        <f t="shared" si="35"/>
        <v/>
      </c>
      <c r="AQ88" s="31" t="str">
        <f t="shared" si="36"/>
        <v/>
      </c>
      <c r="AR88" s="31" t="str">
        <f t="shared" si="37"/>
        <v/>
      </c>
      <c r="AS88" s="31" t="str">
        <f t="shared" si="38"/>
        <v/>
      </c>
      <c r="AT88" s="31" t="str">
        <f t="shared" si="39"/>
        <v/>
      </c>
      <c r="AU88" s="31" t="str">
        <f t="shared" si="40"/>
        <v/>
      </c>
      <c r="AV88" s="31" t="str">
        <f t="shared" si="42"/>
        <v/>
      </c>
      <c r="BF88" s="83"/>
      <c r="BG88" s="83"/>
    </row>
    <row r="89" spans="1:59" x14ac:dyDescent="0.35">
      <c r="A89" s="84"/>
      <c r="B89" s="53"/>
      <c r="C89" s="20"/>
      <c r="D89" s="20"/>
      <c r="E89" s="20"/>
      <c r="F89" s="55"/>
      <c r="G89" s="3"/>
      <c r="H89" s="57"/>
      <c r="I89" s="59"/>
      <c r="J89" s="20"/>
      <c r="K89" s="20"/>
      <c r="L89" s="3"/>
      <c r="M89" s="57"/>
      <c r="N89" s="53"/>
      <c r="O89" s="53"/>
      <c r="P89" s="53"/>
      <c r="Q89" s="53"/>
      <c r="R89" s="53"/>
      <c r="S89" s="53"/>
      <c r="T89" s="3"/>
      <c r="U89" s="31"/>
      <c r="V89" s="31"/>
      <c r="W89" s="31"/>
      <c r="X89" s="31"/>
      <c r="Y89" s="31"/>
      <c r="Z89" s="31"/>
      <c r="AA89" s="31"/>
      <c r="AB89" s="31"/>
      <c r="AC89" s="54"/>
      <c r="AD89" s="54"/>
      <c r="AE89" s="28"/>
      <c r="AF89" s="62"/>
      <c r="AG89" s="55"/>
      <c r="AH89" s="55"/>
      <c r="AI89" s="31" t="str">
        <f t="shared" si="29"/>
        <v/>
      </c>
      <c r="AJ89" s="31" t="str">
        <f t="shared" si="41"/>
        <v/>
      </c>
      <c r="AK89" s="31" t="str">
        <f t="shared" si="30"/>
        <v/>
      </c>
      <c r="AL89" s="31" t="str">
        <f t="shared" si="31"/>
        <v/>
      </c>
      <c r="AM89" s="31" t="str">
        <f t="shared" si="32"/>
        <v/>
      </c>
      <c r="AN89" s="31" t="str">
        <f t="shared" si="33"/>
        <v/>
      </c>
      <c r="AO89" s="31" t="str">
        <f t="shared" si="34"/>
        <v/>
      </c>
      <c r="AP89" s="31" t="str">
        <f t="shared" si="35"/>
        <v/>
      </c>
      <c r="AQ89" s="31" t="str">
        <f t="shared" si="36"/>
        <v/>
      </c>
      <c r="AR89" s="31" t="str">
        <f t="shared" si="37"/>
        <v/>
      </c>
      <c r="AS89" s="31" t="str">
        <f t="shared" si="38"/>
        <v/>
      </c>
      <c r="AT89" s="31" t="str">
        <f t="shared" si="39"/>
        <v/>
      </c>
      <c r="AU89" s="31" t="str">
        <f t="shared" si="40"/>
        <v/>
      </c>
      <c r="AV89" s="31" t="str">
        <f t="shared" si="42"/>
        <v/>
      </c>
      <c r="BF89" s="83"/>
      <c r="BG89" s="83"/>
    </row>
    <row r="90" spans="1:59" x14ac:dyDescent="0.35">
      <c r="A90" s="84"/>
      <c r="B90" s="53"/>
      <c r="C90" s="20"/>
      <c r="D90" s="20"/>
      <c r="E90" s="20"/>
      <c r="F90" s="55"/>
      <c r="G90" s="3"/>
      <c r="H90" s="57"/>
      <c r="I90" s="59"/>
      <c r="J90" s="20"/>
      <c r="K90" s="20"/>
      <c r="L90" s="3"/>
      <c r="M90" s="57"/>
      <c r="N90" s="53"/>
      <c r="O90" s="53"/>
      <c r="P90" s="53"/>
      <c r="Q90" s="53"/>
      <c r="R90" s="53"/>
      <c r="S90" s="53"/>
      <c r="T90" s="3"/>
      <c r="U90" s="31"/>
      <c r="V90" s="31"/>
      <c r="W90" s="31"/>
      <c r="X90" s="31"/>
      <c r="Y90" s="31"/>
      <c r="Z90" s="31"/>
      <c r="AA90" s="31"/>
      <c r="AB90" s="31"/>
      <c r="AC90" s="54"/>
      <c r="AD90" s="54"/>
      <c r="AE90" s="28"/>
      <c r="AF90" s="62"/>
      <c r="AG90" s="55"/>
      <c r="AH90" s="55"/>
      <c r="AI90" s="31" t="str">
        <f t="shared" si="29"/>
        <v/>
      </c>
      <c r="AJ90" s="31" t="str">
        <f t="shared" si="41"/>
        <v/>
      </c>
      <c r="AK90" s="31" t="str">
        <f t="shared" si="30"/>
        <v/>
      </c>
      <c r="AL90" s="31" t="str">
        <f t="shared" si="31"/>
        <v/>
      </c>
      <c r="AM90" s="31" t="str">
        <f t="shared" si="32"/>
        <v/>
      </c>
      <c r="AN90" s="31" t="str">
        <f t="shared" si="33"/>
        <v/>
      </c>
      <c r="AO90" s="31" t="str">
        <f t="shared" si="34"/>
        <v/>
      </c>
      <c r="AP90" s="31" t="str">
        <f t="shared" si="35"/>
        <v/>
      </c>
      <c r="AQ90" s="31" t="str">
        <f t="shared" si="36"/>
        <v/>
      </c>
      <c r="AR90" s="31" t="str">
        <f t="shared" si="37"/>
        <v/>
      </c>
      <c r="AS90" s="31" t="str">
        <f t="shared" si="38"/>
        <v/>
      </c>
      <c r="AT90" s="31" t="str">
        <f t="shared" si="39"/>
        <v/>
      </c>
      <c r="AU90" s="31" t="str">
        <f t="shared" si="40"/>
        <v/>
      </c>
      <c r="AV90" s="31" t="str">
        <f t="shared" si="42"/>
        <v/>
      </c>
      <c r="BF90" s="83"/>
      <c r="BG90" s="83"/>
    </row>
    <row r="91" spans="1:59" x14ac:dyDescent="0.35">
      <c r="A91" s="84"/>
      <c r="B91" s="53"/>
      <c r="C91" s="20"/>
      <c r="D91" s="20"/>
      <c r="E91" s="20"/>
      <c r="F91" s="55"/>
      <c r="G91" s="3"/>
      <c r="H91" s="57"/>
      <c r="I91" s="59"/>
      <c r="J91" s="20"/>
      <c r="K91" s="20"/>
      <c r="L91" s="31"/>
      <c r="M91" s="60"/>
      <c r="N91" s="2"/>
      <c r="O91" s="2"/>
      <c r="P91" s="2"/>
      <c r="Q91" s="2"/>
      <c r="R91" s="2"/>
      <c r="S91" s="2"/>
      <c r="T91" s="31"/>
      <c r="U91" s="31"/>
      <c r="V91" s="31"/>
      <c r="W91" s="31"/>
      <c r="X91" s="31"/>
      <c r="Y91" s="31"/>
      <c r="Z91" s="31"/>
      <c r="AA91" s="31"/>
      <c r="AB91" s="31"/>
      <c r="AC91" s="5"/>
      <c r="AD91" s="5"/>
      <c r="AE91" s="28"/>
      <c r="AF91" s="64"/>
      <c r="AG91" s="55"/>
      <c r="AH91" s="55"/>
      <c r="AI91" s="31" t="str">
        <f t="shared" si="29"/>
        <v/>
      </c>
      <c r="AJ91" s="31" t="str">
        <f t="shared" si="41"/>
        <v/>
      </c>
      <c r="AK91" s="31" t="str">
        <f t="shared" si="30"/>
        <v/>
      </c>
      <c r="AL91" s="31" t="str">
        <f t="shared" si="31"/>
        <v/>
      </c>
      <c r="AM91" s="31" t="str">
        <f t="shared" si="32"/>
        <v/>
      </c>
      <c r="AN91" s="31" t="str">
        <f t="shared" si="33"/>
        <v/>
      </c>
      <c r="AO91" s="31" t="str">
        <f t="shared" si="34"/>
        <v/>
      </c>
      <c r="AP91" s="31" t="str">
        <f t="shared" si="35"/>
        <v/>
      </c>
      <c r="AQ91" s="31" t="str">
        <f t="shared" si="36"/>
        <v/>
      </c>
      <c r="AR91" s="31" t="str">
        <f t="shared" si="37"/>
        <v/>
      </c>
      <c r="AS91" s="31" t="str">
        <f t="shared" si="38"/>
        <v/>
      </c>
      <c r="AT91" s="31" t="str">
        <f t="shared" si="39"/>
        <v/>
      </c>
      <c r="AU91" s="31" t="str">
        <f t="shared" si="40"/>
        <v/>
      </c>
      <c r="AV91" s="31" t="str">
        <f t="shared" si="42"/>
        <v/>
      </c>
    </row>
    <row r="92" spans="1:59" x14ac:dyDescent="0.35">
      <c r="L92" s="85"/>
      <c r="M92" s="85"/>
      <c r="N92" s="85"/>
      <c r="O92" s="85"/>
      <c r="P92" s="85"/>
      <c r="Q92" s="85"/>
      <c r="R92" s="85"/>
      <c r="S92" s="85"/>
      <c r="T92" s="85"/>
      <c r="U92" s="31"/>
      <c r="V92" s="31"/>
      <c r="W92" s="31"/>
      <c r="X92" s="31"/>
      <c r="Y92" s="31"/>
      <c r="Z92" s="31"/>
      <c r="AA92" s="31"/>
      <c r="AB92" s="31"/>
      <c r="AC92" s="85"/>
      <c r="AD92" s="85"/>
      <c r="AI92" s="31" t="str">
        <f t="shared" si="29"/>
        <v/>
      </c>
      <c r="AJ92" s="31" t="str">
        <f t="shared" si="41"/>
        <v/>
      </c>
      <c r="AK92" s="31" t="str">
        <f t="shared" si="30"/>
        <v/>
      </c>
      <c r="AL92" s="31" t="str">
        <f t="shared" si="31"/>
        <v/>
      </c>
      <c r="AM92" s="31" t="str">
        <f t="shared" si="32"/>
        <v/>
      </c>
      <c r="AN92" s="31" t="str">
        <f t="shared" si="33"/>
        <v/>
      </c>
      <c r="AO92" s="31" t="str">
        <f t="shared" si="34"/>
        <v/>
      </c>
      <c r="AP92" s="31" t="str">
        <f t="shared" si="35"/>
        <v/>
      </c>
      <c r="AQ92" s="31" t="str">
        <f t="shared" si="36"/>
        <v/>
      </c>
      <c r="AR92" s="31" t="str">
        <f t="shared" si="37"/>
        <v/>
      </c>
      <c r="AS92" s="31" t="str">
        <f t="shared" si="38"/>
        <v/>
      </c>
      <c r="AT92" s="31" t="str">
        <f t="shared" si="39"/>
        <v/>
      </c>
      <c r="AU92" s="31" t="str">
        <f t="shared" si="40"/>
        <v/>
      </c>
      <c r="AV92" s="31" t="str">
        <f t="shared" si="42"/>
        <v/>
      </c>
    </row>
    <row r="93" spans="1:59" x14ac:dyDescent="0.35">
      <c r="L93" s="85"/>
      <c r="M93" s="85"/>
      <c r="N93" s="85"/>
      <c r="O93" s="85"/>
      <c r="P93" s="85"/>
      <c r="Q93" s="85"/>
      <c r="R93" s="85"/>
      <c r="S93" s="85"/>
      <c r="T93" s="85"/>
      <c r="U93" s="31"/>
      <c r="V93" s="31"/>
      <c r="W93" s="31"/>
      <c r="X93" s="31"/>
      <c r="Y93" s="31"/>
      <c r="Z93" s="31"/>
      <c r="AA93" s="31"/>
      <c r="AB93" s="31"/>
      <c r="AC93" s="85"/>
      <c r="AD93" s="85"/>
      <c r="AI93" s="31" t="str">
        <f t="shared" si="29"/>
        <v/>
      </c>
      <c r="AJ93" s="31" t="str">
        <f t="shared" si="41"/>
        <v/>
      </c>
      <c r="AK93" s="31" t="str">
        <f t="shared" si="30"/>
        <v/>
      </c>
      <c r="AL93" s="31" t="str">
        <f t="shared" si="31"/>
        <v/>
      </c>
      <c r="AM93" s="31" t="str">
        <f t="shared" si="32"/>
        <v/>
      </c>
      <c r="AN93" s="31" t="str">
        <f t="shared" si="33"/>
        <v/>
      </c>
      <c r="AO93" s="31" t="str">
        <f t="shared" si="34"/>
        <v/>
      </c>
      <c r="AP93" s="31" t="str">
        <f t="shared" si="35"/>
        <v/>
      </c>
      <c r="AQ93" s="31" t="str">
        <f t="shared" si="36"/>
        <v/>
      </c>
      <c r="AR93" s="31" t="str">
        <f t="shared" si="37"/>
        <v/>
      </c>
      <c r="AS93" s="31" t="str">
        <f t="shared" si="38"/>
        <v/>
      </c>
      <c r="AT93" s="31" t="str">
        <f t="shared" si="39"/>
        <v/>
      </c>
      <c r="AU93" s="31" t="str">
        <f t="shared" si="40"/>
        <v/>
      </c>
      <c r="AV93" s="31" t="str">
        <f t="shared" si="42"/>
        <v/>
      </c>
    </row>
    <row r="94" spans="1:59" x14ac:dyDescent="0.35">
      <c r="L94" s="85"/>
      <c r="M94" s="85"/>
      <c r="N94" s="85"/>
      <c r="O94" s="85"/>
      <c r="P94" s="85"/>
      <c r="Q94" s="85"/>
      <c r="R94" s="85"/>
      <c r="S94" s="85"/>
      <c r="T94" s="85"/>
      <c r="U94" s="31"/>
      <c r="V94" s="31"/>
      <c r="W94" s="31"/>
      <c r="X94" s="31"/>
      <c r="Y94" s="31"/>
      <c r="Z94" s="31"/>
      <c r="AA94" s="31"/>
      <c r="AB94" s="31"/>
      <c r="AC94" s="85"/>
      <c r="AD94" s="85"/>
      <c r="AI94" s="31" t="str">
        <f t="shared" si="29"/>
        <v/>
      </c>
      <c r="AJ94" s="31" t="str">
        <f t="shared" si="41"/>
        <v/>
      </c>
      <c r="AK94" s="31" t="str">
        <f t="shared" si="30"/>
        <v/>
      </c>
      <c r="AL94" s="31" t="str">
        <f t="shared" si="31"/>
        <v/>
      </c>
      <c r="AM94" s="31" t="str">
        <f t="shared" si="32"/>
        <v/>
      </c>
      <c r="AN94" s="31" t="str">
        <f t="shared" si="33"/>
        <v/>
      </c>
      <c r="AO94" s="31" t="str">
        <f t="shared" si="34"/>
        <v/>
      </c>
      <c r="AP94" s="31" t="str">
        <f t="shared" si="35"/>
        <v/>
      </c>
      <c r="AQ94" s="31" t="str">
        <f t="shared" si="36"/>
        <v/>
      </c>
      <c r="AR94" s="31" t="str">
        <f t="shared" si="37"/>
        <v/>
      </c>
      <c r="AS94" s="31" t="str">
        <f t="shared" si="38"/>
        <v/>
      </c>
      <c r="AT94" s="31" t="str">
        <f t="shared" si="39"/>
        <v/>
      </c>
      <c r="AU94" s="31" t="str">
        <f t="shared" si="40"/>
        <v/>
      </c>
      <c r="AV94" s="31" t="str">
        <f t="shared" si="42"/>
        <v/>
      </c>
    </row>
    <row r="95" spans="1:59" x14ac:dyDescent="0.35">
      <c r="L95" s="85"/>
      <c r="M95" s="85"/>
      <c r="N95" s="85"/>
      <c r="O95" s="85"/>
      <c r="P95" s="85"/>
      <c r="Q95" s="85"/>
      <c r="R95" s="85"/>
      <c r="S95" s="85"/>
      <c r="T95" s="85"/>
      <c r="U95" s="31"/>
      <c r="V95" s="31"/>
      <c r="W95" s="31"/>
      <c r="X95" s="31"/>
      <c r="Y95" s="31"/>
      <c r="Z95" s="31"/>
      <c r="AA95" s="31"/>
      <c r="AB95" s="31"/>
      <c r="AC95" s="85"/>
      <c r="AD95" s="85"/>
      <c r="AI95" s="31" t="str">
        <f t="shared" si="29"/>
        <v/>
      </c>
      <c r="AJ95" s="31" t="str">
        <f t="shared" si="41"/>
        <v/>
      </c>
      <c r="AK95" s="31" t="str">
        <f t="shared" si="30"/>
        <v/>
      </c>
      <c r="AL95" s="31" t="str">
        <f t="shared" si="31"/>
        <v/>
      </c>
      <c r="AM95" s="31" t="str">
        <f t="shared" si="32"/>
        <v/>
      </c>
      <c r="AN95" s="31" t="str">
        <f t="shared" si="33"/>
        <v/>
      </c>
      <c r="AO95" s="31" t="str">
        <f t="shared" si="34"/>
        <v/>
      </c>
      <c r="AP95" s="31" t="str">
        <f t="shared" si="35"/>
        <v/>
      </c>
      <c r="AQ95" s="31" t="str">
        <f t="shared" si="36"/>
        <v/>
      </c>
      <c r="AR95" s="31" t="str">
        <f t="shared" si="37"/>
        <v/>
      </c>
      <c r="AS95" s="31" t="str">
        <f t="shared" si="38"/>
        <v/>
      </c>
      <c r="AT95" s="31" t="str">
        <f t="shared" si="39"/>
        <v/>
      </c>
      <c r="AU95" s="31" t="str">
        <f t="shared" si="40"/>
        <v/>
      </c>
      <c r="AV95" s="31" t="str">
        <f t="shared" si="42"/>
        <v/>
      </c>
    </row>
    <row r="96" spans="1:59" x14ac:dyDescent="0.35">
      <c r="L96" s="85"/>
      <c r="M96" s="85"/>
      <c r="N96" s="85"/>
      <c r="O96" s="85"/>
      <c r="P96" s="85"/>
      <c r="Q96" s="85"/>
      <c r="R96" s="85"/>
      <c r="S96" s="85"/>
      <c r="T96" s="85"/>
      <c r="U96" s="31"/>
      <c r="V96" s="31"/>
      <c r="W96" s="31"/>
      <c r="X96" s="31"/>
      <c r="Y96" s="31"/>
      <c r="Z96" s="31"/>
      <c r="AA96" s="31"/>
      <c r="AB96" s="31"/>
      <c r="AC96" s="85"/>
      <c r="AD96" s="85"/>
      <c r="AI96" s="31" t="str">
        <f t="shared" si="29"/>
        <v/>
      </c>
      <c r="AJ96" s="31" t="str">
        <f t="shared" si="41"/>
        <v/>
      </c>
      <c r="AK96" s="31" t="str">
        <f t="shared" si="30"/>
        <v/>
      </c>
      <c r="AL96" s="31" t="str">
        <f t="shared" si="31"/>
        <v/>
      </c>
      <c r="AM96" s="31" t="str">
        <f t="shared" si="32"/>
        <v/>
      </c>
      <c r="AN96" s="31" t="str">
        <f t="shared" si="33"/>
        <v/>
      </c>
      <c r="AO96" s="31" t="str">
        <f t="shared" si="34"/>
        <v/>
      </c>
      <c r="AP96" s="31" t="str">
        <f t="shared" si="35"/>
        <v/>
      </c>
      <c r="AQ96" s="31" t="str">
        <f t="shared" si="36"/>
        <v/>
      </c>
      <c r="AR96" s="31" t="str">
        <f t="shared" si="37"/>
        <v/>
      </c>
      <c r="AS96" s="31" t="str">
        <f t="shared" si="38"/>
        <v/>
      </c>
      <c r="AT96" s="31" t="str">
        <f t="shared" si="39"/>
        <v/>
      </c>
      <c r="AU96" s="31" t="str">
        <f t="shared" si="40"/>
        <v/>
      </c>
      <c r="AV96" s="31" t="str">
        <f t="shared" si="42"/>
        <v/>
      </c>
    </row>
    <row r="97" spans="21:48" x14ac:dyDescent="0.35">
      <c r="U97" s="31"/>
      <c r="V97" s="31"/>
      <c r="W97" s="31"/>
      <c r="X97" s="31"/>
      <c r="Y97" s="31"/>
      <c r="Z97" s="31"/>
      <c r="AA97" s="31"/>
      <c r="AB97" s="31"/>
      <c r="AC97" s="85"/>
      <c r="AD97" s="85"/>
      <c r="AI97" s="31" t="str">
        <f t="shared" si="29"/>
        <v/>
      </c>
      <c r="AJ97" s="31" t="str">
        <f t="shared" si="41"/>
        <v/>
      </c>
      <c r="AK97" s="31" t="str">
        <f t="shared" si="30"/>
        <v/>
      </c>
      <c r="AL97" s="31" t="str">
        <f t="shared" si="31"/>
        <v/>
      </c>
      <c r="AM97" s="31" t="str">
        <f t="shared" si="32"/>
        <v/>
      </c>
      <c r="AN97" s="31" t="str">
        <f t="shared" si="33"/>
        <v/>
      </c>
      <c r="AO97" s="31" t="str">
        <f t="shared" si="34"/>
        <v/>
      </c>
      <c r="AP97" s="31" t="str">
        <f t="shared" si="35"/>
        <v/>
      </c>
      <c r="AQ97" s="31" t="str">
        <f t="shared" si="36"/>
        <v/>
      </c>
      <c r="AR97" s="31" t="str">
        <f t="shared" si="37"/>
        <v/>
      </c>
      <c r="AS97" s="31" t="str">
        <f t="shared" si="38"/>
        <v/>
      </c>
      <c r="AT97" s="31" t="str">
        <f t="shared" si="39"/>
        <v/>
      </c>
      <c r="AU97" s="31" t="str">
        <f t="shared" si="40"/>
        <v/>
      </c>
      <c r="AV97" s="31" t="str">
        <f t="shared" si="42"/>
        <v/>
      </c>
    </row>
    <row r="98" spans="21:48" x14ac:dyDescent="0.35">
      <c r="U98" s="31"/>
      <c r="V98" s="31"/>
      <c r="W98" s="31"/>
      <c r="X98" s="31"/>
      <c r="Y98" s="31"/>
      <c r="Z98" s="31"/>
      <c r="AA98" s="31"/>
      <c r="AB98" s="31"/>
      <c r="AC98" s="85"/>
      <c r="AD98" s="85"/>
      <c r="AI98" s="31" t="str">
        <f t="shared" si="29"/>
        <v/>
      </c>
      <c r="AJ98" s="31" t="str">
        <f t="shared" si="41"/>
        <v/>
      </c>
      <c r="AK98" s="31" t="str">
        <f t="shared" si="30"/>
        <v/>
      </c>
      <c r="AL98" s="31" t="str">
        <f t="shared" si="31"/>
        <v/>
      </c>
      <c r="AM98" s="31" t="str">
        <f t="shared" si="32"/>
        <v/>
      </c>
      <c r="AN98" s="31" t="str">
        <f t="shared" si="33"/>
        <v/>
      </c>
      <c r="AO98" s="31" t="str">
        <f t="shared" si="34"/>
        <v/>
      </c>
      <c r="AP98" s="31" t="str">
        <f t="shared" si="35"/>
        <v/>
      </c>
      <c r="AQ98" s="31" t="str">
        <f t="shared" si="36"/>
        <v/>
      </c>
      <c r="AR98" s="31" t="str">
        <f t="shared" si="37"/>
        <v/>
      </c>
      <c r="AS98" s="31" t="str">
        <f t="shared" si="38"/>
        <v/>
      </c>
      <c r="AT98" s="31" t="str">
        <f t="shared" si="39"/>
        <v/>
      </c>
      <c r="AU98" s="31" t="str">
        <f t="shared" si="40"/>
        <v/>
      </c>
      <c r="AV98" s="31" t="str">
        <f t="shared" si="42"/>
        <v/>
      </c>
    </row>
    <row r="99" spans="21:48" x14ac:dyDescent="0.35">
      <c r="U99" s="31"/>
      <c r="V99" s="31"/>
      <c r="W99" s="31"/>
      <c r="X99" s="31"/>
      <c r="Y99" s="31"/>
      <c r="Z99" s="31"/>
      <c r="AA99" s="31"/>
      <c r="AB99" s="31"/>
      <c r="AC99" s="85"/>
      <c r="AD99" s="85"/>
      <c r="AI99" s="31" t="str">
        <f t="shared" ref="AI99:AI130" si="43">IF(AND($I99="W", $J99="TWA", $K99="PBZ",$T99&lt;&gt;"", $AF99&lt;&gt;"ND"), $T99*($M99/480),"")</f>
        <v/>
      </c>
      <c r="AJ99" s="31" t="str">
        <f t="shared" si="41"/>
        <v/>
      </c>
      <c r="AK99" s="31" t="str">
        <f t="shared" ref="AK99:AK130" si="44">IF(AND($I99="W", $J99="12-hr", $K99="PBZ",$T99&lt;&gt;"", $AF99&lt;&gt;"ND"), $T99, "")</f>
        <v/>
      </c>
      <c r="AL99" s="31" t="str">
        <f t="shared" si="31"/>
        <v/>
      </c>
      <c r="AM99" s="31" t="str">
        <f t="shared" ref="AM99:AM130" si="45">IF(AND($I99="W", $J99="15-min", $K99="PBZ",$T99&lt;&gt;"", $AF99&lt;&gt;"ND"), $T99, "")</f>
        <v/>
      </c>
      <c r="AN99" s="31" t="str">
        <f t="shared" si="33"/>
        <v/>
      </c>
      <c r="AO99" s="31" t="str">
        <f t="shared" ref="AO99:AO130" si="46">IF(AND($I99="W", $J99="short-term", $K99="PBZ",$T99&lt;&gt;"", $AF99&lt;&gt;"ND"), $T99, "")</f>
        <v/>
      </c>
      <c r="AP99" s="31" t="str">
        <f t="shared" si="35"/>
        <v/>
      </c>
      <c r="AQ99" s="31" t="str">
        <f t="shared" ref="AQ99:AQ130" si="47">IF(AND($I99="ONU", $J99="TWA", $K99="PBZ",$T99&lt;&gt;"", $AF99&lt;&gt;"ND"), $T99*($M99/480), "")</f>
        <v/>
      </c>
      <c r="AR99" s="31" t="str">
        <f t="shared" si="37"/>
        <v/>
      </c>
      <c r="AS99" s="31" t="str">
        <f t="shared" ref="AS99:AS130" si="48">IF(AND($I99="ONU", $J99="12-hr", $K99="PBZ",$T99&lt;&gt;"", $AF99&lt;&gt;"ND"), $T99, "")</f>
        <v/>
      </c>
      <c r="AT99" s="31" t="str">
        <f t="shared" si="39"/>
        <v/>
      </c>
      <c r="AU99" s="31" t="str">
        <f t="shared" si="40"/>
        <v/>
      </c>
      <c r="AV99" s="31" t="str">
        <f t="shared" si="42"/>
        <v/>
      </c>
    </row>
    <row r="100" spans="21:48" x14ac:dyDescent="0.35">
      <c r="U100" s="31"/>
      <c r="V100" s="31"/>
      <c r="W100" s="31"/>
      <c r="X100" s="31"/>
      <c r="Y100" s="31"/>
      <c r="Z100" s="31"/>
      <c r="AA100" s="31"/>
      <c r="AB100" s="31"/>
      <c r="AC100" s="85"/>
      <c r="AD100" s="85"/>
      <c r="AI100" s="31" t="str">
        <f t="shared" si="43"/>
        <v/>
      </c>
      <c r="AJ100" s="31" t="str">
        <f t="shared" si="41"/>
        <v/>
      </c>
      <c r="AK100" s="31" t="str">
        <f t="shared" si="44"/>
        <v/>
      </c>
      <c r="AL100" s="31" t="str">
        <f t="shared" si="31"/>
        <v/>
      </c>
      <c r="AM100" s="31" t="str">
        <f t="shared" si="45"/>
        <v/>
      </c>
      <c r="AN100" s="31" t="str">
        <f t="shared" si="33"/>
        <v/>
      </c>
      <c r="AO100" s="31" t="str">
        <f t="shared" si="46"/>
        <v/>
      </c>
      <c r="AP100" s="31" t="str">
        <f t="shared" si="35"/>
        <v/>
      </c>
      <c r="AQ100" s="31" t="str">
        <f t="shared" si="47"/>
        <v/>
      </c>
      <c r="AR100" s="31" t="str">
        <f t="shared" si="37"/>
        <v/>
      </c>
      <c r="AS100" s="31" t="str">
        <f t="shared" si="48"/>
        <v/>
      </c>
      <c r="AT100" s="31" t="str">
        <f t="shared" si="39"/>
        <v/>
      </c>
      <c r="AU100" s="31" t="str">
        <f t="shared" si="40"/>
        <v/>
      </c>
      <c r="AV100" s="31" t="str">
        <f t="shared" si="42"/>
        <v/>
      </c>
    </row>
    <row r="101" spans="21:48" x14ac:dyDescent="0.35">
      <c r="U101" s="31"/>
      <c r="V101" s="31"/>
      <c r="W101" s="31"/>
      <c r="X101" s="31"/>
      <c r="Y101" s="31"/>
      <c r="Z101" s="31"/>
      <c r="AA101" s="31"/>
      <c r="AB101" s="31"/>
      <c r="AC101" s="85"/>
      <c r="AD101" s="85"/>
      <c r="AI101" s="31" t="str">
        <f t="shared" si="43"/>
        <v/>
      </c>
      <c r="AJ101" s="31" t="str">
        <f t="shared" si="41"/>
        <v/>
      </c>
      <c r="AK101" s="31" t="str">
        <f t="shared" si="44"/>
        <v/>
      </c>
      <c r="AL101" s="31" t="str">
        <f t="shared" si="31"/>
        <v/>
      </c>
      <c r="AM101" s="31" t="str">
        <f t="shared" si="45"/>
        <v/>
      </c>
      <c r="AN101" s="31" t="str">
        <f t="shared" si="33"/>
        <v/>
      </c>
      <c r="AO101" s="31" t="str">
        <f t="shared" si="46"/>
        <v/>
      </c>
      <c r="AP101" s="31" t="str">
        <f t="shared" si="35"/>
        <v/>
      </c>
      <c r="AQ101" s="31" t="str">
        <f t="shared" si="47"/>
        <v/>
      </c>
      <c r="AR101" s="31" t="str">
        <f t="shared" si="37"/>
        <v/>
      </c>
      <c r="AS101" s="31" t="str">
        <f t="shared" si="48"/>
        <v/>
      </c>
      <c r="AT101" s="31" t="str">
        <f t="shared" si="39"/>
        <v/>
      </c>
      <c r="AU101" s="31" t="str">
        <f t="shared" si="40"/>
        <v/>
      </c>
      <c r="AV101" s="31" t="str">
        <f t="shared" si="42"/>
        <v/>
      </c>
    </row>
    <row r="102" spans="21:48" x14ac:dyDescent="0.35">
      <c r="U102" s="31"/>
      <c r="V102" s="31"/>
      <c r="W102" s="31"/>
      <c r="X102" s="31"/>
      <c r="Y102" s="31"/>
      <c r="Z102" s="31"/>
      <c r="AA102" s="31"/>
      <c r="AB102" s="31"/>
      <c r="AC102" s="85"/>
      <c r="AD102" s="85"/>
      <c r="AI102" s="31" t="str">
        <f t="shared" si="43"/>
        <v/>
      </c>
      <c r="AJ102" s="31" t="str">
        <f t="shared" si="41"/>
        <v/>
      </c>
      <c r="AK102" s="31" t="str">
        <f t="shared" si="44"/>
        <v/>
      </c>
      <c r="AL102" s="31" t="str">
        <f t="shared" si="31"/>
        <v/>
      </c>
      <c r="AM102" s="31" t="str">
        <f t="shared" si="45"/>
        <v/>
      </c>
      <c r="AN102" s="31" t="str">
        <f t="shared" si="33"/>
        <v/>
      </c>
      <c r="AO102" s="31" t="str">
        <f t="shared" si="46"/>
        <v/>
      </c>
      <c r="AP102" s="31" t="str">
        <f t="shared" si="35"/>
        <v/>
      </c>
      <c r="AQ102" s="31" t="str">
        <f t="shared" si="47"/>
        <v/>
      </c>
      <c r="AR102" s="31" t="str">
        <f t="shared" si="37"/>
        <v/>
      </c>
      <c r="AS102" s="31" t="str">
        <f t="shared" si="48"/>
        <v/>
      </c>
      <c r="AT102" s="31" t="str">
        <f t="shared" si="39"/>
        <v/>
      </c>
      <c r="AU102" s="31" t="str">
        <f t="shared" si="40"/>
        <v/>
      </c>
      <c r="AV102" s="31" t="str">
        <f t="shared" si="42"/>
        <v/>
      </c>
    </row>
    <row r="103" spans="21:48" x14ac:dyDescent="0.35">
      <c r="U103" s="31"/>
      <c r="V103" s="31"/>
      <c r="W103" s="31"/>
      <c r="X103" s="31"/>
      <c r="Y103" s="31"/>
      <c r="Z103" s="31"/>
      <c r="AA103" s="31"/>
      <c r="AB103" s="31"/>
      <c r="AC103" s="85"/>
      <c r="AD103" s="85"/>
      <c r="AI103" s="31" t="str">
        <f t="shared" si="43"/>
        <v/>
      </c>
      <c r="AJ103" s="31" t="str">
        <f t="shared" si="41"/>
        <v/>
      </c>
      <c r="AK103" s="31" t="str">
        <f t="shared" si="44"/>
        <v/>
      </c>
      <c r="AL103" s="31" t="str">
        <f t="shared" si="31"/>
        <v/>
      </c>
      <c r="AM103" s="31" t="str">
        <f t="shared" si="45"/>
        <v/>
      </c>
      <c r="AN103" s="31" t="str">
        <f t="shared" si="33"/>
        <v/>
      </c>
      <c r="AO103" s="31" t="str">
        <f t="shared" si="46"/>
        <v/>
      </c>
      <c r="AP103" s="31" t="str">
        <f t="shared" si="35"/>
        <v/>
      </c>
      <c r="AQ103" s="31" t="str">
        <f t="shared" si="47"/>
        <v/>
      </c>
      <c r="AR103" s="31" t="str">
        <f t="shared" si="37"/>
        <v/>
      </c>
      <c r="AS103" s="31" t="str">
        <f t="shared" si="48"/>
        <v/>
      </c>
      <c r="AT103" s="31" t="str">
        <f t="shared" si="39"/>
        <v/>
      </c>
      <c r="AU103" s="31" t="str">
        <f t="shared" si="40"/>
        <v/>
      </c>
      <c r="AV103" s="31" t="str">
        <f t="shared" si="42"/>
        <v/>
      </c>
    </row>
    <row r="104" spans="21:48" x14ac:dyDescent="0.35">
      <c r="U104" s="31"/>
      <c r="V104" s="31"/>
      <c r="W104" s="31"/>
      <c r="X104" s="31"/>
      <c r="Y104" s="31"/>
      <c r="Z104" s="31"/>
      <c r="AA104" s="31"/>
      <c r="AB104" s="31"/>
      <c r="AC104" s="85"/>
      <c r="AD104" s="85"/>
      <c r="AI104" s="31" t="str">
        <f t="shared" si="43"/>
        <v/>
      </c>
      <c r="AJ104" s="31" t="str">
        <f t="shared" si="41"/>
        <v/>
      </c>
      <c r="AK104" s="31" t="str">
        <f t="shared" si="44"/>
        <v/>
      </c>
      <c r="AL104" s="31" t="str">
        <f t="shared" si="31"/>
        <v/>
      </c>
      <c r="AM104" s="31" t="str">
        <f t="shared" si="45"/>
        <v/>
      </c>
      <c r="AN104" s="31" t="str">
        <f t="shared" si="33"/>
        <v/>
      </c>
      <c r="AO104" s="31" t="str">
        <f t="shared" si="46"/>
        <v/>
      </c>
      <c r="AP104" s="31" t="str">
        <f t="shared" si="35"/>
        <v/>
      </c>
      <c r="AQ104" s="31" t="str">
        <f t="shared" si="47"/>
        <v/>
      </c>
      <c r="AR104" s="31" t="str">
        <f t="shared" si="37"/>
        <v/>
      </c>
      <c r="AS104" s="31" t="str">
        <f t="shared" si="48"/>
        <v/>
      </c>
      <c r="AT104" s="31" t="str">
        <f t="shared" si="39"/>
        <v/>
      </c>
      <c r="AU104" s="31" t="str">
        <f t="shared" si="40"/>
        <v/>
      </c>
      <c r="AV104" s="31" t="str">
        <f t="shared" si="42"/>
        <v/>
      </c>
    </row>
    <row r="105" spans="21:48" x14ac:dyDescent="0.35">
      <c r="U105" s="31"/>
      <c r="V105" s="31"/>
      <c r="W105" s="31"/>
      <c r="X105" s="31"/>
      <c r="Y105" s="31"/>
      <c r="Z105" s="31"/>
      <c r="AA105" s="31"/>
      <c r="AB105" s="31"/>
      <c r="AC105" s="85"/>
      <c r="AD105" s="85"/>
      <c r="AI105" s="31" t="str">
        <f t="shared" si="43"/>
        <v/>
      </c>
      <c r="AJ105" s="31" t="str">
        <f t="shared" si="41"/>
        <v/>
      </c>
      <c r="AK105" s="31" t="str">
        <f t="shared" si="44"/>
        <v/>
      </c>
      <c r="AL105" s="31" t="str">
        <f t="shared" si="31"/>
        <v/>
      </c>
      <c r="AM105" s="31" t="str">
        <f t="shared" si="45"/>
        <v/>
      </c>
      <c r="AN105" s="31" t="str">
        <f t="shared" si="33"/>
        <v/>
      </c>
      <c r="AO105" s="31" t="str">
        <f t="shared" si="46"/>
        <v/>
      </c>
      <c r="AP105" s="31" t="str">
        <f t="shared" si="35"/>
        <v/>
      </c>
      <c r="AQ105" s="31" t="str">
        <f t="shared" si="47"/>
        <v/>
      </c>
      <c r="AR105" s="31" t="str">
        <f t="shared" si="37"/>
        <v/>
      </c>
      <c r="AS105" s="31" t="str">
        <f t="shared" si="48"/>
        <v/>
      </c>
      <c r="AT105" s="31" t="str">
        <f t="shared" si="39"/>
        <v/>
      </c>
      <c r="AU105" s="31" t="str">
        <f t="shared" si="40"/>
        <v/>
      </c>
      <c r="AV105" s="31" t="str">
        <f t="shared" si="42"/>
        <v/>
      </c>
    </row>
    <row r="106" spans="21:48" x14ac:dyDescent="0.35">
      <c r="U106" s="31"/>
      <c r="V106" s="31"/>
      <c r="W106" s="31"/>
      <c r="X106" s="31"/>
      <c r="Y106" s="31"/>
      <c r="Z106" s="31"/>
      <c r="AA106" s="31"/>
      <c r="AB106" s="31"/>
      <c r="AC106" s="85"/>
      <c r="AD106" s="85"/>
      <c r="AI106" s="31" t="str">
        <f t="shared" si="43"/>
        <v/>
      </c>
      <c r="AJ106" s="31" t="str">
        <f t="shared" si="41"/>
        <v/>
      </c>
      <c r="AK106" s="31" t="str">
        <f t="shared" si="44"/>
        <v/>
      </c>
      <c r="AL106" s="31" t="str">
        <f t="shared" si="31"/>
        <v/>
      </c>
      <c r="AM106" s="31" t="str">
        <f t="shared" si="45"/>
        <v/>
      </c>
      <c r="AN106" s="31" t="str">
        <f t="shared" si="33"/>
        <v/>
      </c>
      <c r="AO106" s="31" t="str">
        <f t="shared" si="46"/>
        <v/>
      </c>
      <c r="AP106" s="31" t="str">
        <f t="shared" si="35"/>
        <v/>
      </c>
      <c r="AQ106" s="31" t="str">
        <f t="shared" si="47"/>
        <v/>
      </c>
      <c r="AR106" s="31" t="str">
        <f t="shared" si="37"/>
        <v/>
      </c>
      <c r="AS106" s="31" t="str">
        <f t="shared" si="48"/>
        <v/>
      </c>
      <c r="AT106" s="31" t="str">
        <f t="shared" si="39"/>
        <v/>
      </c>
      <c r="AU106" s="31" t="str">
        <f t="shared" si="40"/>
        <v/>
      </c>
      <c r="AV106" s="31" t="str">
        <f t="shared" si="42"/>
        <v/>
      </c>
    </row>
    <row r="107" spans="21:48" x14ac:dyDescent="0.35">
      <c r="U107" s="31"/>
      <c r="V107" s="31"/>
      <c r="W107" s="31"/>
      <c r="X107" s="31"/>
      <c r="Y107" s="31"/>
      <c r="Z107" s="31"/>
      <c r="AA107" s="31"/>
      <c r="AB107" s="31"/>
      <c r="AC107" s="85"/>
      <c r="AD107" s="85"/>
      <c r="AI107" s="31" t="str">
        <f t="shared" si="43"/>
        <v/>
      </c>
      <c r="AJ107" s="31" t="str">
        <f t="shared" si="41"/>
        <v/>
      </c>
      <c r="AK107" s="31" t="str">
        <f t="shared" si="44"/>
        <v/>
      </c>
      <c r="AL107" s="31" t="str">
        <f t="shared" si="31"/>
        <v/>
      </c>
      <c r="AM107" s="31" t="str">
        <f t="shared" si="45"/>
        <v/>
      </c>
      <c r="AN107" s="31" t="str">
        <f t="shared" si="33"/>
        <v/>
      </c>
      <c r="AO107" s="31" t="str">
        <f t="shared" si="46"/>
        <v/>
      </c>
      <c r="AP107" s="31" t="str">
        <f t="shared" si="35"/>
        <v/>
      </c>
      <c r="AQ107" s="31" t="str">
        <f t="shared" si="47"/>
        <v/>
      </c>
      <c r="AR107" s="31" t="str">
        <f t="shared" si="37"/>
        <v/>
      </c>
      <c r="AS107" s="31" t="str">
        <f t="shared" si="48"/>
        <v/>
      </c>
      <c r="AT107" s="31" t="str">
        <f t="shared" si="39"/>
        <v/>
      </c>
      <c r="AU107" s="31" t="str">
        <f t="shared" si="40"/>
        <v/>
      </c>
      <c r="AV107" s="31" t="str">
        <f t="shared" si="42"/>
        <v/>
      </c>
    </row>
    <row r="108" spans="21:48" x14ac:dyDescent="0.35">
      <c r="U108" s="31"/>
      <c r="V108" s="31"/>
      <c r="W108" s="31"/>
      <c r="X108" s="31"/>
      <c r="Y108" s="31"/>
      <c r="Z108" s="31"/>
      <c r="AA108" s="31"/>
      <c r="AB108" s="31"/>
      <c r="AC108" s="85"/>
      <c r="AD108" s="85"/>
      <c r="AI108" s="31" t="str">
        <f t="shared" si="43"/>
        <v/>
      </c>
      <c r="AJ108" s="31" t="str">
        <f t="shared" si="41"/>
        <v/>
      </c>
      <c r="AK108" s="31" t="str">
        <f t="shared" si="44"/>
        <v/>
      </c>
      <c r="AL108" s="31" t="str">
        <f t="shared" si="31"/>
        <v/>
      </c>
      <c r="AM108" s="31" t="str">
        <f t="shared" si="45"/>
        <v/>
      </c>
      <c r="AN108" s="31" t="str">
        <f t="shared" si="33"/>
        <v/>
      </c>
      <c r="AO108" s="31" t="str">
        <f t="shared" si="46"/>
        <v/>
      </c>
      <c r="AP108" s="31" t="str">
        <f t="shared" si="35"/>
        <v/>
      </c>
      <c r="AQ108" s="31" t="str">
        <f t="shared" si="47"/>
        <v/>
      </c>
      <c r="AR108" s="31" t="str">
        <f t="shared" si="37"/>
        <v/>
      </c>
      <c r="AS108" s="31" t="str">
        <f t="shared" si="48"/>
        <v/>
      </c>
      <c r="AT108" s="31" t="str">
        <f t="shared" si="39"/>
        <v/>
      </c>
      <c r="AU108" s="31" t="str">
        <f t="shared" si="40"/>
        <v/>
      </c>
      <c r="AV108" s="31" t="str">
        <f t="shared" si="42"/>
        <v/>
      </c>
    </row>
    <row r="109" spans="21:48" x14ac:dyDescent="0.35">
      <c r="U109" s="31"/>
      <c r="V109" s="31"/>
      <c r="W109" s="31"/>
      <c r="X109" s="31"/>
      <c r="Y109" s="31"/>
      <c r="Z109" s="31"/>
      <c r="AA109" s="31"/>
      <c r="AB109" s="31"/>
      <c r="AC109" s="85"/>
      <c r="AD109" s="85"/>
      <c r="AI109" s="31" t="str">
        <f t="shared" si="43"/>
        <v/>
      </c>
      <c r="AJ109" s="31" t="str">
        <f t="shared" si="41"/>
        <v/>
      </c>
      <c r="AK109" s="31" t="str">
        <f t="shared" si="44"/>
        <v/>
      </c>
      <c r="AL109" s="31" t="str">
        <f t="shared" si="31"/>
        <v/>
      </c>
      <c r="AM109" s="31" t="str">
        <f t="shared" si="45"/>
        <v/>
      </c>
      <c r="AN109" s="31" t="str">
        <f t="shared" si="33"/>
        <v/>
      </c>
      <c r="AO109" s="31" t="str">
        <f t="shared" si="46"/>
        <v/>
      </c>
      <c r="AP109" s="31" t="str">
        <f t="shared" si="35"/>
        <v/>
      </c>
      <c r="AQ109" s="31" t="str">
        <f t="shared" si="47"/>
        <v/>
      </c>
      <c r="AR109" s="31" t="str">
        <f t="shared" si="37"/>
        <v/>
      </c>
      <c r="AS109" s="31" t="str">
        <f t="shared" si="48"/>
        <v/>
      </c>
      <c r="AT109" s="31" t="str">
        <f t="shared" si="39"/>
        <v/>
      </c>
      <c r="AU109" s="31" t="str">
        <f t="shared" si="40"/>
        <v/>
      </c>
      <c r="AV109" s="31" t="str">
        <f t="shared" si="42"/>
        <v/>
      </c>
    </row>
    <row r="110" spans="21:48" x14ac:dyDescent="0.35">
      <c r="U110" s="31"/>
      <c r="V110" s="31"/>
      <c r="W110" s="31"/>
      <c r="X110" s="31"/>
      <c r="Y110" s="31"/>
      <c r="Z110" s="31"/>
      <c r="AA110" s="31"/>
      <c r="AB110" s="31"/>
      <c r="AC110" s="85"/>
      <c r="AD110" s="85"/>
      <c r="AI110" s="31" t="str">
        <f t="shared" si="43"/>
        <v/>
      </c>
      <c r="AJ110" s="31" t="str">
        <f t="shared" si="41"/>
        <v/>
      </c>
      <c r="AK110" s="31" t="str">
        <f t="shared" si="44"/>
        <v/>
      </c>
      <c r="AL110" s="31" t="str">
        <f t="shared" si="31"/>
        <v/>
      </c>
      <c r="AM110" s="31" t="str">
        <f t="shared" si="45"/>
        <v/>
      </c>
      <c r="AN110" s="31" t="str">
        <f t="shared" si="33"/>
        <v/>
      </c>
      <c r="AO110" s="31" t="str">
        <f t="shared" si="46"/>
        <v/>
      </c>
      <c r="AP110" s="31" t="str">
        <f t="shared" si="35"/>
        <v/>
      </c>
      <c r="AQ110" s="31" t="str">
        <f t="shared" si="47"/>
        <v/>
      </c>
      <c r="AR110" s="31" t="str">
        <f t="shared" si="37"/>
        <v/>
      </c>
      <c r="AS110" s="31" t="str">
        <f t="shared" si="48"/>
        <v/>
      </c>
      <c r="AT110" s="31" t="str">
        <f t="shared" si="39"/>
        <v/>
      </c>
      <c r="AU110" s="31" t="str">
        <f t="shared" si="40"/>
        <v/>
      </c>
      <c r="AV110" s="31" t="str">
        <f t="shared" si="42"/>
        <v/>
      </c>
    </row>
    <row r="111" spans="21:48" x14ac:dyDescent="0.35">
      <c r="U111" s="31"/>
      <c r="V111" s="31"/>
      <c r="W111" s="31"/>
      <c r="X111" s="31"/>
      <c r="Y111" s="31"/>
      <c r="Z111" s="31"/>
      <c r="AA111" s="31"/>
      <c r="AB111" s="31"/>
      <c r="AC111" s="85"/>
      <c r="AD111" s="85"/>
      <c r="AI111" s="31" t="str">
        <f t="shared" si="43"/>
        <v/>
      </c>
      <c r="AJ111" s="31" t="str">
        <f t="shared" si="41"/>
        <v/>
      </c>
      <c r="AK111" s="31" t="str">
        <f t="shared" si="44"/>
        <v/>
      </c>
      <c r="AL111" s="31" t="str">
        <f t="shared" si="31"/>
        <v/>
      </c>
      <c r="AM111" s="31" t="str">
        <f t="shared" si="45"/>
        <v/>
      </c>
      <c r="AN111" s="31" t="str">
        <f t="shared" si="33"/>
        <v/>
      </c>
      <c r="AO111" s="31" t="str">
        <f t="shared" si="46"/>
        <v/>
      </c>
      <c r="AP111" s="31" t="str">
        <f t="shared" si="35"/>
        <v/>
      </c>
      <c r="AQ111" s="31" t="str">
        <f t="shared" si="47"/>
        <v/>
      </c>
      <c r="AR111" s="31" t="str">
        <f t="shared" si="37"/>
        <v/>
      </c>
      <c r="AS111" s="31" t="str">
        <f t="shared" si="48"/>
        <v/>
      </c>
      <c r="AT111" s="31" t="str">
        <f t="shared" si="39"/>
        <v/>
      </c>
      <c r="AU111" s="31" t="str">
        <f t="shared" si="40"/>
        <v/>
      </c>
      <c r="AV111" s="31" t="str">
        <f t="shared" si="42"/>
        <v/>
      </c>
    </row>
    <row r="112" spans="21:48" x14ac:dyDescent="0.35">
      <c r="U112" s="31"/>
      <c r="V112" s="31"/>
      <c r="W112" s="31"/>
      <c r="X112" s="31"/>
      <c r="Y112" s="31"/>
      <c r="Z112" s="31"/>
      <c r="AA112" s="31"/>
      <c r="AB112" s="31"/>
      <c r="AC112" s="85"/>
      <c r="AD112" s="85"/>
      <c r="AI112" s="31" t="str">
        <f t="shared" si="43"/>
        <v/>
      </c>
      <c r="AJ112" s="31" t="str">
        <f t="shared" si="41"/>
        <v/>
      </c>
      <c r="AK112" s="31" t="str">
        <f t="shared" si="44"/>
        <v/>
      </c>
      <c r="AL112" s="31" t="str">
        <f t="shared" si="31"/>
        <v/>
      </c>
      <c r="AM112" s="31" t="str">
        <f t="shared" si="45"/>
        <v/>
      </c>
      <c r="AN112" s="31" t="str">
        <f t="shared" si="33"/>
        <v/>
      </c>
      <c r="AO112" s="31" t="str">
        <f t="shared" si="46"/>
        <v/>
      </c>
      <c r="AP112" s="31" t="str">
        <f t="shared" si="35"/>
        <v/>
      </c>
      <c r="AQ112" s="31" t="str">
        <f t="shared" si="47"/>
        <v/>
      </c>
      <c r="AR112" s="31" t="str">
        <f t="shared" si="37"/>
        <v/>
      </c>
      <c r="AS112" s="31" t="str">
        <f t="shared" si="48"/>
        <v/>
      </c>
      <c r="AT112" s="31" t="str">
        <f t="shared" si="39"/>
        <v/>
      </c>
      <c r="AU112" s="31" t="str">
        <f t="shared" si="40"/>
        <v/>
      </c>
      <c r="AV112" s="31" t="str">
        <f t="shared" si="42"/>
        <v/>
      </c>
    </row>
    <row r="113" spans="21:48" x14ac:dyDescent="0.35">
      <c r="U113" s="31"/>
      <c r="V113" s="31"/>
      <c r="W113" s="31"/>
      <c r="X113" s="31"/>
      <c r="Y113" s="31"/>
      <c r="Z113" s="31"/>
      <c r="AA113" s="31"/>
      <c r="AB113" s="31"/>
      <c r="AC113" s="85"/>
      <c r="AD113" s="85"/>
      <c r="AI113" s="31" t="str">
        <f t="shared" si="43"/>
        <v/>
      </c>
      <c r="AJ113" s="31" t="str">
        <f t="shared" si="41"/>
        <v/>
      </c>
      <c r="AK113" s="31" t="str">
        <f t="shared" si="44"/>
        <v/>
      </c>
      <c r="AL113" s="31" t="str">
        <f t="shared" si="31"/>
        <v/>
      </c>
      <c r="AM113" s="31" t="str">
        <f t="shared" si="45"/>
        <v/>
      </c>
      <c r="AN113" s="31" t="str">
        <f t="shared" si="33"/>
        <v/>
      </c>
      <c r="AO113" s="31" t="str">
        <f t="shared" si="46"/>
        <v/>
      </c>
      <c r="AP113" s="31" t="str">
        <f t="shared" si="35"/>
        <v/>
      </c>
      <c r="AQ113" s="31" t="str">
        <f t="shared" si="47"/>
        <v/>
      </c>
      <c r="AR113" s="31" t="str">
        <f t="shared" si="37"/>
        <v/>
      </c>
      <c r="AS113" s="31" t="str">
        <f t="shared" si="48"/>
        <v/>
      </c>
      <c r="AT113" s="31" t="str">
        <f t="shared" si="39"/>
        <v/>
      </c>
      <c r="AU113" s="31" t="str">
        <f t="shared" si="40"/>
        <v/>
      </c>
      <c r="AV113" s="31" t="str">
        <f t="shared" si="42"/>
        <v/>
      </c>
    </row>
    <row r="114" spans="21:48" x14ac:dyDescent="0.35">
      <c r="U114" s="31"/>
      <c r="V114" s="31"/>
      <c r="W114" s="31"/>
      <c r="X114" s="31"/>
      <c r="Y114" s="31"/>
      <c r="Z114" s="31"/>
      <c r="AA114" s="31"/>
      <c r="AB114" s="31"/>
      <c r="AC114" s="85"/>
      <c r="AD114" s="85"/>
      <c r="AI114" s="31" t="str">
        <f t="shared" si="43"/>
        <v/>
      </c>
      <c r="AJ114" s="31" t="str">
        <f t="shared" si="41"/>
        <v/>
      </c>
      <c r="AK114" s="31" t="str">
        <f t="shared" si="44"/>
        <v/>
      </c>
      <c r="AL114" s="31" t="str">
        <f t="shared" si="31"/>
        <v/>
      </c>
      <c r="AM114" s="31" t="str">
        <f t="shared" si="45"/>
        <v/>
      </c>
      <c r="AN114" s="31" t="str">
        <f t="shared" si="33"/>
        <v/>
      </c>
      <c r="AO114" s="31" t="str">
        <f t="shared" si="46"/>
        <v/>
      </c>
      <c r="AP114" s="31" t="str">
        <f t="shared" si="35"/>
        <v/>
      </c>
      <c r="AQ114" s="31" t="str">
        <f t="shared" si="47"/>
        <v/>
      </c>
      <c r="AR114" s="31" t="str">
        <f t="shared" si="37"/>
        <v/>
      </c>
      <c r="AS114" s="31" t="str">
        <f t="shared" si="48"/>
        <v/>
      </c>
      <c r="AT114" s="31" t="str">
        <f t="shared" si="39"/>
        <v/>
      </c>
      <c r="AU114" s="31" t="str">
        <f t="shared" si="40"/>
        <v/>
      </c>
      <c r="AV114" s="31" t="str">
        <f t="shared" si="42"/>
        <v/>
      </c>
    </row>
    <row r="115" spans="21:48" x14ac:dyDescent="0.35">
      <c r="U115" s="31"/>
      <c r="V115" s="31"/>
      <c r="W115" s="31"/>
      <c r="X115" s="31"/>
      <c r="Y115" s="31"/>
      <c r="Z115" s="31"/>
      <c r="AA115" s="31"/>
      <c r="AB115" s="31"/>
      <c r="AC115" s="85"/>
      <c r="AD115" s="85"/>
      <c r="AI115" s="31" t="str">
        <f t="shared" si="43"/>
        <v/>
      </c>
      <c r="AJ115" s="31" t="str">
        <f t="shared" si="41"/>
        <v/>
      </c>
      <c r="AK115" s="31" t="str">
        <f t="shared" si="44"/>
        <v/>
      </c>
      <c r="AL115" s="31" t="str">
        <f t="shared" si="31"/>
        <v/>
      </c>
      <c r="AM115" s="31" t="str">
        <f t="shared" si="45"/>
        <v/>
      </c>
      <c r="AN115" s="31" t="str">
        <f t="shared" si="33"/>
        <v/>
      </c>
      <c r="AO115" s="31" t="str">
        <f t="shared" si="46"/>
        <v/>
      </c>
      <c r="AP115" s="31" t="str">
        <f t="shared" si="35"/>
        <v/>
      </c>
      <c r="AQ115" s="31" t="str">
        <f t="shared" si="47"/>
        <v/>
      </c>
      <c r="AR115" s="31" t="str">
        <f t="shared" si="37"/>
        <v/>
      </c>
      <c r="AS115" s="31" t="str">
        <f t="shared" si="48"/>
        <v/>
      </c>
      <c r="AT115" s="31" t="str">
        <f t="shared" si="39"/>
        <v/>
      </c>
      <c r="AU115" s="31" t="str">
        <f t="shared" si="40"/>
        <v/>
      </c>
      <c r="AV115" s="31" t="str">
        <f t="shared" si="42"/>
        <v/>
      </c>
    </row>
    <row r="116" spans="21:48" x14ac:dyDescent="0.35">
      <c r="U116" s="31"/>
      <c r="V116" s="31"/>
      <c r="W116" s="31"/>
      <c r="X116" s="31"/>
      <c r="Y116" s="31"/>
      <c r="Z116" s="31"/>
      <c r="AA116" s="31"/>
      <c r="AB116" s="31"/>
      <c r="AC116" s="85"/>
      <c r="AD116" s="85"/>
      <c r="AI116" s="31" t="str">
        <f t="shared" si="43"/>
        <v/>
      </c>
      <c r="AJ116" s="31" t="str">
        <f t="shared" si="41"/>
        <v/>
      </c>
      <c r="AK116" s="31" t="str">
        <f t="shared" si="44"/>
        <v/>
      </c>
      <c r="AL116" s="31" t="str">
        <f t="shared" si="31"/>
        <v/>
      </c>
      <c r="AM116" s="31" t="str">
        <f t="shared" si="45"/>
        <v/>
      </c>
      <c r="AN116" s="31" t="str">
        <f t="shared" si="33"/>
        <v/>
      </c>
      <c r="AO116" s="31" t="str">
        <f t="shared" si="46"/>
        <v/>
      </c>
      <c r="AP116" s="31" t="str">
        <f t="shared" si="35"/>
        <v/>
      </c>
      <c r="AQ116" s="31" t="str">
        <f t="shared" si="47"/>
        <v/>
      </c>
      <c r="AR116" s="31" t="str">
        <f t="shared" si="37"/>
        <v/>
      </c>
      <c r="AS116" s="31" t="str">
        <f t="shared" si="48"/>
        <v/>
      </c>
      <c r="AT116" s="31" t="str">
        <f t="shared" si="39"/>
        <v/>
      </c>
      <c r="AU116" s="31" t="str">
        <f t="shared" si="40"/>
        <v/>
      </c>
      <c r="AV116" s="31" t="str">
        <f t="shared" si="42"/>
        <v/>
      </c>
    </row>
    <row r="117" spans="21:48" x14ac:dyDescent="0.35">
      <c r="U117" s="31"/>
      <c r="V117" s="31"/>
      <c r="W117" s="31"/>
      <c r="X117" s="31"/>
      <c r="Y117" s="31"/>
      <c r="Z117" s="31"/>
      <c r="AA117" s="31"/>
      <c r="AB117" s="31"/>
      <c r="AC117" s="85"/>
      <c r="AD117" s="85"/>
      <c r="AI117" s="31" t="str">
        <f t="shared" si="43"/>
        <v/>
      </c>
      <c r="AJ117" s="31" t="str">
        <f t="shared" si="41"/>
        <v/>
      </c>
      <c r="AK117" s="31" t="str">
        <f t="shared" si="44"/>
        <v/>
      </c>
      <c r="AL117" s="31" t="str">
        <f t="shared" si="31"/>
        <v/>
      </c>
      <c r="AM117" s="31" t="str">
        <f t="shared" si="45"/>
        <v/>
      </c>
      <c r="AN117" s="31" t="str">
        <f t="shared" si="33"/>
        <v/>
      </c>
      <c r="AO117" s="31" t="str">
        <f t="shared" si="46"/>
        <v/>
      </c>
      <c r="AP117" s="31" t="str">
        <f t="shared" si="35"/>
        <v/>
      </c>
      <c r="AQ117" s="31" t="str">
        <f t="shared" si="47"/>
        <v/>
      </c>
      <c r="AR117" s="31" t="str">
        <f t="shared" si="37"/>
        <v/>
      </c>
      <c r="AS117" s="31" t="str">
        <f t="shared" si="48"/>
        <v/>
      </c>
      <c r="AT117" s="31" t="str">
        <f t="shared" si="39"/>
        <v/>
      </c>
      <c r="AU117" s="31" t="str">
        <f t="shared" si="40"/>
        <v/>
      </c>
      <c r="AV117" s="31" t="str">
        <f t="shared" si="42"/>
        <v/>
      </c>
    </row>
    <row r="118" spans="21:48" x14ac:dyDescent="0.35">
      <c r="U118" s="31"/>
      <c r="V118" s="31"/>
      <c r="W118" s="31"/>
      <c r="X118" s="31"/>
      <c r="Y118" s="31"/>
      <c r="Z118" s="31"/>
      <c r="AA118" s="31"/>
      <c r="AB118" s="31"/>
      <c r="AC118" s="85"/>
      <c r="AD118" s="85"/>
      <c r="AI118" s="31" t="str">
        <f t="shared" si="43"/>
        <v/>
      </c>
      <c r="AJ118" s="31" t="str">
        <f t="shared" si="41"/>
        <v/>
      </c>
      <c r="AK118" s="31" t="str">
        <f t="shared" si="44"/>
        <v/>
      </c>
      <c r="AL118" s="31" t="str">
        <f t="shared" si="31"/>
        <v/>
      </c>
      <c r="AM118" s="31" t="str">
        <f t="shared" si="45"/>
        <v/>
      </c>
      <c r="AN118" s="31" t="str">
        <f t="shared" si="33"/>
        <v/>
      </c>
      <c r="AO118" s="31" t="str">
        <f t="shared" si="46"/>
        <v/>
      </c>
      <c r="AP118" s="31" t="str">
        <f t="shared" si="35"/>
        <v/>
      </c>
      <c r="AQ118" s="31" t="str">
        <f t="shared" si="47"/>
        <v/>
      </c>
      <c r="AR118" s="31" t="str">
        <f t="shared" si="37"/>
        <v/>
      </c>
      <c r="AS118" s="31" t="str">
        <f t="shared" si="48"/>
        <v/>
      </c>
      <c r="AT118" s="31" t="str">
        <f t="shared" si="39"/>
        <v/>
      </c>
      <c r="AU118" s="31" t="str">
        <f t="shared" si="40"/>
        <v/>
      </c>
      <c r="AV118" s="31" t="str">
        <f t="shared" si="42"/>
        <v/>
      </c>
    </row>
    <row r="119" spans="21:48" x14ac:dyDescent="0.35">
      <c r="U119" s="31"/>
      <c r="V119" s="31"/>
      <c r="W119" s="31"/>
      <c r="X119" s="31"/>
      <c r="Y119" s="31"/>
      <c r="Z119" s="31"/>
      <c r="AA119" s="31"/>
      <c r="AB119" s="31"/>
      <c r="AC119" s="85"/>
      <c r="AD119" s="85"/>
      <c r="AI119" s="31" t="str">
        <f t="shared" si="43"/>
        <v/>
      </c>
      <c r="AJ119" s="31" t="str">
        <f t="shared" si="41"/>
        <v/>
      </c>
      <c r="AK119" s="31" t="str">
        <f t="shared" si="44"/>
        <v/>
      </c>
      <c r="AL119" s="31" t="str">
        <f t="shared" si="31"/>
        <v/>
      </c>
      <c r="AM119" s="31" t="str">
        <f t="shared" si="45"/>
        <v/>
      </c>
      <c r="AN119" s="31" t="str">
        <f t="shared" si="33"/>
        <v/>
      </c>
      <c r="AO119" s="31" t="str">
        <f t="shared" si="46"/>
        <v/>
      </c>
      <c r="AP119" s="31" t="str">
        <f t="shared" si="35"/>
        <v/>
      </c>
      <c r="AQ119" s="31" t="str">
        <f t="shared" si="47"/>
        <v/>
      </c>
      <c r="AR119" s="31" t="str">
        <f t="shared" si="37"/>
        <v/>
      </c>
      <c r="AS119" s="31" t="str">
        <f t="shared" si="48"/>
        <v/>
      </c>
      <c r="AT119" s="31" t="str">
        <f t="shared" si="39"/>
        <v/>
      </c>
      <c r="AU119" s="31" t="str">
        <f t="shared" si="40"/>
        <v/>
      </c>
      <c r="AV119" s="31" t="str">
        <f t="shared" si="42"/>
        <v/>
      </c>
    </row>
    <row r="120" spans="21:48" x14ac:dyDescent="0.35">
      <c r="U120" s="31"/>
      <c r="V120" s="31"/>
      <c r="W120" s="31"/>
      <c r="X120" s="31"/>
      <c r="Y120" s="31"/>
      <c r="Z120" s="31"/>
      <c r="AA120" s="31"/>
      <c r="AB120" s="31"/>
      <c r="AC120" s="85"/>
      <c r="AD120" s="85"/>
      <c r="AI120" s="31" t="str">
        <f t="shared" si="43"/>
        <v/>
      </c>
      <c r="AJ120" s="31" t="str">
        <f t="shared" si="41"/>
        <v/>
      </c>
      <c r="AK120" s="31" t="str">
        <f t="shared" si="44"/>
        <v/>
      </c>
      <c r="AL120" s="31" t="str">
        <f t="shared" si="31"/>
        <v/>
      </c>
      <c r="AM120" s="31" t="str">
        <f t="shared" si="45"/>
        <v/>
      </c>
      <c r="AN120" s="31" t="str">
        <f t="shared" si="33"/>
        <v/>
      </c>
      <c r="AO120" s="31" t="str">
        <f t="shared" si="46"/>
        <v/>
      </c>
      <c r="AP120" s="31" t="str">
        <f t="shared" si="35"/>
        <v/>
      </c>
      <c r="AQ120" s="31" t="str">
        <f t="shared" si="47"/>
        <v/>
      </c>
      <c r="AR120" s="31" t="str">
        <f t="shared" si="37"/>
        <v/>
      </c>
      <c r="AS120" s="31" t="str">
        <f t="shared" si="48"/>
        <v/>
      </c>
      <c r="AT120" s="31" t="str">
        <f t="shared" si="39"/>
        <v/>
      </c>
      <c r="AU120" s="31" t="str">
        <f t="shared" si="40"/>
        <v/>
      </c>
      <c r="AV120" s="31" t="str">
        <f t="shared" si="42"/>
        <v/>
      </c>
    </row>
    <row r="121" spans="21:48" x14ac:dyDescent="0.35">
      <c r="U121" s="31"/>
      <c r="V121" s="31"/>
      <c r="W121" s="31"/>
      <c r="X121" s="31"/>
      <c r="Y121" s="31"/>
      <c r="Z121" s="31"/>
      <c r="AA121" s="31"/>
      <c r="AB121" s="31"/>
      <c r="AC121" s="85"/>
      <c r="AD121" s="85"/>
      <c r="AI121" s="31" t="str">
        <f t="shared" si="43"/>
        <v/>
      </c>
      <c r="AJ121" s="31" t="str">
        <f t="shared" si="41"/>
        <v/>
      </c>
      <c r="AK121" s="31" t="str">
        <f t="shared" si="44"/>
        <v/>
      </c>
      <c r="AL121" s="31" t="str">
        <f t="shared" si="31"/>
        <v/>
      </c>
      <c r="AM121" s="31" t="str">
        <f t="shared" si="45"/>
        <v/>
      </c>
      <c r="AN121" s="31" t="str">
        <f t="shared" si="33"/>
        <v/>
      </c>
      <c r="AO121" s="31" t="str">
        <f t="shared" si="46"/>
        <v/>
      </c>
      <c r="AP121" s="31" t="str">
        <f t="shared" si="35"/>
        <v/>
      </c>
      <c r="AQ121" s="31" t="str">
        <f t="shared" si="47"/>
        <v/>
      </c>
      <c r="AR121" s="31" t="str">
        <f t="shared" si="37"/>
        <v/>
      </c>
      <c r="AS121" s="31" t="str">
        <f t="shared" si="48"/>
        <v/>
      </c>
      <c r="AT121" s="31" t="str">
        <f t="shared" si="39"/>
        <v/>
      </c>
      <c r="AU121" s="31" t="str">
        <f t="shared" si="40"/>
        <v/>
      </c>
      <c r="AV121" s="31" t="str">
        <f t="shared" si="42"/>
        <v/>
      </c>
    </row>
    <row r="122" spans="21:48" x14ac:dyDescent="0.35">
      <c r="U122" s="31"/>
      <c r="V122" s="31"/>
      <c r="W122" s="31"/>
      <c r="X122" s="31"/>
      <c r="Y122" s="31"/>
      <c r="Z122" s="31"/>
      <c r="AA122" s="31"/>
      <c r="AB122" s="31"/>
      <c r="AC122" s="85"/>
      <c r="AD122" s="85"/>
      <c r="AI122" s="31" t="str">
        <f t="shared" si="43"/>
        <v/>
      </c>
      <c r="AJ122" s="31" t="str">
        <f t="shared" si="41"/>
        <v/>
      </c>
      <c r="AK122" s="31" t="str">
        <f t="shared" si="44"/>
        <v/>
      </c>
      <c r="AL122" s="31" t="str">
        <f t="shared" si="31"/>
        <v/>
      </c>
      <c r="AM122" s="31" t="str">
        <f t="shared" si="45"/>
        <v/>
      </c>
      <c r="AN122" s="31" t="str">
        <f t="shared" si="33"/>
        <v/>
      </c>
      <c r="AO122" s="31" t="str">
        <f t="shared" si="46"/>
        <v/>
      </c>
      <c r="AP122" s="31" t="str">
        <f t="shared" si="35"/>
        <v/>
      </c>
      <c r="AQ122" s="31" t="str">
        <f t="shared" si="47"/>
        <v/>
      </c>
      <c r="AR122" s="31" t="str">
        <f t="shared" si="37"/>
        <v/>
      </c>
      <c r="AS122" s="31" t="str">
        <f t="shared" si="48"/>
        <v/>
      </c>
      <c r="AT122" s="31" t="str">
        <f t="shared" si="39"/>
        <v/>
      </c>
      <c r="AU122" s="31" t="str">
        <f t="shared" si="40"/>
        <v/>
      </c>
      <c r="AV122" s="31" t="str">
        <f t="shared" si="42"/>
        <v/>
      </c>
    </row>
    <row r="123" spans="21:48" x14ac:dyDescent="0.35">
      <c r="U123" s="31"/>
      <c r="V123" s="31"/>
      <c r="W123" s="31"/>
      <c r="X123" s="31"/>
      <c r="Y123" s="31"/>
      <c r="Z123" s="31"/>
      <c r="AA123" s="31"/>
      <c r="AB123" s="31"/>
      <c r="AC123" s="85"/>
      <c r="AD123" s="85"/>
      <c r="AI123" s="31" t="str">
        <f t="shared" si="43"/>
        <v/>
      </c>
      <c r="AJ123" s="31" t="str">
        <f t="shared" si="41"/>
        <v/>
      </c>
      <c r="AK123" s="31" t="str">
        <f t="shared" si="44"/>
        <v/>
      </c>
      <c r="AL123" s="31" t="str">
        <f t="shared" si="31"/>
        <v/>
      </c>
      <c r="AM123" s="31" t="str">
        <f t="shared" si="45"/>
        <v/>
      </c>
      <c r="AN123" s="31" t="str">
        <f t="shared" si="33"/>
        <v/>
      </c>
      <c r="AO123" s="31" t="str">
        <f t="shared" si="46"/>
        <v/>
      </c>
      <c r="AP123" s="31" t="str">
        <f t="shared" si="35"/>
        <v/>
      </c>
      <c r="AQ123" s="31" t="str">
        <f t="shared" si="47"/>
        <v/>
      </c>
      <c r="AR123" s="31" t="str">
        <f t="shared" si="37"/>
        <v/>
      </c>
      <c r="AS123" s="31" t="str">
        <f t="shared" si="48"/>
        <v/>
      </c>
      <c r="AT123" s="31" t="str">
        <f t="shared" si="39"/>
        <v/>
      </c>
      <c r="AU123" s="31" t="str">
        <f t="shared" si="40"/>
        <v/>
      </c>
      <c r="AV123" s="31" t="str">
        <f t="shared" si="42"/>
        <v/>
      </c>
    </row>
    <row r="124" spans="21:48" x14ac:dyDescent="0.35">
      <c r="U124" s="31"/>
      <c r="V124" s="31"/>
      <c r="W124" s="31"/>
      <c r="X124" s="31"/>
      <c r="Y124" s="31"/>
      <c r="Z124" s="31"/>
      <c r="AA124" s="31"/>
      <c r="AB124" s="31"/>
      <c r="AC124" s="85"/>
      <c r="AD124" s="85"/>
      <c r="AI124" s="31" t="str">
        <f t="shared" si="43"/>
        <v/>
      </c>
      <c r="AJ124" s="31" t="str">
        <f t="shared" si="41"/>
        <v/>
      </c>
      <c r="AK124" s="31" t="str">
        <f t="shared" si="44"/>
        <v/>
      </c>
      <c r="AL124" s="31" t="str">
        <f t="shared" si="31"/>
        <v/>
      </c>
      <c r="AM124" s="31" t="str">
        <f t="shared" si="45"/>
        <v/>
      </c>
      <c r="AN124" s="31" t="str">
        <f t="shared" si="33"/>
        <v/>
      </c>
      <c r="AO124" s="31" t="str">
        <f t="shared" si="46"/>
        <v/>
      </c>
      <c r="AP124" s="31" t="str">
        <f t="shared" si="35"/>
        <v/>
      </c>
      <c r="AQ124" s="31" t="str">
        <f t="shared" si="47"/>
        <v/>
      </c>
      <c r="AR124" s="31" t="str">
        <f t="shared" si="37"/>
        <v/>
      </c>
      <c r="AS124" s="31" t="str">
        <f t="shared" si="48"/>
        <v/>
      </c>
      <c r="AT124" s="31" t="str">
        <f t="shared" si="39"/>
        <v/>
      </c>
      <c r="AU124" s="31" t="str">
        <f t="shared" si="40"/>
        <v/>
      </c>
      <c r="AV124" s="31" t="str">
        <f t="shared" si="42"/>
        <v/>
      </c>
    </row>
    <row r="125" spans="21:48" x14ac:dyDescent="0.35">
      <c r="U125" s="31"/>
      <c r="V125" s="31"/>
      <c r="W125" s="31"/>
      <c r="X125" s="31"/>
      <c r="Y125" s="31"/>
      <c r="Z125" s="31"/>
      <c r="AA125" s="31"/>
      <c r="AB125" s="31"/>
      <c r="AC125" s="85"/>
      <c r="AD125" s="85"/>
      <c r="AI125" s="31" t="str">
        <f t="shared" si="43"/>
        <v/>
      </c>
      <c r="AJ125" s="31" t="str">
        <f t="shared" si="41"/>
        <v/>
      </c>
      <c r="AK125" s="31" t="str">
        <f t="shared" si="44"/>
        <v/>
      </c>
      <c r="AL125" s="31" t="str">
        <f t="shared" si="31"/>
        <v/>
      </c>
      <c r="AM125" s="31" t="str">
        <f t="shared" si="45"/>
        <v/>
      </c>
      <c r="AN125" s="31" t="str">
        <f t="shared" si="33"/>
        <v/>
      </c>
      <c r="AO125" s="31" t="str">
        <f t="shared" si="46"/>
        <v/>
      </c>
      <c r="AP125" s="31" t="str">
        <f t="shared" si="35"/>
        <v/>
      </c>
      <c r="AQ125" s="31" t="str">
        <f t="shared" si="47"/>
        <v/>
      </c>
      <c r="AR125" s="31" t="str">
        <f t="shared" si="37"/>
        <v/>
      </c>
      <c r="AS125" s="31" t="str">
        <f t="shared" si="48"/>
        <v/>
      </c>
      <c r="AT125" s="31" t="str">
        <f t="shared" si="39"/>
        <v/>
      </c>
      <c r="AU125" s="31" t="str">
        <f t="shared" si="40"/>
        <v/>
      </c>
      <c r="AV125" s="31" t="str">
        <f t="shared" si="42"/>
        <v/>
      </c>
    </row>
    <row r="126" spans="21:48" x14ac:dyDescent="0.35">
      <c r="U126" s="31"/>
      <c r="V126" s="31"/>
      <c r="W126" s="31"/>
      <c r="X126" s="31"/>
      <c r="Y126" s="31"/>
      <c r="Z126" s="31"/>
      <c r="AA126" s="31"/>
      <c r="AB126" s="31"/>
      <c r="AC126" s="85"/>
      <c r="AD126" s="85"/>
      <c r="AI126" s="31" t="str">
        <f t="shared" si="43"/>
        <v/>
      </c>
      <c r="AJ126" s="31" t="str">
        <f t="shared" si="41"/>
        <v/>
      </c>
      <c r="AK126" s="31" t="str">
        <f t="shared" si="44"/>
        <v/>
      </c>
      <c r="AL126" s="31" t="str">
        <f t="shared" si="31"/>
        <v/>
      </c>
      <c r="AM126" s="31" t="str">
        <f t="shared" si="45"/>
        <v/>
      </c>
      <c r="AN126" s="31" t="str">
        <f t="shared" si="33"/>
        <v/>
      </c>
      <c r="AO126" s="31" t="str">
        <f t="shared" si="46"/>
        <v/>
      </c>
      <c r="AP126" s="31" t="str">
        <f t="shared" si="35"/>
        <v/>
      </c>
      <c r="AQ126" s="31" t="str">
        <f t="shared" si="47"/>
        <v/>
      </c>
      <c r="AR126" s="31" t="str">
        <f t="shared" si="37"/>
        <v/>
      </c>
      <c r="AS126" s="31" t="str">
        <f t="shared" si="48"/>
        <v/>
      </c>
      <c r="AT126" s="31" t="str">
        <f t="shared" si="39"/>
        <v/>
      </c>
      <c r="AU126" s="31" t="str">
        <f t="shared" si="40"/>
        <v/>
      </c>
      <c r="AV126" s="31" t="str">
        <f t="shared" si="42"/>
        <v/>
      </c>
    </row>
    <row r="127" spans="21:48" x14ac:dyDescent="0.35">
      <c r="U127" s="31"/>
      <c r="V127" s="31"/>
      <c r="W127" s="31"/>
      <c r="X127" s="31"/>
      <c r="Y127" s="31"/>
      <c r="Z127" s="31"/>
      <c r="AA127" s="31"/>
      <c r="AB127" s="31"/>
      <c r="AC127" s="85"/>
      <c r="AD127" s="85"/>
      <c r="AI127" s="31" t="str">
        <f t="shared" si="43"/>
        <v/>
      </c>
      <c r="AJ127" s="31" t="str">
        <f t="shared" si="41"/>
        <v/>
      </c>
      <c r="AK127" s="31" t="str">
        <f t="shared" si="44"/>
        <v/>
      </c>
      <c r="AL127" s="31" t="str">
        <f t="shared" si="31"/>
        <v/>
      </c>
      <c r="AM127" s="31" t="str">
        <f t="shared" si="45"/>
        <v/>
      </c>
      <c r="AN127" s="31" t="str">
        <f t="shared" si="33"/>
        <v/>
      </c>
      <c r="AO127" s="31" t="str">
        <f t="shared" si="46"/>
        <v/>
      </c>
      <c r="AP127" s="31" t="str">
        <f t="shared" si="35"/>
        <v/>
      </c>
      <c r="AQ127" s="31" t="str">
        <f t="shared" si="47"/>
        <v/>
      </c>
      <c r="AR127" s="31" t="str">
        <f t="shared" si="37"/>
        <v/>
      </c>
      <c r="AS127" s="31" t="str">
        <f t="shared" si="48"/>
        <v/>
      </c>
      <c r="AT127" s="31" t="str">
        <f t="shared" si="39"/>
        <v/>
      </c>
      <c r="AU127" s="31" t="str">
        <f t="shared" si="40"/>
        <v/>
      </c>
      <c r="AV127" s="31" t="str">
        <f t="shared" si="42"/>
        <v/>
      </c>
    </row>
    <row r="128" spans="21:48" x14ac:dyDescent="0.35">
      <c r="U128" s="31"/>
      <c r="V128" s="31"/>
      <c r="W128" s="31"/>
      <c r="X128" s="31"/>
      <c r="Y128" s="31"/>
      <c r="Z128" s="31"/>
      <c r="AA128" s="31"/>
      <c r="AB128" s="31"/>
      <c r="AC128" s="85"/>
      <c r="AD128" s="85"/>
      <c r="AI128" s="31" t="str">
        <f t="shared" si="43"/>
        <v/>
      </c>
      <c r="AJ128" s="31" t="str">
        <f t="shared" si="41"/>
        <v/>
      </c>
      <c r="AK128" s="31" t="str">
        <f t="shared" si="44"/>
        <v/>
      </c>
      <c r="AL128" s="31" t="str">
        <f t="shared" si="31"/>
        <v/>
      </c>
      <c r="AM128" s="31" t="str">
        <f t="shared" si="45"/>
        <v/>
      </c>
      <c r="AN128" s="31" t="str">
        <f t="shared" si="33"/>
        <v/>
      </c>
      <c r="AO128" s="31" t="str">
        <f t="shared" si="46"/>
        <v/>
      </c>
      <c r="AP128" s="31" t="str">
        <f t="shared" si="35"/>
        <v/>
      </c>
      <c r="AQ128" s="31" t="str">
        <f t="shared" si="47"/>
        <v/>
      </c>
      <c r="AR128" s="31" t="str">
        <f t="shared" si="37"/>
        <v/>
      </c>
      <c r="AS128" s="31" t="str">
        <f t="shared" si="48"/>
        <v/>
      </c>
      <c r="AT128" s="31" t="str">
        <f t="shared" si="39"/>
        <v/>
      </c>
      <c r="AU128" s="31" t="str">
        <f t="shared" si="40"/>
        <v/>
      </c>
      <c r="AV128" s="31" t="str">
        <f t="shared" si="42"/>
        <v/>
      </c>
    </row>
    <row r="129" spans="21:48" x14ac:dyDescent="0.35">
      <c r="U129" s="31"/>
      <c r="V129" s="31"/>
      <c r="W129" s="31"/>
      <c r="X129" s="31"/>
      <c r="Y129" s="31"/>
      <c r="Z129" s="31"/>
      <c r="AA129" s="31"/>
      <c r="AB129" s="31"/>
      <c r="AC129" s="85"/>
      <c r="AD129" s="85"/>
      <c r="AI129" s="31" t="str">
        <f t="shared" si="43"/>
        <v/>
      </c>
      <c r="AJ129" s="31" t="str">
        <f t="shared" si="41"/>
        <v/>
      </c>
      <c r="AK129" s="31" t="str">
        <f t="shared" si="44"/>
        <v/>
      </c>
      <c r="AL129" s="31" t="str">
        <f t="shared" si="31"/>
        <v/>
      </c>
      <c r="AM129" s="31" t="str">
        <f t="shared" si="45"/>
        <v/>
      </c>
      <c r="AN129" s="31" t="str">
        <f t="shared" si="33"/>
        <v/>
      </c>
      <c r="AO129" s="31" t="str">
        <f t="shared" si="46"/>
        <v/>
      </c>
      <c r="AP129" s="31" t="str">
        <f t="shared" si="35"/>
        <v/>
      </c>
      <c r="AQ129" s="31" t="str">
        <f t="shared" si="47"/>
        <v/>
      </c>
      <c r="AR129" s="31" t="str">
        <f t="shared" si="37"/>
        <v/>
      </c>
      <c r="AS129" s="31" t="str">
        <f t="shared" si="48"/>
        <v/>
      </c>
      <c r="AT129" s="31" t="str">
        <f t="shared" si="39"/>
        <v/>
      </c>
      <c r="AU129" s="31" t="str">
        <f t="shared" si="40"/>
        <v/>
      </c>
      <c r="AV129" s="31" t="str">
        <f t="shared" si="42"/>
        <v/>
      </c>
    </row>
    <row r="130" spans="21:48" x14ac:dyDescent="0.35">
      <c r="U130" s="31"/>
      <c r="V130" s="31"/>
      <c r="W130" s="31"/>
      <c r="X130" s="31"/>
      <c r="Y130" s="31"/>
      <c r="Z130" s="31"/>
      <c r="AA130" s="31"/>
      <c r="AB130" s="31"/>
      <c r="AC130" s="85"/>
      <c r="AD130" s="85"/>
      <c r="AI130" s="31" t="str">
        <f t="shared" si="43"/>
        <v/>
      </c>
      <c r="AJ130" s="31" t="str">
        <f t="shared" si="41"/>
        <v/>
      </c>
      <c r="AK130" s="31" t="str">
        <f t="shared" si="44"/>
        <v/>
      </c>
      <c r="AL130" s="31" t="str">
        <f t="shared" si="31"/>
        <v/>
      </c>
      <c r="AM130" s="31" t="str">
        <f t="shared" si="45"/>
        <v/>
      </c>
      <c r="AN130" s="31" t="str">
        <f t="shared" si="33"/>
        <v/>
      </c>
      <c r="AO130" s="31" t="str">
        <f t="shared" si="46"/>
        <v/>
      </c>
      <c r="AP130" s="31" t="str">
        <f t="shared" si="35"/>
        <v/>
      </c>
      <c r="AQ130" s="31" t="str">
        <f t="shared" si="47"/>
        <v/>
      </c>
      <c r="AR130" s="31" t="str">
        <f t="shared" si="37"/>
        <v/>
      </c>
      <c r="AS130" s="31" t="str">
        <f t="shared" si="48"/>
        <v/>
      </c>
      <c r="AT130" s="31" t="str">
        <f t="shared" si="39"/>
        <v/>
      </c>
      <c r="AU130" s="31" t="str">
        <f t="shared" si="40"/>
        <v/>
      </c>
      <c r="AV130" s="31" t="str">
        <f t="shared" si="42"/>
        <v/>
      </c>
    </row>
    <row r="131" spans="21:48" x14ac:dyDescent="0.35">
      <c r="U131" s="31"/>
      <c r="V131" s="31"/>
      <c r="W131" s="31"/>
      <c r="X131" s="31"/>
      <c r="Y131" s="31"/>
      <c r="Z131" s="31"/>
      <c r="AA131" s="31"/>
      <c r="AB131" s="31"/>
      <c r="AC131" s="85"/>
      <c r="AD131" s="85"/>
      <c r="AI131" s="31" t="str">
        <f t="shared" ref="AI131:AI162" si="49">IF(AND($I131="W", $J131="TWA", $K131="PBZ",$T131&lt;&gt;"", $AF131&lt;&gt;"ND"), $T131*($M131/480),"")</f>
        <v/>
      </c>
      <c r="AJ131" s="31" t="str">
        <f t="shared" si="41"/>
        <v/>
      </c>
      <c r="AK131" s="31" t="str">
        <f t="shared" ref="AK131:AK162" si="50">IF(AND($I131="W", $J131="12-hr", $K131="PBZ",$T131&lt;&gt;"", $AF131&lt;&gt;"ND"), $T131, "")</f>
        <v/>
      </c>
      <c r="AL131" s="31" t="str">
        <f t="shared" ref="AL131:AL169" si="51">+IFERROR(LN(AK131),"")</f>
        <v/>
      </c>
      <c r="AM131" s="31" t="str">
        <f t="shared" ref="AM131:AM162" si="52">IF(AND($I131="W", $J131="15-min", $K131="PBZ",$T131&lt;&gt;"", $AF131&lt;&gt;"ND"), $T131, "")</f>
        <v/>
      </c>
      <c r="AN131" s="31" t="str">
        <f t="shared" ref="AN131:AN169" si="53">+IFERROR(LN(AM131),"")</f>
        <v/>
      </c>
      <c r="AO131" s="31" t="str">
        <f t="shared" ref="AO131:AO162" si="54">IF(AND($I131="W", $J131="short-term", $K131="PBZ",$T131&lt;&gt;"", $AF131&lt;&gt;"ND"), $T131, "")</f>
        <v/>
      </c>
      <c r="AP131" s="31" t="str">
        <f t="shared" ref="AP131:AP169" si="55">+IFERROR(LN(AO131),"")</f>
        <v/>
      </c>
      <c r="AQ131" s="31" t="str">
        <f t="shared" ref="AQ131:AQ162" si="56">IF(AND($I131="ONU", $J131="TWA", $K131="PBZ",$T131&lt;&gt;"", $AF131&lt;&gt;"ND"), $T131*($M131/480), "")</f>
        <v/>
      </c>
      <c r="AR131" s="31" t="str">
        <f t="shared" ref="AR131:AR169" si="57">+IFERROR(LN(AQ131),"")</f>
        <v/>
      </c>
      <c r="AS131" s="31" t="str">
        <f t="shared" ref="AS131:AS162" si="58">IF(AND($I131="ONU", $J131="12-hr", $K131="PBZ",$T131&lt;&gt;"", $AF131&lt;&gt;"ND"), $T131, "")</f>
        <v/>
      </c>
      <c r="AT131" s="31" t="str">
        <f t="shared" ref="AT131:AT169" si="59">+IFERROR(LN(AS131),"")</f>
        <v/>
      </c>
      <c r="AU131" s="31" t="str">
        <f t="shared" ref="AU131:AU142" si="60">IF(AND($I131="W", $J131="Short-term", $K131="PBZ", $M131&lt;&gt;"", $T131&lt;&gt;""),$M131, "")</f>
        <v/>
      </c>
      <c r="AV131" s="31" t="str">
        <f t="shared" si="42"/>
        <v/>
      </c>
    </row>
    <row r="132" spans="21:48" x14ac:dyDescent="0.35">
      <c r="U132" s="31"/>
      <c r="V132" s="31"/>
      <c r="W132" s="31"/>
      <c r="X132" s="31"/>
      <c r="Y132" s="31"/>
      <c r="Z132" s="31"/>
      <c r="AA132" s="31"/>
      <c r="AB132" s="31"/>
      <c r="AC132" s="85"/>
      <c r="AD132" s="85"/>
      <c r="AI132" s="31" t="str">
        <f t="shared" si="49"/>
        <v/>
      </c>
      <c r="AJ132" s="31" t="str">
        <f t="shared" ref="AJ132:AJ143" si="61">+IFERROR(LN(AI132),"")</f>
        <v/>
      </c>
      <c r="AK132" s="31" t="str">
        <f t="shared" si="50"/>
        <v/>
      </c>
      <c r="AL132" s="31" t="str">
        <f t="shared" si="51"/>
        <v/>
      </c>
      <c r="AM132" s="31" t="str">
        <f t="shared" si="52"/>
        <v/>
      </c>
      <c r="AN132" s="31" t="str">
        <f t="shared" si="53"/>
        <v/>
      </c>
      <c r="AO132" s="31" t="str">
        <f t="shared" si="54"/>
        <v/>
      </c>
      <c r="AP132" s="31" t="str">
        <f t="shared" si="55"/>
        <v/>
      </c>
      <c r="AQ132" s="31" t="str">
        <f t="shared" si="56"/>
        <v/>
      </c>
      <c r="AR132" s="31" t="str">
        <f t="shared" si="57"/>
        <v/>
      </c>
      <c r="AS132" s="31" t="str">
        <f t="shared" si="58"/>
        <v/>
      </c>
      <c r="AT132" s="31" t="str">
        <f t="shared" si="59"/>
        <v/>
      </c>
      <c r="AU132" s="31" t="str">
        <f t="shared" si="60"/>
        <v/>
      </c>
      <c r="AV132" s="31" t="str">
        <f t="shared" ref="AV132:AV142" si="62">IF(AND($I132="ONU", $J132="Short-term", $K132="PBZ", $M132&lt;&gt;"", $T132&lt;&gt;""),$M132, "")</f>
        <v/>
      </c>
    </row>
    <row r="133" spans="21:48" x14ac:dyDescent="0.35">
      <c r="U133" s="31"/>
      <c r="V133" s="31"/>
      <c r="W133" s="31"/>
      <c r="X133" s="31"/>
      <c r="Y133" s="31"/>
      <c r="Z133" s="31"/>
      <c r="AA133" s="31"/>
      <c r="AB133" s="31"/>
      <c r="AC133" s="85"/>
      <c r="AD133" s="85"/>
      <c r="AI133" s="31" t="str">
        <f t="shared" si="49"/>
        <v/>
      </c>
      <c r="AJ133" s="31" t="str">
        <f t="shared" si="61"/>
        <v/>
      </c>
      <c r="AK133" s="31" t="str">
        <f t="shared" si="50"/>
        <v/>
      </c>
      <c r="AL133" s="31" t="str">
        <f t="shared" si="51"/>
        <v/>
      </c>
      <c r="AM133" s="31" t="str">
        <f t="shared" si="52"/>
        <v/>
      </c>
      <c r="AN133" s="31" t="str">
        <f t="shared" si="53"/>
        <v/>
      </c>
      <c r="AO133" s="31" t="str">
        <f t="shared" si="54"/>
        <v/>
      </c>
      <c r="AP133" s="31" t="str">
        <f t="shared" si="55"/>
        <v/>
      </c>
      <c r="AQ133" s="31" t="str">
        <f t="shared" si="56"/>
        <v/>
      </c>
      <c r="AR133" s="31" t="str">
        <f t="shared" si="57"/>
        <v/>
      </c>
      <c r="AS133" s="31" t="str">
        <f t="shared" si="58"/>
        <v/>
      </c>
      <c r="AT133" s="31" t="str">
        <f t="shared" si="59"/>
        <v/>
      </c>
      <c r="AU133" s="31" t="str">
        <f t="shared" si="60"/>
        <v/>
      </c>
      <c r="AV133" s="31" t="str">
        <f t="shared" si="62"/>
        <v/>
      </c>
    </row>
    <row r="134" spans="21:48" x14ac:dyDescent="0.35">
      <c r="U134" s="31"/>
      <c r="V134" s="31"/>
      <c r="W134" s="31"/>
      <c r="X134" s="31"/>
      <c r="Y134" s="31"/>
      <c r="Z134" s="31"/>
      <c r="AA134" s="31"/>
      <c r="AB134" s="31"/>
      <c r="AC134" s="85"/>
      <c r="AD134" s="85"/>
      <c r="AI134" s="31" t="str">
        <f t="shared" si="49"/>
        <v/>
      </c>
      <c r="AJ134" s="31" t="str">
        <f t="shared" si="61"/>
        <v/>
      </c>
      <c r="AK134" s="31" t="str">
        <f t="shared" si="50"/>
        <v/>
      </c>
      <c r="AL134" s="31" t="str">
        <f t="shared" si="51"/>
        <v/>
      </c>
      <c r="AM134" s="31" t="str">
        <f t="shared" si="52"/>
        <v/>
      </c>
      <c r="AN134" s="31" t="str">
        <f t="shared" si="53"/>
        <v/>
      </c>
      <c r="AO134" s="31" t="str">
        <f t="shared" si="54"/>
        <v/>
      </c>
      <c r="AP134" s="31" t="str">
        <f t="shared" si="55"/>
        <v/>
      </c>
      <c r="AQ134" s="31" t="str">
        <f t="shared" si="56"/>
        <v/>
      </c>
      <c r="AR134" s="31" t="str">
        <f t="shared" si="57"/>
        <v/>
      </c>
      <c r="AS134" s="31" t="str">
        <f t="shared" si="58"/>
        <v/>
      </c>
      <c r="AT134" s="31" t="str">
        <f t="shared" si="59"/>
        <v/>
      </c>
      <c r="AU134" s="31" t="str">
        <f t="shared" si="60"/>
        <v/>
      </c>
      <c r="AV134" s="31" t="str">
        <f t="shared" si="62"/>
        <v/>
      </c>
    </row>
    <row r="135" spans="21:48" x14ac:dyDescent="0.35">
      <c r="U135" s="31"/>
      <c r="V135" s="31"/>
      <c r="W135" s="31"/>
      <c r="X135" s="31"/>
      <c r="Y135" s="31"/>
      <c r="Z135" s="31"/>
      <c r="AA135" s="31"/>
      <c r="AB135" s="31"/>
      <c r="AC135" s="85"/>
      <c r="AD135" s="85"/>
      <c r="AI135" s="31" t="str">
        <f t="shared" si="49"/>
        <v/>
      </c>
      <c r="AJ135" s="31" t="str">
        <f t="shared" si="61"/>
        <v/>
      </c>
      <c r="AK135" s="31" t="str">
        <f t="shared" si="50"/>
        <v/>
      </c>
      <c r="AL135" s="31" t="str">
        <f t="shared" si="51"/>
        <v/>
      </c>
      <c r="AM135" s="31" t="str">
        <f t="shared" si="52"/>
        <v/>
      </c>
      <c r="AN135" s="31" t="str">
        <f t="shared" si="53"/>
        <v/>
      </c>
      <c r="AO135" s="31" t="str">
        <f t="shared" si="54"/>
        <v/>
      </c>
      <c r="AP135" s="31" t="str">
        <f t="shared" si="55"/>
        <v/>
      </c>
      <c r="AQ135" s="31" t="str">
        <f t="shared" si="56"/>
        <v/>
      </c>
      <c r="AR135" s="31" t="str">
        <f t="shared" si="57"/>
        <v/>
      </c>
      <c r="AS135" s="31" t="str">
        <f t="shared" si="58"/>
        <v/>
      </c>
      <c r="AT135" s="31" t="str">
        <f t="shared" si="59"/>
        <v/>
      </c>
      <c r="AU135" s="31" t="str">
        <f t="shared" si="60"/>
        <v/>
      </c>
      <c r="AV135" s="31" t="str">
        <f t="shared" si="62"/>
        <v/>
      </c>
    </row>
    <row r="136" spans="21:48" x14ac:dyDescent="0.35">
      <c r="U136" s="31"/>
      <c r="V136" s="31"/>
      <c r="W136" s="31"/>
      <c r="X136" s="31"/>
      <c r="Y136" s="31"/>
      <c r="Z136" s="31"/>
      <c r="AA136" s="31"/>
      <c r="AB136" s="31"/>
      <c r="AC136" s="85"/>
      <c r="AD136" s="85"/>
      <c r="AI136" s="31" t="str">
        <f t="shared" si="49"/>
        <v/>
      </c>
      <c r="AJ136" s="31" t="str">
        <f t="shared" si="61"/>
        <v/>
      </c>
      <c r="AK136" s="31" t="str">
        <f t="shared" si="50"/>
        <v/>
      </c>
      <c r="AL136" s="31" t="str">
        <f t="shared" si="51"/>
        <v/>
      </c>
      <c r="AM136" s="31" t="str">
        <f t="shared" si="52"/>
        <v/>
      </c>
      <c r="AN136" s="31" t="str">
        <f t="shared" si="53"/>
        <v/>
      </c>
      <c r="AO136" s="31" t="str">
        <f t="shared" si="54"/>
        <v/>
      </c>
      <c r="AP136" s="31" t="str">
        <f t="shared" si="55"/>
        <v/>
      </c>
      <c r="AQ136" s="31" t="str">
        <f t="shared" si="56"/>
        <v/>
      </c>
      <c r="AR136" s="31" t="str">
        <f t="shared" si="57"/>
        <v/>
      </c>
      <c r="AS136" s="31" t="str">
        <f t="shared" si="58"/>
        <v/>
      </c>
      <c r="AT136" s="31" t="str">
        <f t="shared" si="59"/>
        <v/>
      </c>
      <c r="AU136" s="31" t="str">
        <f t="shared" si="60"/>
        <v/>
      </c>
      <c r="AV136" s="31" t="str">
        <f t="shared" si="62"/>
        <v/>
      </c>
    </row>
    <row r="137" spans="21:48" x14ac:dyDescent="0.35">
      <c r="U137" s="31"/>
      <c r="V137" s="31"/>
      <c r="W137" s="31"/>
      <c r="X137" s="31"/>
      <c r="Y137" s="31"/>
      <c r="Z137" s="31"/>
      <c r="AA137" s="31"/>
      <c r="AB137" s="31"/>
      <c r="AC137" s="85"/>
      <c r="AD137" s="85"/>
      <c r="AI137" s="31" t="str">
        <f t="shared" si="49"/>
        <v/>
      </c>
      <c r="AJ137" s="31" t="str">
        <f t="shared" si="61"/>
        <v/>
      </c>
      <c r="AK137" s="31" t="str">
        <f t="shared" si="50"/>
        <v/>
      </c>
      <c r="AL137" s="31" t="str">
        <f t="shared" si="51"/>
        <v/>
      </c>
      <c r="AM137" s="31" t="str">
        <f t="shared" si="52"/>
        <v/>
      </c>
      <c r="AN137" s="31" t="str">
        <f t="shared" si="53"/>
        <v/>
      </c>
      <c r="AO137" s="31" t="str">
        <f t="shared" si="54"/>
        <v/>
      </c>
      <c r="AP137" s="31" t="str">
        <f t="shared" si="55"/>
        <v/>
      </c>
      <c r="AQ137" s="31" t="str">
        <f t="shared" si="56"/>
        <v/>
      </c>
      <c r="AR137" s="31" t="str">
        <f t="shared" si="57"/>
        <v/>
      </c>
      <c r="AS137" s="31" t="str">
        <f t="shared" si="58"/>
        <v/>
      </c>
      <c r="AT137" s="31" t="str">
        <f t="shared" si="59"/>
        <v/>
      </c>
      <c r="AU137" s="31" t="str">
        <f t="shared" si="60"/>
        <v/>
      </c>
      <c r="AV137" s="31" t="str">
        <f t="shared" si="62"/>
        <v/>
      </c>
    </row>
    <row r="138" spans="21:48" x14ac:dyDescent="0.35">
      <c r="U138" s="31"/>
      <c r="V138" s="31"/>
      <c r="W138" s="31"/>
      <c r="X138" s="31"/>
      <c r="Y138" s="31"/>
      <c r="Z138" s="31"/>
      <c r="AA138" s="31"/>
      <c r="AB138" s="31"/>
      <c r="AC138" s="85"/>
      <c r="AD138" s="85"/>
      <c r="AI138" s="31" t="str">
        <f t="shared" si="49"/>
        <v/>
      </c>
      <c r="AJ138" s="31" t="str">
        <f t="shared" si="61"/>
        <v/>
      </c>
      <c r="AK138" s="31" t="str">
        <f t="shared" si="50"/>
        <v/>
      </c>
      <c r="AL138" s="31" t="str">
        <f t="shared" si="51"/>
        <v/>
      </c>
      <c r="AM138" s="31" t="str">
        <f t="shared" si="52"/>
        <v/>
      </c>
      <c r="AN138" s="31" t="str">
        <f t="shared" si="53"/>
        <v/>
      </c>
      <c r="AO138" s="31" t="str">
        <f t="shared" si="54"/>
        <v/>
      </c>
      <c r="AP138" s="31" t="str">
        <f t="shared" si="55"/>
        <v/>
      </c>
      <c r="AQ138" s="31" t="str">
        <f t="shared" si="56"/>
        <v/>
      </c>
      <c r="AR138" s="31" t="str">
        <f t="shared" si="57"/>
        <v/>
      </c>
      <c r="AS138" s="31" t="str">
        <f t="shared" si="58"/>
        <v/>
      </c>
      <c r="AT138" s="31" t="str">
        <f t="shared" si="59"/>
        <v/>
      </c>
      <c r="AU138" s="31" t="str">
        <f t="shared" si="60"/>
        <v/>
      </c>
      <c r="AV138" s="31" t="str">
        <f t="shared" si="62"/>
        <v/>
      </c>
    </row>
    <row r="139" spans="21:48" x14ac:dyDescent="0.35">
      <c r="U139" s="31"/>
      <c r="V139" s="31"/>
      <c r="W139" s="31"/>
      <c r="X139" s="31"/>
      <c r="Y139" s="31"/>
      <c r="Z139" s="31"/>
      <c r="AA139" s="31"/>
      <c r="AB139" s="31"/>
      <c r="AC139" s="85"/>
      <c r="AD139" s="85"/>
      <c r="AI139" s="31" t="str">
        <f t="shared" si="49"/>
        <v/>
      </c>
      <c r="AJ139" s="31" t="str">
        <f t="shared" si="61"/>
        <v/>
      </c>
      <c r="AK139" s="31" t="str">
        <f t="shared" si="50"/>
        <v/>
      </c>
      <c r="AL139" s="31" t="str">
        <f t="shared" si="51"/>
        <v/>
      </c>
      <c r="AM139" s="31" t="str">
        <f t="shared" si="52"/>
        <v/>
      </c>
      <c r="AN139" s="31" t="str">
        <f t="shared" si="53"/>
        <v/>
      </c>
      <c r="AO139" s="31" t="str">
        <f t="shared" si="54"/>
        <v/>
      </c>
      <c r="AP139" s="31" t="str">
        <f t="shared" si="55"/>
        <v/>
      </c>
      <c r="AQ139" s="31" t="str">
        <f t="shared" si="56"/>
        <v/>
      </c>
      <c r="AR139" s="31" t="str">
        <f t="shared" si="57"/>
        <v/>
      </c>
      <c r="AS139" s="31" t="str">
        <f t="shared" si="58"/>
        <v/>
      </c>
      <c r="AT139" s="31" t="str">
        <f t="shared" si="59"/>
        <v/>
      </c>
      <c r="AU139" s="31" t="str">
        <f t="shared" si="60"/>
        <v/>
      </c>
      <c r="AV139" s="31" t="str">
        <f t="shared" si="62"/>
        <v/>
      </c>
    </row>
    <row r="140" spans="21:48" x14ac:dyDescent="0.35">
      <c r="U140" s="31"/>
      <c r="V140" s="31"/>
      <c r="W140" s="31"/>
      <c r="X140" s="31"/>
      <c r="Y140" s="31"/>
      <c r="Z140" s="31"/>
      <c r="AA140" s="31"/>
      <c r="AB140" s="31"/>
      <c r="AC140" s="85"/>
      <c r="AD140" s="85"/>
      <c r="AI140" s="31" t="str">
        <f t="shared" si="49"/>
        <v/>
      </c>
      <c r="AJ140" s="31" t="str">
        <f t="shared" si="61"/>
        <v/>
      </c>
      <c r="AK140" s="31" t="str">
        <f t="shared" si="50"/>
        <v/>
      </c>
      <c r="AL140" s="31" t="str">
        <f t="shared" si="51"/>
        <v/>
      </c>
      <c r="AM140" s="31" t="str">
        <f t="shared" si="52"/>
        <v/>
      </c>
      <c r="AN140" s="31" t="str">
        <f t="shared" si="53"/>
        <v/>
      </c>
      <c r="AO140" s="31" t="str">
        <f t="shared" si="54"/>
        <v/>
      </c>
      <c r="AP140" s="31" t="str">
        <f t="shared" si="55"/>
        <v/>
      </c>
      <c r="AQ140" s="31" t="str">
        <f t="shared" si="56"/>
        <v/>
      </c>
      <c r="AR140" s="31" t="str">
        <f t="shared" si="57"/>
        <v/>
      </c>
      <c r="AS140" s="31" t="str">
        <f t="shared" si="58"/>
        <v/>
      </c>
      <c r="AT140" s="31" t="str">
        <f t="shared" si="59"/>
        <v/>
      </c>
      <c r="AU140" s="31" t="str">
        <f t="shared" si="60"/>
        <v/>
      </c>
      <c r="AV140" s="31" t="str">
        <f t="shared" si="62"/>
        <v/>
      </c>
    </row>
    <row r="141" spans="21:48" x14ac:dyDescent="0.35">
      <c r="U141" s="31"/>
      <c r="V141" s="31"/>
      <c r="W141" s="31"/>
      <c r="X141" s="31"/>
      <c r="Y141" s="31"/>
      <c r="Z141" s="31"/>
      <c r="AA141" s="31"/>
      <c r="AB141" s="31"/>
      <c r="AC141" s="85"/>
      <c r="AD141" s="85"/>
      <c r="AI141" s="31" t="str">
        <f t="shared" si="49"/>
        <v/>
      </c>
      <c r="AJ141" s="31" t="str">
        <f t="shared" si="61"/>
        <v/>
      </c>
      <c r="AK141" s="31" t="str">
        <f t="shared" si="50"/>
        <v/>
      </c>
      <c r="AL141" s="31" t="str">
        <f t="shared" si="51"/>
        <v/>
      </c>
      <c r="AM141" s="31" t="str">
        <f t="shared" si="52"/>
        <v/>
      </c>
      <c r="AN141" s="31" t="str">
        <f t="shared" si="53"/>
        <v/>
      </c>
      <c r="AO141" s="31" t="str">
        <f t="shared" si="54"/>
        <v/>
      </c>
      <c r="AP141" s="31" t="str">
        <f t="shared" si="55"/>
        <v/>
      </c>
      <c r="AQ141" s="31" t="str">
        <f t="shared" si="56"/>
        <v/>
      </c>
      <c r="AR141" s="31" t="str">
        <f t="shared" si="57"/>
        <v/>
      </c>
      <c r="AS141" s="31" t="str">
        <f t="shared" si="58"/>
        <v/>
      </c>
      <c r="AT141" s="31" t="str">
        <f t="shared" si="59"/>
        <v/>
      </c>
      <c r="AU141" s="31" t="str">
        <f t="shared" si="60"/>
        <v/>
      </c>
      <c r="AV141" s="31" t="str">
        <f t="shared" si="62"/>
        <v/>
      </c>
    </row>
    <row r="142" spans="21:48" x14ac:dyDescent="0.35">
      <c r="U142" s="31"/>
      <c r="V142" s="31"/>
      <c r="W142" s="31"/>
      <c r="X142" s="31"/>
      <c r="Y142" s="31"/>
      <c r="Z142" s="31"/>
      <c r="AA142" s="31"/>
      <c r="AB142" s="31"/>
      <c r="AC142" s="85"/>
      <c r="AD142" s="85"/>
      <c r="AI142" s="31" t="str">
        <f t="shared" si="49"/>
        <v/>
      </c>
      <c r="AJ142" s="31" t="str">
        <f t="shared" si="61"/>
        <v/>
      </c>
      <c r="AK142" s="31" t="str">
        <f t="shared" si="50"/>
        <v/>
      </c>
      <c r="AL142" s="31" t="str">
        <f t="shared" si="51"/>
        <v/>
      </c>
      <c r="AM142" s="31" t="str">
        <f t="shared" si="52"/>
        <v/>
      </c>
      <c r="AN142" s="31" t="str">
        <f t="shared" si="53"/>
        <v/>
      </c>
      <c r="AO142" s="31" t="str">
        <f t="shared" si="54"/>
        <v/>
      </c>
      <c r="AP142" s="31" t="str">
        <f t="shared" si="55"/>
        <v/>
      </c>
      <c r="AQ142" s="31" t="str">
        <f t="shared" si="56"/>
        <v/>
      </c>
      <c r="AR142" s="31" t="str">
        <f t="shared" si="57"/>
        <v/>
      </c>
      <c r="AS142" s="31" t="str">
        <f t="shared" si="58"/>
        <v/>
      </c>
      <c r="AT142" s="31" t="str">
        <f t="shared" si="59"/>
        <v/>
      </c>
      <c r="AU142" s="31" t="str">
        <f t="shared" si="60"/>
        <v/>
      </c>
      <c r="AV142" s="31" t="str">
        <f t="shared" si="62"/>
        <v/>
      </c>
    </row>
    <row r="143" spans="21:48" x14ac:dyDescent="0.35">
      <c r="U143" s="85"/>
      <c r="V143" s="85"/>
      <c r="W143" s="85"/>
      <c r="X143" s="85"/>
      <c r="Y143" s="85"/>
      <c r="Z143" s="85"/>
      <c r="AA143" s="85"/>
      <c r="AB143" s="85"/>
      <c r="AC143" s="85"/>
      <c r="AD143" s="85"/>
      <c r="AI143" s="31" t="str">
        <f t="shared" si="49"/>
        <v/>
      </c>
      <c r="AJ143" s="31" t="str">
        <f t="shared" si="61"/>
        <v/>
      </c>
      <c r="AK143" s="31" t="str">
        <f t="shared" si="50"/>
        <v/>
      </c>
      <c r="AL143" s="31" t="str">
        <f t="shared" si="51"/>
        <v/>
      </c>
      <c r="AM143" s="31" t="str">
        <f t="shared" si="52"/>
        <v/>
      </c>
      <c r="AN143" s="31" t="str">
        <f t="shared" si="53"/>
        <v/>
      </c>
      <c r="AO143" s="31" t="str">
        <f t="shared" si="54"/>
        <v/>
      </c>
      <c r="AP143" s="31" t="str">
        <f t="shared" si="55"/>
        <v/>
      </c>
      <c r="AQ143" s="31" t="str">
        <f t="shared" si="56"/>
        <v/>
      </c>
      <c r="AR143" s="31" t="str">
        <f t="shared" si="57"/>
        <v/>
      </c>
      <c r="AS143" s="31" t="str">
        <f t="shared" si="58"/>
        <v/>
      </c>
      <c r="AT143" s="31" t="str">
        <f t="shared" si="59"/>
        <v/>
      </c>
    </row>
    <row r="144" spans="21:48" x14ac:dyDescent="0.35">
      <c r="U144" s="85"/>
      <c r="V144" s="85"/>
      <c r="W144" s="85"/>
      <c r="X144" s="85"/>
      <c r="Y144" s="85"/>
      <c r="Z144" s="85"/>
      <c r="AA144" s="85"/>
      <c r="AB144" s="85"/>
      <c r="AC144" s="85"/>
      <c r="AD144" s="85"/>
      <c r="AI144" s="31" t="str">
        <f t="shared" si="49"/>
        <v/>
      </c>
      <c r="AJ144" s="31" t="str">
        <f>+IFERROR(LN(AI144),"")</f>
        <v/>
      </c>
      <c r="AK144" s="31" t="str">
        <f t="shared" si="50"/>
        <v/>
      </c>
      <c r="AL144" s="31" t="str">
        <f t="shared" si="51"/>
        <v/>
      </c>
      <c r="AM144" s="31" t="str">
        <f t="shared" si="52"/>
        <v/>
      </c>
      <c r="AN144" s="31" t="str">
        <f t="shared" si="53"/>
        <v/>
      </c>
      <c r="AO144" s="31" t="str">
        <f t="shared" si="54"/>
        <v/>
      </c>
      <c r="AP144" s="31" t="str">
        <f t="shared" si="55"/>
        <v/>
      </c>
      <c r="AQ144" s="31" t="str">
        <f t="shared" si="56"/>
        <v/>
      </c>
      <c r="AR144" s="31" t="str">
        <f t="shared" si="57"/>
        <v/>
      </c>
      <c r="AS144" s="31" t="str">
        <f t="shared" si="58"/>
        <v/>
      </c>
      <c r="AT144" s="31" t="str">
        <f t="shared" si="59"/>
        <v/>
      </c>
    </row>
    <row r="145" spans="35:46" x14ac:dyDescent="0.35">
      <c r="AI145" s="31" t="str">
        <f t="shared" si="49"/>
        <v/>
      </c>
      <c r="AJ145" s="31" t="str">
        <f t="shared" ref="AJ145:AJ169" si="63">+IFERROR(LN(AI145),"")</f>
        <v/>
      </c>
      <c r="AK145" s="31" t="str">
        <f t="shared" si="50"/>
        <v/>
      </c>
      <c r="AL145" s="31" t="str">
        <f t="shared" si="51"/>
        <v/>
      </c>
      <c r="AM145" s="31" t="str">
        <f t="shared" si="52"/>
        <v/>
      </c>
      <c r="AN145" s="31" t="str">
        <f t="shared" si="53"/>
        <v/>
      </c>
      <c r="AO145" s="31" t="str">
        <f t="shared" si="54"/>
        <v/>
      </c>
      <c r="AP145" s="31" t="str">
        <f t="shared" si="55"/>
        <v/>
      </c>
      <c r="AQ145" s="31" t="str">
        <f t="shared" si="56"/>
        <v/>
      </c>
      <c r="AR145" s="31" t="str">
        <f t="shared" si="57"/>
        <v/>
      </c>
      <c r="AS145" s="31" t="str">
        <f t="shared" si="58"/>
        <v/>
      </c>
      <c r="AT145" s="31" t="str">
        <f t="shared" si="59"/>
        <v/>
      </c>
    </row>
    <row r="146" spans="35:46" x14ac:dyDescent="0.35">
      <c r="AI146" s="31" t="str">
        <f t="shared" si="49"/>
        <v/>
      </c>
      <c r="AJ146" s="31" t="str">
        <f t="shared" si="63"/>
        <v/>
      </c>
      <c r="AK146" s="31" t="str">
        <f t="shared" si="50"/>
        <v/>
      </c>
      <c r="AL146" s="31" t="str">
        <f t="shared" si="51"/>
        <v/>
      </c>
      <c r="AM146" s="31" t="str">
        <f t="shared" si="52"/>
        <v/>
      </c>
      <c r="AN146" s="31" t="str">
        <f t="shared" si="53"/>
        <v/>
      </c>
      <c r="AO146" s="31" t="str">
        <f t="shared" si="54"/>
        <v/>
      </c>
      <c r="AP146" s="31" t="str">
        <f t="shared" si="55"/>
        <v/>
      </c>
      <c r="AQ146" s="31" t="str">
        <f t="shared" si="56"/>
        <v/>
      </c>
      <c r="AR146" s="31" t="str">
        <f t="shared" si="57"/>
        <v/>
      </c>
      <c r="AS146" s="31" t="str">
        <f t="shared" si="58"/>
        <v/>
      </c>
      <c r="AT146" s="31" t="str">
        <f t="shared" si="59"/>
        <v/>
      </c>
    </row>
    <row r="147" spans="35:46" x14ac:dyDescent="0.35">
      <c r="AI147" s="31" t="str">
        <f t="shared" si="49"/>
        <v/>
      </c>
      <c r="AJ147" s="31" t="str">
        <f t="shared" si="63"/>
        <v/>
      </c>
      <c r="AK147" s="31" t="str">
        <f t="shared" si="50"/>
        <v/>
      </c>
      <c r="AL147" s="31" t="str">
        <f t="shared" si="51"/>
        <v/>
      </c>
      <c r="AM147" s="31" t="str">
        <f t="shared" si="52"/>
        <v/>
      </c>
      <c r="AN147" s="31" t="str">
        <f t="shared" si="53"/>
        <v/>
      </c>
      <c r="AO147" s="31" t="str">
        <f t="shared" si="54"/>
        <v/>
      </c>
      <c r="AP147" s="31" t="str">
        <f t="shared" si="55"/>
        <v/>
      </c>
      <c r="AQ147" s="31" t="str">
        <f t="shared" si="56"/>
        <v/>
      </c>
      <c r="AR147" s="31" t="str">
        <f t="shared" si="57"/>
        <v/>
      </c>
      <c r="AS147" s="31" t="str">
        <f t="shared" si="58"/>
        <v/>
      </c>
      <c r="AT147" s="31" t="str">
        <f t="shared" si="59"/>
        <v/>
      </c>
    </row>
    <row r="148" spans="35:46" x14ac:dyDescent="0.35">
      <c r="AI148" s="31" t="str">
        <f t="shared" si="49"/>
        <v/>
      </c>
      <c r="AJ148" s="31" t="str">
        <f t="shared" si="63"/>
        <v/>
      </c>
      <c r="AK148" s="31" t="str">
        <f t="shared" si="50"/>
        <v/>
      </c>
      <c r="AL148" s="31" t="str">
        <f t="shared" si="51"/>
        <v/>
      </c>
      <c r="AM148" s="31" t="str">
        <f t="shared" si="52"/>
        <v/>
      </c>
      <c r="AN148" s="31" t="str">
        <f t="shared" si="53"/>
        <v/>
      </c>
      <c r="AO148" s="31" t="str">
        <f t="shared" si="54"/>
        <v/>
      </c>
      <c r="AP148" s="31" t="str">
        <f t="shared" si="55"/>
        <v/>
      </c>
      <c r="AQ148" s="31" t="str">
        <f t="shared" si="56"/>
        <v/>
      </c>
      <c r="AR148" s="31" t="str">
        <f t="shared" si="57"/>
        <v/>
      </c>
      <c r="AS148" s="31" t="str">
        <f t="shared" si="58"/>
        <v/>
      </c>
      <c r="AT148" s="31" t="str">
        <f t="shared" si="59"/>
        <v/>
      </c>
    </row>
    <row r="149" spans="35:46" x14ac:dyDescent="0.35">
      <c r="AI149" s="31" t="str">
        <f t="shared" si="49"/>
        <v/>
      </c>
      <c r="AJ149" s="31" t="str">
        <f t="shared" si="63"/>
        <v/>
      </c>
      <c r="AK149" s="31" t="str">
        <f t="shared" si="50"/>
        <v/>
      </c>
      <c r="AL149" s="31" t="str">
        <f t="shared" si="51"/>
        <v/>
      </c>
      <c r="AM149" s="31" t="str">
        <f t="shared" si="52"/>
        <v/>
      </c>
      <c r="AN149" s="31" t="str">
        <f t="shared" si="53"/>
        <v/>
      </c>
      <c r="AO149" s="31" t="str">
        <f t="shared" si="54"/>
        <v/>
      </c>
      <c r="AP149" s="31" t="str">
        <f t="shared" si="55"/>
        <v/>
      </c>
      <c r="AQ149" s="31" t="str">
        <f t="shared" si="56"/>
        <v/>
      </c>
      <c r="AR149" s="31" t="str">
        <f t="shared" si="57"/>
        <v/>
      </c>
      <c r="AS149" s="31" t="str">
        <f t="shared" si="58"/>
        <v/>
      </c>
      <c r="AT149" s="31" t="str">
        <f t="shared" si="59"/>
        <v/>
      </c>
    </row>
    <row r="150" spans="35:46" x14ac:dyDescent="0.35">
      <c r="AI150" s="31" t="str">
        <f t="shared" si="49"/>
        <v/>
      </c>
      <c r="AJ150" s="31" t="str">
        <f t="shared" si="63"/>
        <v/>
      </c>
      <c r="AK150" s="31" t="str">
        <f t="shared" si="50"/>
        <v/>
      </c>
      <c r="AL150" s="31" t="str">
        <f t="shared" si="51"/>
        <v/>
      </c>
      <c r="AM150" s="31" t="str">
        <f t="shared" si="52"/>
        <v/>
      </c>
      <c r="AN150" s="31" t="str">
        <f t="shared" si="53"/>
        <v/>
      </c>
      <c r="AO150" s="31" t="str">
        <f t="shared" si="54"/>
        <v/>
      </c>
      <c r="AP150" s="31" t="str">
        <f t="shared" si="55"/>
        <v/>
      </c>
      <c r="AQ150" s="31" t="str">
        <f t="shared" si="56"/>
        <v/>
      </c>
      <c r="AR150" s="31" t="str">
        <f t="shared" si="57"/>
        <v/>
      </c>
      <c r="AS150" s="31" t="str">
        <f t="shared" si="58"/>
        <v/>
      </c>
      <c r="AT150" s="31" t="str">
        <f t="shared" si="59"/>
        <v/>
      </c>
    </row>
    <row r="151" spans="35:46" x14ac:dyDescent="0.35">
      <c r="AI151" s="46" t="str">
        <f t="shared" si="49"/>
        <v/>
      </c>
      <c r="AJ151" s="46" t="str">
        <f t="shared" si="63"/>
        <v/>
      </c>
      <c r="AK151" s="46" t="str">
        <f t="shared" si="50"/>
        <v/>
      </c>
      <c r="AL151" s="46" t="str">
        <f t="shared" si="51"/>
        <v/>
      </c>
      <c r="AM151" s="46" t="str">
        <f t="shared" si="52"/>
        <v/>
      </c>
      <c r="AN151" s="46" t="str">
        <f t="shared" si="53"/>
        <v/>
      </c>
      <c r="AO151" s="46" t="str">
        <f t="shared" si="54"/>
        <v/>
      </c>
      <c r="AP151" s="46" t="str">
        <f t="shared" si="55"/>
        <v/>
      </c>
      <c r="AQ151" s="46" t="str">
        <f t="shared" si="56"/>
        <v/>
      </c>
      <c r="AR151" s="46" t="str">
        <f t="shared" si="57"/>
        <v/>
      </c>
      <c r="AS151" s="46" t="str">
        <f t="shared" si="58"/>
        <v/>
      </c>
      <c r="AT151" s="46" t="str">
        <f t="shared" si="59"/>
        <v/>
      </c>
    </row>
    <row r="152" spans="35:46" x14ac:dyDescent="0.35">
      <c r="AI152" s="31" t="str">
        <f t="shared" si="49"/>
        <v/>
      </c>
      <c r="AJ152" s="31" t="str">
        <f t="shared" si="63"/>
        <v/>
      </c>
      <c r="AK152" s="31" t="str">
        <f t="shared" si="50"/>
        <v/>
      </c>
      <c r="AL152" s="31" t="str">
        <f t="shared" si="51"/>
        <v/>
      </c>
      <c r="AM152" s="31" t="str">
        <f t="shared" si="52"/>
        <v/>
      </c>
      <c r="AN152" s="31" t="str">
        <f t="shared" si="53"/>
        <v/>
      </c>
      <c r="AO152" s="31" t="str">
        <f t="shared" si="54"/>
        <v/>
      </c>
      <c r="AP152" s="31" t="str">
        <f t="shared" si="55"/>
        <v/>
      </c>
      <c r="AQ152" s="31" t="str">
        <f t="shared" si="56"/>
        <v/>
      </c>
      <c r="AR152" s="31" t="str">
        <f t="shared" si="57"/>
        <v/>
      </c>
      <c r="AS152" s="31" t="str">
        <f t="shared" si="58"/>
        <v/>
      </c>
      <c r="AT152" s="31" t="str">
        <f t="shared" si="59"/>
        <v/>
      </c>
    </row>
    <row r="153" spans="35:46" x14ac:dyDescent="0.35">
      <c r="AI153" s="31" t="str">
        <f t="shared" si="49"/>
        <v/>
      </c>
      <c r="AJ153" s="31" t="str">
        <f t="shared" si="63"/>
        <v/>
      </c>
      <c r="AK153" s="31" t="str">
        <f t="shared" si="50"/>
        <v/>
      </c>
      <c r="AL153" s="31" t="str">
        <f t="shared" si="51"/>
        <v/>
      </c>
      <c r="AM153" s="31" t="str">
        <f t="shared" si="52"/>
        <v/>
      </c>
      <c r="AN153" s="31" t="str">
        <f t="shared" si="53"/>
        <v/>
      </c>
      <c r="AO153" s="31" t="str">
        <f t="shared" si="54"/>
        <v/>
      </c>
      <c r="AP153" s="31" t="str">
        <f t="shared" si="55"/>
        <v/>
      </c>
      <c r="AQ153" s="31" t="str">
        <f t="shared" si="56"/>
        <v/>
      </c>
      <c r="AR153" s="31" t="str">
        <f t="shared" si="57"/>
        <v/>
      </c>
      <c r="AS153" s="31" t="str">
        <f t="shared" si="58"/>
        <v/>
      </c>
      <c r="AT153" s="31" t="str">
        <f t="shared" si="59"/>
        <v/>
      </c>
    </row>
    <row r="154" spans="35:46" x14ac:dyDescent="0.35">
      <c r="AI154" s="31" t="str">
        <f t="shared" si="49"/>
        <v/>
      </c>
      <c r="AJ154" s="31" t="str">
        <f t="shared" si="63"/>
        <v/>
      </c>
      <c r="AK154" s="31" t="str">
        <f t="shared" si="50"/>
        <v/>
      </c>
      <c r="AL154" s="31" t="str">
        <f t="shared" si="51"/>
        <v/>
      </c>
      <c r="AM154" s="31" t="str">
        <f t="shared" si="52"/>
        <v/>
      </c>
      <c r="AN154" s="31" t="str">
        <f t="shared" si="53"/>
        <v/>
      </c>
      <c r="AO154" s="31" t="str">
        <f t="shared" si="54"/>
        <v/>
      </c>
      <c r="AP154" s="31" t="str">
        <f t="shared" si="55"/>
        <v/>
      </c>
      <c r="AQ154" s="31" t="str">
        <f t="shared" si="56"/>
        <v/>
      </c>
      <c r="AR154" s="31" t="str">
        <f t="shared" si="57"/>
        <v/>
      </c>
      <c r="AS154" s="31" t="str">
        <f t="shared" si="58"/>
        <v/>
      </c>
      <c r="AT154" s="31" t="str">
        <f t="shared" si="59"/>
        <v/>
      </c>
    </row>
    <row r="155" spans="35:46" x14ac:dyDescent="0.35">
      <c r="AI155" s="31" t="str">
        <f t="shared" si="49"/>
        <v/>
      </c>
      <c r="AJ155" s="31" t="str">
        <f t="shared" si="63"/>
        <v/>
      </c>
      <c r="AK155" s="31" t="str">
        <f t="shared" si="50"/>
        <v/>
      </c>
      <c r="AL155" s="31" t="str">
        <f t="shared" si="51"/>
        <v/>
      </c>
      <c r="AM155" s="31" t="str">
        <f t="shared" si="52"/>
        <v/>
      </c>
      <c r="AN155" s="31" t="str">
        <f t="shared" si="53"/>
        <v/>
      </c>
      <c r="AO155" s="31" t="str">
        <f t="shared" si="54"/>
        <v/>
      </c>
      <c r="AP155" s="31" t="str">
        <f t="shared" si="55"/>
        <v/>
      </c>
      <c r="AQ155" s="31" t="str">
        <f t="shared" si="56"/>
        <v/>
      </c>
      <c r="AR155" s="31" t="str">
        <f t="shared" si="57"/>
        <v/>
      </c>
      <c r="AS155" s="31" t="str">
        <f t="shared" si="58"/>
        <v/>
      </c>
      <c r="AT155" s="31" t="str">
        <f t="shared" si="59"/>
        <v/>
      </c>
    </row>
    <row r="156" spans="35:46" x14ac:dyDescent="0.35">
      <c r="AI156" s="31" t="str">
        <f t="shared" si="49"/>
        <v/>
      </c>
      <c r="AJ156" s="31" t="str">
        <f t="shared" si="63"/>
        <v/>
      </c>
      <c r="AK156" s="31" t="str">
        <f t="shared" si="50"/>
        <v/>
      </c>
      <c r="AL156" s="31" t="str">
        <f t="shared" si="51"/>
        <v/>
      </c>
      <c r="AM156" s="31" t="str">
        <f t="shared" si="52"/>
        <v/>
      </c>
      <c r="AN156" s="31" t="str">
        <f t="shared" si="53"/>
        <v/>
      </c>
      <c r="AO156" s="31" t="str">
        <f t="shared" si="54"/>
        <v/>
      </c>
      <c r="AP156" s="31" t="str">
        <f t="shared" si="55"/>
        <v/>
      </c>
      <c r="AQ156" s="31" t="str">
        <f t="shared" si="56"/>
        <v/>
      </c>
      <c r="AR156" s="31" t="str">
        <f t="shared" si="57"/>
        <v/>
      </c>
      <c r="AS156" s="31" t="str">
        <f t="shared" si="58"/>
        <v/>
      </c>
      <c r="AT156" s="31" t="str">
        <f t="shared" si="59"/>
        <v/>
      </c>
    </row>
    <row r="157" spans="35:46" x14ac:dyDescent="0.35">
      <c r="AI157" s="31" t="str">
        <f t="shared" si="49"/>
        <v/>
      </c>
      <c r="AJ157" s="31" t="str">
        <f t="shared" si="63"/>
        <v/>
      </c>
      <c r="AK157" s="31" t="str">
        <f t="shared" si="50"/>
        <v/>
      </c>
      <c r="AL157" s="31" t="str">
        <f t="shared" si="51"/>
        <v/>
      </c>
      <c r="AM157" s="31" t="str">
        <f t="shared" si="52"/>
        <v/>
      </c>
      <c r="AN157" s="31" t="str">
        <f t="shared" si="53"/>
        <v/>
      </c>
      <c r="AO157" s="31" t="str">
        <f t="shared" si="54"/>
        <v/>
      </c>
      <c r="AP157" s="31" t="str">
        <f t="shared" si="55"/>
        <v/>
      </c>
      <c r="AQ157" s="31" t="str">
        <f t="shared" si="56"/>
        <v/>
      </c>
      <c r="AR157" s="31" t="str">
        <f t="shared" si="57"/>
        <v/>
      </c>
      <c r="AS157" s="31" t="str">
        <f t="shared" si="58"/>
        <v/>
      </c>
      <c r="AT157" s="31" t="str">
        <f t="shared" si="59"/>
        <v/>
      </c>
    </row>
    <row r="158" spans="35:46" x14ac:dyDescent="0.35">
      <c r="AI158" s="31" t="str">
        <f t="shared" si="49"/>
        <v/>
      </c>
      <c r="AJ158" s="31" t="str">
        <f t="shared" si="63"/>
        <v/>
      </c>
      <c r="AK158" s="31" t="str">
        <f t="shared" si="50"/>
        <v/>
      </c>
      <c r="AL158" s="31" t="str">
        <f t="shared" si="51"/>
        <v/>
      </c>
      <c r="AM158" s="31" t="str">
        <f t="shared" si="52"/>
        <v/>
      </c>
      <c r="AN158" s="31" t="str">
        <f t="shared" si="53"/>
        <v/>
      </c>
      <c r="AO158" s="31" t="str">
        <f t="shared" si="54"/>
        <v/>
      </c>
      <c r="AP158" s="31" t="str">
        <f t="shared" si="55"/>
        <v/>
      </c>
      <c r="AQ158" s="31" t="str">
        <f t="shared" si="56"/>
        <v/>
      </c>
      <c r="AR158" s="31" t="str">
        <f t="shared" si="57"/>
        <v/>
      </c>
      <c r="AS158" s="31" t="str">
        <f t="shared" si="58"/>
        <v/>
      </c>
      <c r="AT158" s="31" t="str">
        <f t="shared" si="59"/>
        <v/>
      </c>
    </row>
    <row r="159" spans="35:46" x14ac:dyDescent="0.35">
      <c r="AI159" s="31" t="str">
        <f t="shared" si="49"/>
        <v/>
      </c>
      <c r="AJ159" s="31" t="str">
        <f t="shared" si="63"/>
        <v/>
      </c>
      <c r="AK159" s="31" t="str">
        <f t="shared" si="50"/>
        <v/>
      </c>
      <c r="AL159" s="31" t="str">
        <f t="shared" si="51"/>
        <v/>
      </c>
      <c r="AM159" s="31" t="str">
        <f t="shared" si="52"/>
        <v/>
      </c>
      <c r="AN159" s="31" t="str">
        <f t="shared" si="53"/>
        <v/>
      </c>
      <c r="AO159" s="31" t="str">
        <f t="shared" si="54"/>
        <v/>
      </c>
      <c r="AP159" s="31" t="str">
        <f t="shared" si="55"/>
        <v/>
      </c>
      <c r="AQ159" s="31" t="str">
        <f t="shared" si="56"/>
        <v/>
      </c>
      <c r="AR159" s="31" t="str">
        <f t="shared" si="57"/>
        <v/>
      </c>
      <c r="AS159" s="31" t="str">
        <f t="shared" si="58"/>
        <v/>
      </c>
      <c r="AT159" s="31" t="str">
        <f t="shared" si="59"/>
        <v/>
      </c>
    </row>
    <row r="160" spans="35:46" x14ac:dyDescent="0.35">
      <c r="AI160" s="31" t="str">
        <f t="shared" si="49"/>
        <v/>
      </c>
      <c r="AJ160" s="31" t="str">
        <f t="shared" si="63"/>
        <v/>
      </c>
      <c r="AK160" s="31" t="str">
        <f t="shared" si="50"/>
        <v/>
      </c>
      <c r="AL160" s="31" t="str">
        <f t="shared" si="51"/>
        <v/>
      </c>
      <c r="AM160" s="31" t="str">
        <f t="shared" si="52"/>
        <v/>
      </c>
      <c r="AN160" s="31" t="str">
        <f t="shared" si="53"/>
        <v/>
      </c>
      <c r="AO160" s="31" t="str">
        <f t="shared" si="54"/>
        <v/>
      </c>
      <c r="AP160" s="31" t="str">
        <f t="shared" si="55"/>
        <v/>
      </c>
      <c r="AQ160" s="31" t="str">
        <f t="shared" si="56"/>
        <v/>
      </c>
      <c r="AR160" s="31" t="str">
        <f t="shared" si="57"/>
        <v/>
      </c>
      <c r="AS160" s="31" t="str">
        <f t="shared" si="58"/>
        <v/>
      </c>
      <c r="AT160" s="31" t="str">
        <f t="shared" si="59"/>
        <v/>
      </c>
    </row>
    <row r="161" spans="35:46" x14ac:dyDescent="0.35">
      <c r="AI161" s="31" t="str">
        <f t="shared" si="49"/>
        <v/>
      </c>
      <c r="AJ161" s="31" t="str">
        <f t="shared" si="63"/>
        <v/>
      </c>
      <c r="AK161" s="31" t="str">
        <f t="shared" si="50"/>
        <v/>
      </c>
      <c r="AL161" s="31" t="str">
        <f t="shared" si="51"/>
        <v/>
      </c>
      <c r="AM161" s="31" t="str">
        <f t="shared" si="52"/>
        <v/>
      </c>
      <c r="AN161" s="31" t="str">
        <f t="shared" si="53"/>
        <v/>
      </c>
      <c r="AO161" s="31" t="str">
        <f t="shared" si="54"/>
        <v/>
      </c>
      <c r="AP161" s="31" t="str">
        <f t="shared" si="55"/>
        <v/>
      </c>
      <c r="AQ161" s="31" t="str">
        <f t="shared" si="56"/>
        <v/>
      </c>
      <c r="AR161" s="31" t="str">
        <f t="shared" si="57"/>
        <v/>
      </c>
      <c r="AS161" s="31" t="str">
        <f t="shared" si="58"/>
        <v/>
      </c>
      <c r="AT161" s="31" t="str">
        <f t="shared" si="59"/>
        <v/>
      </c>
    </row>
    <row r="162" spans="35:46" x14ac:dyDescent="0.35">
      <c r="AI162" s="31" t="str">
        <f t="shared" si="49"/>
        <v/>
      </c>
      <c r="AJ162" s="31" t="str">
        <f t="shared" si="63"/>
        <v/>
      </c>
      <c r="AK162" s="31" t="str">
        <f t="shared" si="50"/>
        <v/>
      </c>
      <c r="AL162" s="31" t="str">
        <f t="shared" si="51"/>
        <v/>
      </c>
      <c r="AM162" s="31" t="str">
        <f t="shared" si="52"/>
        <v/>
      </c>
      <c r="AN162" s="31" t="str">
        <f t="shared" si="53"/>
        <v/>
      </c>
      <c r="AO162" s="31" t="str">
        <f t="shared" si="54"/>
        <v/>
      </c>
      <c r="AP162" s="31" t="str">
        <f t="shared" si="55"/>
        <v/>
      </c>
      <c r="AQ162" s="31" t="str">
        <f t="shared" si="56"/>
        <v/>
      </c>
      <c r="AR162" s="31" t="str">
        <f t="shared" si="57"/>
        <v/>
      </c>
      <c r="AS162" s="31" t="str">
        <f t="shared" si="58"/>
        <v/>
      </c>
      <c r="AT162" s="31" t="str">
        <f t="shared" si="59"/>
        <v/>
      </c>
    </row>
    <row r="163" spans="35:46" x14ac:dyDescent="0.35">
      <c r="AI163" s="31" t="str">
        <f t="shared" ref="AI163:AI169" si="64">IF(AND($I163="W", $J163="TWA", $K163="PBZ",$T163&lt;&gt;"", $AF163&lt;&gt;"ND"), $T163*($M163/480),"")</f>
        <v/>
      </c>
      <c r="AJ163" s="31" t="str">
        <f t="shared" si="63"/>
        <v/>
      </c>
      <c r="AK163" s="31" t="str">
        <f t="shared" ref="AK163:AK169" si="65">IF(AND($I163="W", $J163="12-hr", $K163="PBZ",$T163&lt;&gt;"", $AF163&lt;&gt;"ND"), $T163, "")</f>
        <v/>
      </c>
      <c r="AL163" s="31" t="str">
        <f t="shared" si="51"/>
        <v/>
      </c>
      <c r="AM163" s="31" t="str">
        <f t="shared" ref="AM163:AM169" si="66">IF(AND($I163="W", $J163="15-min", $K163="PBZ",$T163&lt;&gt;"", $AF163&lt;&gt;"ND"), $T163, "")</f>
        <v/>
      </c>
      <c r="AN163" s="31" t="str">
        <f t="shared" si="53"/>
        <v/>
      </c>
      <c r="AO163" s="31" t="str">
        <f t="shared" ref="AO163:AO169" si="67">IF(AND($I163="W", $J163="short-term", $K163="PBZ",$T163&lt;&gt;"", $AF163&lt;&gt;"ND"), $T163, "")</f>
        <v/>
      </c>
      <c r="AP163" s="31" t="str">
        <f t="shared" si="55"/>
        <v/>
      </c>
      <c r="AQ163" s="31" t="str">
        <f t="shared" ref="AQ163:AQ169" si="68">IF(AND($I163="ONU", $J163="TWA", $K163="PBZ",$T163&lt;&gt;"", $AF163&lt;&gt;"ND"), $T163*($M163/480), "")</f>
        <v/>
      </c>
      <c r="AR163" s="31" t="str">
        <f t="shared" si="57"/>
        <v/>
      </c>
      <c r="AS163" s="31" t="str">
        <f t="shared" ref="AS163:AS169" si="69">IF(AND($I163="ONU", $J163="12-hr", $K163="PBZ",$T163&lt;&gt;"", $AF163&lt;&gt;"ND"), $T163, "")</f>
        <v/>
      </c>
      <c r="AT163" s="31" t="str">
        <f t="shared" si="59"/>
        <v/>
      </c>
    </row>
    <row r="164" spans="35:46" x14ac:dyDescent="0.35">
      <c r="AI164" s="31" t="str">
        <f t="shared" si="64"/>
        <v/>
      </c>
      <c r="AJ164" s="31" t="str">
        <f t="shared" si="63"/>
        <v/>
      </c>
      <c r="AK164" s="31" t="str">
        <f t="shared" si="65"/>
        <v/>
      </c>
      <c r="AL164" s="31" t="str">
        <f t="shared" si="51"/>
        <v/>
      </c>
      <c r="AM164" s="31" t="str">
        <f t="shared" si="66"/>
        <v/>
      </c>
      <c r="AN164" s="31" t="str">
        <f t="shared" si="53"/>
        <v/>
      </c>
      <c r="AO164" s="31" t="str">
        <f t="shared" si="67"/>
        <v/>
      </c>
      <c r="AP164" s="31" t="str">
        <f t="shared" si="55"/>
        <v/>
      </c>
      <c r="AQ164" s="31" t="str">
        <f t="shared" si="68"/>
        <v/>
      </c>
      <c r="AR164" s="31" t="str">
        <f t="shared" si="57"/>
        <v/>
      </c>
      <c r="AS164" s="31" t="str">
        <f t="shared" si="69"/>
        <v/>
      </c>
      <c r="AT164" s="31" t="str">
        <f t="shared" si="59"/>
        <v/>
      </c>
    </row>
    <row r="165" spans="35:46" x14ac:dyDescent="0.35">
      <c r="AI165" s="31" t="str">
        <f t="shared" si="64"/>
        <v/>
      </c>
      <c r="AJ165" s="31" t="str">
        <f t="shared" si="63"/>
        <v/>
      </c>
      <c r="AK165" s="31" t="str">
        <f t="shared" si="65"/>
        <v/>
      </c>
      <c r="AL165" s="31" t="str">
        <f t="shared" si="51"/>
        <v/>
      </c>
      <c r="AM165" s="31" t="str">
        <f t="shared" si="66"/>
        <v/>
      </c>
      <c r="AN165" s="31" t="str">
        <f t="shared" si="53"/>
        <v/>
      </c>
      <c r="AO165" s="31" t="str">
        <f t="shared" si="67"/>
        <v/>
      </c>
      <c r="AP165" s="31" t="str">
        <f t="shared" si="55"/>
        <v/>
      </c>
      <c r="AQ165" s="31" t="str">
        <f t="shared" si="68"/>
        <v/>
      </c>
      <c r="AR165" s="31" t="str">
        <f t="shared" si="57"/>
        <v/>
      </c>
      <c r="AS165" s="31" t="str">
        <f t="shared" si="69"/>
        <v/>
      </c>
      <c r="AT165" s="31" t="str">
        <f t="shared" si="59"/>
        <v/>
      </c>
    </row>
    <row r="166" spans="35:46" x14ac:dyDescent="0.35">
      <c r="AI166" s="31" t="str">
        <f t="shared" si="64"/>
        <v/>
      </c>
      <c r="AJ166" s="31" t="str">
        <f t="shared" si="63"/>
        <v/>
      </c>
      <c r="AK166" s="31" t="str">
        <f t="shared" si="65"/>
        <v/>
      </c>
      <c r="AL166" s="31" t="str">
        <f t="shared" si="51"/>
        <v/>
      </c>
      <c r="AM166" s="31" t="str">
        <f t="shared" si="66"/>
        <v/>
      </c>
      <c r="AN166" s="31" t="str">
        <f t="shared" si="53"/>
        <v/>
      </c>
      <c r="AO166" s="31" t="str">
        <f t="shared" si="67"/>
        <v/>
      </c>
      <c r="AP166" s="31" t="str">
        <f t="shared" si="55"/>
        <v/>
      </c>
      <c r="AQ166" s="31" t="str">
        <f t="shared" si="68"/>
        <v/>
      </c>
      <c r="AR166" s="31" t="str">
        <f t="shared" si="57"/>
        <v/>
      </c>
      <c r="AS166" s="31" t="str">
        <f t="shared" si="69"/>
        <v/>
      </c>
      <c r="AT166" s="31" t="str">
        <f t="shared" si="59"/>
        <v/>
      </c>
    </row>
    <row r="167" spans="35:46" x14ac:dyDescent="0.35">
      <c r="AI167" s="31" t="str">
        <f t="shared" si="64"/>
        <v/>
      </c>
      <c r="AJ167" s="31" t="str">
        <f t="shared" si="63"/>
        <v/>
      </c>
      <c r="AK167" s="31" t="str">
        <f t="shared" si="65"/>
        <v/>
      </c>
      <c r="AL167" s="31" t="str">
        <f t="shared" si="51"/>
        <v/>
      </c>
      <c r="AM167" s="31" t="str">
        <f t="shared" si="66"/>
        <v/>
      </c>
      <c r="AN167" s="31" t="str">
        <f t="shared" si="53"/>
        <v/>
      </c>
      <c r="AO167" s="31" t="str">
        <f t="shared" si="67"/>
        <v/>
      </c>
      <c r="AP167" s="31" t="str">
        <f t="shared" si="55"/>
        <v/>
      </c>
      <c r="AQ167" s="31" t="str">
        <f t="shared" si="68"/>
        <v/>
      </c>
      <c r="AR167" s="31" t="str">
        <f t="shared" si="57"/>
        <v/>
      </c>
      <c r="AS167" s="31" t="str">
        <f t="shared" si="69"/>
        <v/>
      </c>
      <c r="AT167" s="31" t="str">
        <f t="shared" si="59"/>
        <v/>
      </c>
    </row>
    <row r="168" spans="35:46" x14ac:dyDescent="0.35">
      <c r="AI168" s="31" t="str">
        <f t="shared" si="64"/>
        <v/>
      </c>
      <c r="AJ168" s="31" t="str">
        <f t="shared" si="63"/>
        <v/>
      </c>
      <c r="AK168" s="31" t="str">
        <f t="shared" si="65"/>
        <v/>
      </c>
      <c r="AL168" s="31" t="str">
        <f t="shared" si="51"/>
        <v/>
      </c>
      <c r="AM168" s="31" t="str">
        <f t="shared" si="66"/>
        <v/>
      </c>
      <c r="AN168" s="31" t="str">
        <f t="shared" si="53"/>
        <v/>
      </c>
      <c r="AO168" s="31" t="str">
        <f t="shared" si="67"/>
        <v/>
      </c>
      <c r="AP168" s="31" t="str">
        <f t="shared" si="55"/>
        <v/>
      </c>
      <c r="AQ168" s="31" t="str">
        <f t="shared" si="68"/>
        <v/>
      </c>
      <c r="AR168" s="31" t="str">
        <f t="shared" si="57"/>
        <v/>
      </c>
      <c r="AS168" s="31" t="str">
        <f t="shared" si="69"/>
        <v/>
      </c>
      <c r="AT168" s="31" t="str">
        <f t="shared" si="59"/>
        <v/>
      </c>
    </row>
    <row r="169" spans="35:46" x14ac:dyDescent="0.35">
      <c r="AI169" s="31" t="str">
        <f t="shared" si="64"/>
        <v/>
      </c>
      <c r="AJ169" s="31" t="str">
        <f t="shared" si="63"/>
        <v/>
      </c>
      <c r="AK169" s="31" t="str">
        <f t="shared" si="65"/>
        <v/>
      </c>
      <c r="AL169" s="31" t="str">
        <f t="shared" si="51"/>
        <v/>
      </c>
      <c r="AM169" s="31" t="str">
        <f t="shared" si="66"/>
        <v/>
      </c>
      <c r="AN169" s="31" t="str">
        <f t="shared" si="53"/>
        <v/>
      </c>
      <c r="AO169" s="31" t="str">
        <f t="shared" si="67"/>
        <v/>
      </c>
      <c r="AP169" s="31" t="str">
        <f t="shared" si="55"/>
        <v/>
      </c>
      <c r="AQ169" s="31" t="str">
        <f t="shared" si="68"/>
        <v/>
      </c>
      <c r="AR169" s="31" t="str">
        <f t="shared" si="57"/>
        <v/>
      </c>
      <c r="AS169" s="31" t="str">
        <f t="shared" si="69"/>
        <v/>
      </c>
      <c r="AT169" s="31" t="str">
        <f t="shared" si="59"/>
        <v/>
      </c>
    </row>
  </sheetData>
  <mergeCells count="7">
    <mergeCell ref="O1:T1"/>
    <mergeCell ref="U1:V1"/>
    <mergeCell ref="AA1:AB1"/>
    <mergeCell ref="AC1:AG1"/>
    <mergeCell ref="A1:B1"/>
    <mergeCell ref="W1:X1"/>
    <mergeCell ref="Y1:Z1"/>
  </mergeCells>
  <hyperlinks>
    <hyperlink ref="A1:B1" location="'Exposure Summary'!A1" display="Exposure Summary" xr:uid="{893D50FD-8DC2-45BF-BB29-7AA1DFDE25CE}"/>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2398-A448-4F39-BB7A-BA09C99F1831}">
  <sheetPr codeName="Sheet4"/>
  <dimension ref="A1:D29"/>
  <sheetViews>
    <sheetView workbookViewId="0"/>
  </sheetViews>
  <sheetFormatPr defaultRowHeight="14.5" x14ac:dyDescent="0.35"/>
  <cols>
    <col min="2" max="2" width="34.54296875" bestFit="1" customWidth="1"/>
    <col min="3" max="3" width="82.453125" style="4" customWidth="1"/>
    <col min="4" max="4" width="15.54296875" bestFit="1" customWidth="1"/>
  </cols>
  <sheetData>
    <row r="1" spans="1:4" x14ac:dyDescent="0.35">
      <c r="A1" s="83" t="s">
        <v>43</v>
      </c>
      <c r="B1" s="83" t="s">
        <v>44</v>
      </c>
      <c r="C1" s="4" t="s">
        <v>45</v>
      </c>
      <c r="D1" s="83" t="s">
        <v>46</v>
      </c>
    </row>
    <row r="2" spans="1:4" x14ac:dyDescent="0.35">
      <c r="A2" s="83" t="s">
        <v>47</v>
      </c>
      <c r="B2" s="83" t="s">
        <v>48</v>
      </c>
      <c r="C2" s="4" t="s">
        <v>49</v>
      </c>
      <c r="D2" s="83" t="s">
        <v>50</v>
      </c>
    </row>
    <row r="3" spans="1:4" x14ac:dyDescent="0.35">
      <c r="A3" s="83" t="s">
        <v>47</v>
      </c>
      <c r="B3" s="83" t="s">
        <v>51</v>
      </c>
      <c r="C3" s="4" t="s">
        <v>52</v>
      </c>
      <c r="D3" s="83" t="s">
        <v>50</v>
      </c>
    </row>
    <row r="4" spans="1:4" x14ac:dyDescent="0.35">
      <c r="A4" s="83" t="s">
        <v>47</v>
      </c>
      <c r="B4" s="83" t="s">
        <v>53</v>
      </c>
      <c r="C4" s="4" t="s">
        <v>54</v>
      </c>
      <c r="D4" s="83" t="s">
        <v>50</v>
      </c>
    </row>
    <row r="5" spans="1:4" x14ac:dyDescent="0.35">
      <c r="A5" s="83" t="s">
        <v>47</v>
      </c>
      <c r="B5" s="83" t="s">
        <v>55</v>
      </c>
      <c r="C5" s="4" t="s">
        <v>54</v>
      </c>
      <c r="D5" s="83" t="s">
        <v>50</v>
      </c>
    </row>
    <row r="6" spans="1:4" x14ac:dyDescent="0.35">
      <c r="A6" s="83" t="s">
        <v>56</v>
      </c>
      <c r="B6" s="83" t="s">
        <v>57</v>
      </c>
      <c r="C6" s="4" t="s">
        <v>58</v>
      </c>
      <c r="D6" s="83" t="s">
        <v>50</v>
      </c>
    </row>
    <row r="7" spans="1:4" x14ac:dyDescent="0.35">
      <c r="A7" s="83" t="s">
        <v>56</v>
      </c>
      <c r="B7" s="83" t="s">
        <v>59</v>
      </c>
      <c r="C7" s="4" t="s">
        <v>60</v>
      </c>
      <c r="D7" s="83" t="s">
        <v>50</v>
      </c>
    </row>
    <row r="8" spans="1:4" ht="87" x14ac:dyDescent="0.35">
      <c r="A8" s="83" t="s">
        <v>56</v>
      </c>
      <c r="B8" s="83" t="s">
        <v>61</v>
      </c>
      <c r="C8" s="4" t="s">
        <v>62</v>
      </c>
      <c r="D8" s="83" t="s">
        <v>63</v>
      </c>
    </row>
    <row r="9" spans="1:4" x14ac:dyDescent="0.35">
      <c r="A9" s="83" t="s">
        <v>56</v>
      </c>
      <c r="B9" s="83" t="s">
        <v>64</v>
      </c>
      <c r="C9" s="4" t="s">
        <v>58</v>
      </c>
      <c r="D9" s="83" t="s">
        <v>50</v>
      </c>
    </row>
    <row r="10" spans="1:4" ht="72.5" x14ac:dyDescent="0.35">
      <c r="A10" s="83" t="s">
        <v>56</v>
      </c>
      <c r="B10" s="83" t="s">
        <v>65</v>
      </c>
      <c r="C10" s="4" t="s">
        <v>66</v>
      </c>
      <c r="D10" s="83" t="s">
        <v>50</v>
      </c>
    </row>
    <row r="11" spans="1:4" ht="101.5" x14ac:dyDescent="0.35">
      <c r="A11" s="83" t="s">
        <v>56</v>
      </c>
      <c r="B11" s="83" t="s">
        <v>67</v>
      </c>
      <c r="C11" s="4" t="s">
        <v>68</v>
      </c>
      <c r="D11" s="83" t="s">
        <v>50</v>
      </c>
    </row>
    <row r="12" spans="1:4" x14ac:dyDescent="0.35">
      <c r="A12" s="83" t="s">
        <v>56</v>
      </c>
      <c r="B12" s="83" t="s">
        <v>69</v>
      </c>
      <c r="C12" s="4" t="s">
        <v>70</v>
      </c>
      <c r="D12" s="83" t="s">
        <v>50</v>
      </c>
    </row>
    <row r="13" spans="1:4" x14ac:dyDescent="0.35">
      <c r="A13" s="83" t="s">
        <v>56</v>
      </c>
      <c r="B13" s="83" t="s">
        <v>71</v>
      </c>
      <c r="C13" s="4" t="s">
        <v>72</v>
      </c>
      <c r="D13" s="83" t="s">
        <v>50</v>
      </c>
    </row>
    <row r="14" spans="1:4" ht="29" x14ac:dyDescent="0.35">
      <c r="A14" s="83" t="s">
        <v>56</v>
      </c>
      <c r="B14" s="83" t="s">
        <v>73</v>
      </c>
      <c r="C14" s="4" t="s">
        <v>74</v>
      </c>
      <c r="D14" s="83" t="s">
        <v>50</v>
      </c>
    </row>
    <row r="15" spans="1:4" x14ac:dyDescent="0.35">
      <c r="A15" s="83" t="s">
        <v>56</v>
      </c>
      <c r="B15" s="83" t="s">
        <v>75</v>
      </c>
      <c r="C15" s="4" t="s">
        <v>76</v>
      </c>
      <c r="D15" s="83" t="s">
        <v>50</v>
      </c>
    </row>
    <row r="16" spans="1:4" x14ac:dyDescent="0.35">
      <c r="A16" s="83" t="s">
        <v>56</v>
      </c>
      <c r="B16" s="83" t="s">
        <v>77</v>
      </c>
      <c r="C16" s="4" t="s">
        <v>78</v>
      </c>
      <c r="D16" s="83" t="s">
        <v>50</v>
      </c>
    </row>
    <row r="17" spans="1:4" x14ac:dyDescent="0.35">
      <c r="A17" s="83" t="s">
        <v>56</v>
      </c>
      <c r="B17" s="83" t="s">
        <v>79</v>
      </c>
      <c r="C17" s="4" t="s">
        <v>80</v>
      </c>
      <c r="D17" s="83" t="s">
        <v>50</v>
      </c>
    </row>
    <row r="18" spans="1:4" x14ac:dyDescent="0.35">
      <c r="A18" s="83" t="s">
        <v>56</v>
      </c>
      <c r="B18" s="83" t="s">
        <v>81</v>
      </c>
      <c r="C18" s="4" t="s">
        <v>82</v>
      </c>
      <c r="D18" s="83" t="s">
        <v>50</v>
      </c>
    </row>
    <row r="19" spans="1:4" x14ac:dyDescent="0.35">
      <c r="A19" s="83" t="s">
        <v>56</v>
      </c>
      <c r="B19" s="83" t="s">
        <v>83</v>
      </c>
      <c r="C19" s="4" t="s">
        <v>84</v>
      </c>
      <c r="D19" s="83" t="s">
        <v>63</v>
      </c>
    </row>
    <row r="20" spans="1:4" ht="29" x14ac:dyDescent="0.35">
      <c r="A20" s="83" t="s">
        <v>56</v>
      </c>
      <c r="B20" s="83" t="s">
        <v>85</v>
      </c>
      <c r="C20" s="4" t="s">
        <v>86</v>
      </c>
      <c r="D20" s="83" t="s">
        <v>50</v>
      </c>
    </row>
    <row r="21" spans="1:4" x14ac:dyDescent="0.35">
      <c r="A21" s="83" t="s">
        <v>56</v>
      </c>
      <c r="B21" s="83" t="s">
        <v>87</v>
      </c>
      <c r="C21" s="4" t="s">
        <v>88</v>
      </c>
      <c r="D21" s="83" t="s">
        <v>63</v>
      </c>
    </row>
    <row r="22" spans="1:4" x14ac:dyDescent="0.35">
      <c r="A22" s="83" t="s">
        <v>89</v>
      </c>
      <c r="B22" s="83" t="s">
        <v>90</v>
      </c>
      <c r="C22" s="4" t="s">
        <v>91</v>
      </c>
      <c r="D22" s="83" t="s">
        <v>50</v>
      </c>
    </row>
    <row r="23" spans="1:4" x14ac:dyDescent="0.35">
      <c r="A23" s="83" t="s">
        <v>89</v>
      </c>
      <c r="B23" s="83" t="s">
        <v>92</v>
      </c>
      <c r="C23" s="4" t="s">
        <v>91</v>
      </c>
      <c r="D23" s="83" t="s">
        <v>63</v>
      </c>
    </row>
    <row r="24" spans="1:4" x14ac:dyDescent="0.35">
      <c r="A24" s="83" t="s">
        <v>89</v>
      </c>
      <c r="B24" s="83" t="s">
        <v>93</v>
      </c>
      <c r="C24" s="4" t="s">
        <v>91</v>
      </c>
      <c r="D24" s="83" t="s">
        <v>50</v>
      </c>
    </row>
    <row r="25" spans="1:4" x14ac:dyDescent="0.35">
      <c r="A25" s="83" t="s">
        <v>89</v>
      </c>
      <c r="B25" s="83" t="s">
        <v>94</v>
      </c>
      <c r="C25" s="4" t="s">
        <v>91</v>
      </c>
      <c r="D25" s="83" t="s">
        <v>50</v>
      </c>
    </row>
    <row r="26" spans="1:4" x14ac:dyDescent="0.35">
      <c r="A26" s="83" t="s">
        <v>89</v>
      </c>
      <c r="B26" s="83" t="s">
        <v>95</v>
      </c>
      <c r="C26" s="4" t="s">
        <v>91</v>
      </c>
      <c r="D26" s="83" t="s">
        <v>50</v>
      </c>
    </row>
    <row r="27" spans="1:4" x14ac:dyDescent="0.35">
      <c r="A27" s="83" t="s">
        <v>89</v>
      </c>
      <c r="B27" s="83" t="s">
        <v>96</v>
      </c>
      <c r="C27" s="4" t="s">
        <v>91</v>
      </c>
      <c r="D27" s="83" t="s">
        <v>63</v>
      </c>
    </row>
    <row r="28" spans="1:4" x14ac:dyDescent="0.35">
      <c r="A28" s="83" t="s">
        <v>89</v>
      </c>
      <c r="B28" s="83" t="s">
        <v>97</v>
      </c>
      <c r="C28" s="4" t="s">
        <v>91</v>
      </c>
      <c r="D28" s="83" t="s">
        <v>63</v>
      </c>
    </row>
    <row r="29" spans="1:4" x14ac:dyDescent="0.35">
      <c r="A29" s="83" t="s">
        <v>89</v>
      </c>
      <c r="B29" s="83" t="s">
        <v>98</v>
      </c>
      <c r="C29" s="4" t="s">
        <v>91</v>
      </c>
      <c r="D29" s="83"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3EF34-4188-4DAB-9137-E6FD574A1664}">
  <sheetPr codeName="Sheet1"/>
  <dimension ref="A1:C19"/>
  <sheetViews>
    <sheetView zoomScale="80" zoomScaleNormal="80" workbookViewId="0">
      <selection activeCell="B21" sqref="B21"/>
    </sheetView>
  </sheetViews>
  <sheetFormatPr defaultColWidth="9.08984375" defaultRowHeight="14" x14ac:dyDescent="0.3"/>
  <cols>
    <col min="1" max="1" width="33.08984375" style="92" customWidth="1"/>
    <col min="2" max="2" width="132.54296875" style="92" customWidth="1"/>
    <col min="3" max="3" width="9.54296875" style="89" customWidth="1"/>
    <col min="4" max="16384" width="9.08984375" style="89"/>
  </cols>
  <sheetData>
    <row r="1" spans="1:3" ht="15" customHeight="1" x14ac:dyDescent="0.3">
      <c r="A1" s="396" t="s">
        <v>99</v>
      </c>
      <c r="B1" s="396"/>
      <c r="C1" s="95"/>
    </row>
    <row r="2" spans="1:3" x14ac:dyDescent="0.3">
      <c r="A2" s="396"/>
      <c r="B2" s="396"/>
      <c r="C2" s="95"/>
    </row>
    <row r="3" spans="1:3" ht="15.5" x14ac:dyDescent="0.35">
      <c r="A3" s="94"/>
      <c r="B3" s="94"/>
      <c r="C3" s="95"/>
    </row>
    <row r="4" spans="1:3" x14ac:dyDescent="0.3">
      <c r="A4" s="93" t="s">
        <v>100</v>
      </c>
      <c r="B4" s="93" t="s">
        <v>101</v>
      </c>
      <c r="C4" s="90"/>
    </row>
    <row r="5" spans="1:3" ht="42" x14ac:dyDescent="0.3">
      <c r="A5" s="98" t="s">
        <v>102</v>
      </c>
      <c r="B5" s="96" t="s">
        <v>721</v>
      </c>
    </row>
    <row r="6" spans="1:3" x14ac:dyDescent="0.3">
      <c r="A6" s="99" t="s">
        <v>103</v>
      </c>
      <c r="B6" s="97" t="s">
        <v>104</v>
      </c>
    </row>
    <row r="7" spans="1:3" x14ac:dyDescent="0.3">
      <c r="A7" s="99" t="s">
        <v>105</v>
      </c>
      <c r="B7" s="97" t="s">
        <v>106</v>
      </c>
    </row>
    <row r="8" spans="1:3" ht="28" x14ac:dyDescent="0.3">
      <c r="A8" s="99" t="s">
        <v>107</v>
      </c>
      <c r="B8" s="97" t="s">
        <v>722</v>
      </c>
    </row>
    <row r="9" spans="1:3" ht="28" x14ac:dyDescent="0.3">
      <c r="A9" s="99" t="s">
        <v>108</v>
      </c>
      <c r="B9" s="97" t="s">
        <v>723</v>
      </c>
    </row>
    <row r="10" spans="1:3" x14ac:dyDescent="0.3">
      <c r="A10" s="99" t="s">
        <v>9</v>
      </c>
      <c r="B10" s="97" t="s">
        <v>724</v>
      </c>
      <c r="C10" s="91"/>
    </row>
    <row r="11" spans="1:3" ht="28" x14ac:dyDescent="0.3">
      <c r="A11" s="99" t="s">
        <v>109</v>
      </c>
      <c r="B11" s="97" t="s">
        <v>725</v>
      </c>
    </row>
    <row r="12" spans="1:3" x14ac:dyDescent="0.3">
      <c r="A12" s="99" t="s">
        <v>110</v>
      </c>
      <c r="B12" s="97" t="s">
        <v>726</v>
      </c>
    </row>
    <row r="13" spans="1:3" x14ac:dyDescent="0.3">
      <c r="A13" s="99" t="s">
        <v>111</v>
      </c>
      <c r="B13" s="97" t="s">
        <v>727</v>
      </c>
      <c r="C13" s="91"/>
    </row>
    <row r="14" spans="1:3" x14ac:dyDescent="0.3">
      <c r="A14" s="99" t="s">
        <v>112</v>
      </c>
      <c r="B14" s="97" t="s">
        <v>728</v>
      </c>
      <c r="C14" s="91"/>
    </row>
    <row r="15" spans="1:3" x14ac:dyDescent="0.3">
      <c r="A15" s="99" t="s">
        <v>113</v>
      </c>
      <c r="B15" s="97" t="s">
        <v>729</v>
      </c>
    </row>
    <row r="16" spans="1:3" x14ac:dyDescent="0.3">
      <c r="A16" s="99" t="s">
        <v>114</v>
      </c>
      <c r="B16" s="97" t="s">
        <v>730</v>
      </c>
    </row>
    <row r="17" spans="1:2" x14ac:dyDescent="0.3">
      <c r="A17" s="99" t="s">
        <v>115</v>
      </c>
      <c r="B17" s="97" t="s">
        <v>731</v>
      </c>
    </row>
    <row r="18" spans="1:2" x14ac:dyDescent="0.3">
      <c r="A18" s="99" t="s">
        <v>116</v>
      </c>
      <c r="B18" s="97" t="s">
        <v>732</v>
      </c>
    </row>
    <row r="19" spans="1:2" x14ac:dyDescent="0.3">
      <c r="A19" s="99" t="s">
        <v>117</v>
      </c>
      <c r="B19" s="97" t="s">
        <v>732</v>
      </c>
    </row>
  </sheetData>
  <sheetProtection sheet="1" objects="1" scenarios="1" formatCells="0" formatColumns="0" formatRows="0"/>
  <mergeCells count="1">
    <mergeCell ref="A1:B2"/>
  </mergeCells>
  <pageMargins left="0.7" right="0.7" top="0.75" bottom="0.75" header="0.3" footer="0.3"/>
  <pageSetup scale="39"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8C72F-6932-4AF1-8348-9CC1626896D8}">
  <sheetPr codeName="Sheet2"/>
  <dimension ref="A1:T123"/>
  <sheetViews>
    <sheetView zoomScale="70" zoomScaleNormal="70" workbookViewId="0">
      <pane xSplit="1" ySplit="5" topLeftCell="B6" activePane="bottomRight" state="frozen"/>
      <selection pane="topRight" activeCell="B1" sqref="B1"/>
      <selection pane="bottomLeft" activeCell="A5" sqref="A5"/>
      <selection pane="bottomRight" activeCell="B6" sqref="B6"/>
    </sheetView>
  </sheetViews>
  <sheetFormatPr defaultColWidth="9.453125" defaultRowHeight="15.5" x14ac:dyDescent="0.35"/>
  <cols>
    <col min="1" max="1" width="55.54296875" style="136" customWidth="1"/>
    <col min="2" max="2" width="55.54296875" style="135" customWidth="1"/>
    <col min="3" max="4" width="15.54296875" style="135" customWidth="1"/>
    <col min="5" max="5" width="11.453125" style="189" customWidth="1"/>
    <col min="6" max="6" width="12.453125" style="189" customWidth="1"/>
    <col min="7" max="7" width="11.453125" style="135" customWidth="1"/>
    <col min="8" max="8" width="15.08984375" style="135" customWidth="1"/>
    <col min="9" max="9" width="11.54296875" style="135" customWidth="1"/>
    <col min="10" max="11" width="11.453125" style="135" customWidth="1"/>
    <col min="12" max="12" width="12.6328125" style="135" customWidth="1"/>
    <col min="13" max="13" width="11.453125" style="135" customWidth="1"/>
    <col min="14" max="14" width="13.453125" style="135" customWidth="1"/>
    <col min="15" max="16" width="11.453125" style="135" customWidth="1"/>
    <col min="17" max="17" width="11.54296875" style="136" customWidth="1"/>
    <col min="18" max="18" width="148.54296875" style="137" customWidth="1"/>
    <col min="19" max="19" width="7.54296875" style="136" customWidth="1"/>
    <col min="20" max="16384" width="9.453125" style="136"/>
  </cols>
  <sheetData>
    <row r="1" spans="1:18" x14ac:dyDescent="0.35">
      <c r="A1" s="424" t="s">
        <v>118</v>
      </c>
      <c r="B1" s="424"/>
      <c r="C1" s="397" t="s">
        <v>119</v>
      </c>
      <c r="D1" s="397"/>
      <c r="E1" s="397"/>
      <c r="F1" s="397"/>
      <c r="G1" s="397"/>
      <c r="H1" s="397"/>
      <c r="I1" s="397"/>
      <c r="J1" s="397"/>
      <c r="K1" s="397"/>
      <c r="L1" s="397"/>
      <c r="M1" s="397"/>
      <c r="N1" s="397"/>
      <c r="O1" s="399"/>
      <c r="P1" s="399"/>
      <c r="Q1" s="399"/>
      <c r="R1" s="399"/>
    </row>
    <row r="2" spans="1:18" ht="16" thickBot="1" x14ac:dyDescent="0.4">
      <c r="A2" s="425"/>
      <c r="B2" s="425"/>
      <c r="C2" s="398"/>
      <c r="D2" s="398"/>
      <c r="E2" s="398"/>
      <c r="F2" s="398"/>
      <c r="G2" s="398"/>
      <c r="H2" s="398"/>
      <c r="I2" s="398"/>
      <c r="J2" s="398"/>
      <c r="K2" s="398"/>
      <c r="L2" s="398"/>
      <c r="M2" s="398"/>
      <c r="N2" s="398"/>
      <c r="O2" s="400"/>
      <c r="P2" s="400"/>
      <c r="Q2" s="400"/>
      <c r="R2" s="400"/>
    </row>
    <row r="3" spans="1:18" s="138" customFormat="1" ht="34.5" customHeight="1" thickBot="1" x14ac:dyDescent="0.4">
      <c r="A3" s="420" t="s">
        <v>120</v>
      </c>
      <c r="B3" s="420" t="s">
        <v>121</v>
      </c>
      <c r="C3" s="412" t="s">
        <v>122</v>
      </c>
      <c r="D3" s="407" t="s">
        <v>123</v>
      </c>
      <c r="E3" s="402" t="s">
        <v>124</v>
      </c>
      <c r="F3" s="402"/>
      <c r="G3" s="411" t="s">
        <v>763</v>
      </c>
      <c r="H3" s="402"/>
      <c r="I3" s="402" t="s">
        <v>762</v>
      </c>
      <c r="J3" s="402"/>
      <c r="K3" s="401" t="s">
        <v>673</v>
      </c>
      <c r="L3" s="402"/>
      <c r="M3" s="402" t="s">
        <v>674</v>
      </c>
      <c r="N3" s="402"/>
      <c r="O3" s="411" t="s">
        <v>675</v>
      </c>
      <c r="P3" s="401"/>
      <c r="Q3" s="407" t="s">
        <v>125</v>
      </c>
      <c r="R3" s="404" t="s">
        <v>126</v>
      </c>
    </row>
    <row r="4" spans="1:18" s="138" customFormat="1" ht="32.9" customHeight="1" thickBot="1" x14ac:dyDescent="0.4">
      <c r="A4" s="421"/>
      <c r="B4" s="421"/>
      <c r="C4" s="412"/>
      <c r="D4" s="407"/>
      <c r="E4" s="414" t="s">
        <v>127</v>
      </c>
      <c r="F4" s="414"/>
      <c r="G4" s="416" t="s">
        <v>847</v>
      </c>
      <c r="H4" s="414"/>
      <c r="I4" s="403" t="s">
        <v>848</v>
      </c>
      <c r="J4" s="403"/>
      <c r="K4" s="403" t="s">
        <v>849</v>
      </c>
      <c r="L4" s="403"/>
      <c r="M4" s="409" t="s">
        <v>850</v>
      </c>
      <c r="N4" s="409"/>
      <c r="O4" s="403" t="s">
        <v>851</v>
      </c>
      <c r="P4" s="410"/>
      <c r="Q4" s="407"/>
      <c r="R4" s="405"/>
    </row>
    <row r="5" spans="1:18" s="138" customFormat="1" ht="30.5" thickBot="1" x14ac:dyDescent="0.4">
      <c r="A5" s="422"/>
      <c r="B5" s="422"/>
      <c r="C5" s="413"/>
      <c r="D5" s="415"/>
      <c r="E5" s="139" t="s">
        <v>128</v>
      </c>
      <c r="F5" s="140" t="s">
        <v>129</v>
      </c>
      <c r="G5" s="140" t="s">
        <v>128</v>
      </c>
      <c r="H5" s="140" t="s">
        <v>129</v>
      </c>
      <c r="I5" s="140" t="s">
        <v>128</v>
      </c>
      <c r="J5" s="140" t="s">
        <v>129</v>
      </c>
      <c r="K5" s="140" t="s">
        <v>128</v>
      </c>
      <c r="L5" s="140" t="s">
        <v>129</v>
      </c>
      <c r="M5" s="140" t="s">
        <v>128</v>
      </c>
      <c r="N5" s="140" t="s">
        <v>129</v>
      </c>
      <c r="O5" s="140" t="s">
        <v>128</v>
      </c>
      <c r="P5" s="140" t="s">
        <v>129</v>
      </c>
      <c r="Q5" s="408"/>
      <c r="R5" s="406"/>
    </row>
    <row r="6" spans="1:18" s="135" customFormat="1" ht="16" thickTop="1" x14ac:dyDescent="0.35">
      <c r="A6" s="423" t="s">
        <v>130</v>
      </c>
      <c r="B6" s="141" t="s">
        <v>131</v>
      </c>
      <c r="C6" s="142" t="s">
        <v>63</v>
      </c>
      <c r="D6" s="142" t="s">
        <v>132</v>
      </c>
      <c r="E6" s="143">
        <v>250</v>
      </c>
      <c r="F6" s="143">
        <v>250</v>
      </c>
      <c r="G6" s="144">
        <f>'OES with Consortium Data_Calcs'!E3</f>
        <v>0.30328220858895705</v>
      </c>
      <c r="H6" s="144">
        <f>'OES with Consortium Data_Calcs'!F3</f>
        <v>0.30328220858895705</v>
      </c>
      <c r="I6" s="145">
        <f t="shared" ref="I6:J8" si="0">IFERROR(G6*ED_8*BR/AT_AC, "N/A")</f>
        <v>0.2063144276115354</v>
      </c>
      <c r="J6" s="145">
        <f t="shared" si="0"/>
        <v>0.2063144276115354</v>
      </c>
      <c r="K6" s="145">
        <f t="shared" ref="K6:L8" si="1">IFERROR(G6*ED_8*IF(E6&gt;22,22,E6)*BR/(ED_intermediate*EF_intermediate),"N/A")</f>
        <v>0.15129724691512597</v>
      </c>
      <c r="L6" s="145">
        <f t="shared" si="1"/>
        <v>0.15129724691512597</v>
      </c>
      <c r="M6" s="145">
        <f>IFERROR(G6*ED_8*E6*WY_95th*BR/AT_95th_non_cancer, "N/A")</f>
        <v>0.14131125178872286</v>
      </c>
      <c r="N6" s="145">
        <f>IFERROR(H6*ED_8*F6*WY_50th*BR/AT_50th_non_cancer, "N/A")</f>
        <v>0.14131125178872286</v>
      </c>
      <c r="O6" s="145">
        <f>IFERROR(G6*ED_8*E6*WY_95th*BR/AT_cancer, "N/A")</f>
        <v>7.2467308609601475E-2</v>
      </c>
      <c r="P6" s="144">
        <f>IFERROR(H6*ED_8*F6*WY_50th*BR/AT_cancer, "N/A")</f>
        <v>5.6162164172441138E-2</v>
      </c>
      <c r="Q6" s="146">
        <v>1</v>
      </c>
      <c r="R6" s="147" t="s">
        <v>133</v>
      </c>
    </row>
    <row r="7" spans="1:18" s="135" customFormat="1" x14ac:dyDescent="0.35">
      <c r="A7" s="418"/>
      <c r="B7" s="148" t="s">
        <v>739</v>
      </c>
      <c r="C7" s="149" t="s">
        <v>134</v>
      </c>
      <c r="D7" s="149" t="s">
        <v>132</v>
      </c>
      <c r="E7" s="150">
        <v>250</v>
      </c>
      <c r="F7" s="150">
        <v>250</v>
      </c>
      <c r="G7" s="151">
        <f>'OES with Consortium Data_Calcs'!E4</f>
        <v>9.705030674846622</v>
      </c>
      <c r="H7" s="151">
        <f>'OES with Consortium Data_Calcs'!F4</f>
        <v>2.9115092024539879</v>
      </c>
      <c r="I7" s="152">
        <f t="shared" si="0"/>
        <v>6.6020616835691301</v>
      </c>
      <c r="J7" s="152">
        <f t="shared" si="0"/>
        <v>1.9806185050707403</v>
      </c>
      <c r="K7" s="152">
        <f t="shared" si="1"/>
        <v>4.8415119012840284</v>
      </c>
      <c r="L7" s="152">
        <f t="shared" si="1"/>
        <v>1.4524535703852093</v>
      </c>
      <c r="M7" s="152">
        <f>IFERROR(G7*ED_8*E7*WY_95th*BR/AT_95th_non_cancer, "N/A")</f>
        <v>4.5219600572391316</v>
      </c>
      <c r="N7" s="152">
        <f>IFERROR(H7*ED_8*F7*WY_50th*BR/AT_50th_non_cancer, "N/A")</f>
        <v>1.3565880171717399</v>
      </c>
      <c r="O7" s="152">
        <f>IFERROR(G7*ED_8*E7*WY_95th*BR/AT_cancer, "N/A")</f>
        <v>2.3189538755072467</v>
      </c>
      <c r="P7" s="151">
        <f>IFERROR(H7*ED_8*F7*WY_50th*BR/AT_cancer, "N/A")</f>
        <v>0.53915677605543511</v>
      </c>
      <c r="Q7" s="153">
        <v>17</v>
      </c>
      <c r="R7" s="154" t="s">
        <v>766</v>
      </c>
    </row>
    <row r="8" spans="1:18" s="135" customFormat="1" ht="31" x14ac:dyDescent="0.35">
      <c r="A8" s="418"/>
      <c r="B8" s="155" t="s">
        <v>135</v>
      </c>
      <c r="C8" s="149" t="s">
        <v>134</v>
      </c>
      <c r="D8" s="149" t="s">
        <v>132</v>
      </c>
      <c r="E8" s="150">
        <v>250</v>
      </c>
      <c r="F8" s="150">
        <v>250</v>
      </c>
      <c r="G8" s="151">
        <f>'OES with Consortium Data_Calcs'!E5</f>
        <v>46.705460122699385</v>
      </c>
      <c r="H8" s="151">
        <f>'OES with Consortium Data_Calcs'!F5</f>
        <v>0.24262576687116569</v>
      </c>
      <c r="I8" s="152">
        <f t="shared" si="0"/>
        <v>31.772421852176453</v>
      </c>
      <c r="J8" s="152">
        <f t="shared" si="0"/>
        <v>0.16505154208922837</v>
      </c>
      <c r="K8" s="152">
        <f t="shared" si="1"/>
        <v>23.2997760249294</v>
      </c>
      <c r="L8" s="152">
        <f t="shared" si="1"/>
        <v>0.1210377975321008</v>
      </c>
      <c r="M8" s="152">
        <f>IFERROR(G8*ED_8*E8*WY_95th*BR/AT_95th_non_cancer, "N/A")</f>
        <v>21.761932775463325</v>
      </c>
      <c r="N8" s="152">
        <f>IFERROR(H8*ED_8*F8*WY_50th*BR/AT_50th_non_cancer, "N/A")</f>
        <v>0.11304900143097833</v>
      </c>
      <c r="O8" s="152">
        <f>IFERROR(G8*ED_8*E8*WY_95th*BR/AT_cancer, "N/A")</f>
        <v>11.159965525878627</v>
      </c>
      <c r="P8" s="151">
        <f>IFERROR(H8*ED_8*F8*WY_50th*BR/AT_cancer, "N/A")</f>
        <v>4.4929731337952923E-2</v>
      </c>
      <c r="Q8" s="150">
        <v>3</v>
      </c>
      <c r="R8" s="154" t="s">
        <v>764</v>
      </c>
    </row>
    <row r="9" spans="1:18" s="135" customFormat="1" x14ac:dyDescent="0.35">
      <c r="A9" s="418"/>
      <c r="B9" s="148" t="s">
        <v>136</v>
      </c>
      <c r="C9" s="149" t="s">
        <v>134</v>
      </c>
      <c r="D9" s="149" t="s">
        <v>137</v>
      </c>
      <c r="E9" s="150">
        <v>250</v>
      </c>
      <c r="F9" s="150">
        <v>250</v>
      </c>
      <c r="G9" s="151">
        <f>'OES with Consortium Data_Calcs'!I6</f>
        <v>3.42361806066803</v>
      </c>
      <c r="H9" s="151">
        <f>'OES with Consortium Data_Calcs'!J6</f>
        <v>0.33305441206543968</v>
      </c>
      <c r="I9" s="156">
        <f>IFERROR(G9*ED_12*BR/AT_AC, "N/A")</f>
        <v>3.493487817008194</v>
      </c>
      <c r="J9" s="156">
        <f>IFERROR(H9*ED_12*BR/AT_AC, "N/A")</f>
        <v>0.33985144088310171</v>
      </c>
      <c r="K9" s="156">
        <f>IFERROR(G9*ED_12*IF(E9&gt;22,22,E9)*BR/(ED_intermediate*EF_intermediate),"N/A")</f>
        <v>2.5618910658060092</v>
      </c>
      <c r="L9" s="156">
        <f>IFERROR(H9*ED_12*IF(F9&gt;22,22,F9)*BR/(ED_intermediate*EF_intermediate),"N/A")</f>
        <v>0.24922438998094121</v>
      </c>
      <c r="M9" s="156">
        <f>IFERROR(G9*ED_12*E9*WY_95th*BR/AT_95th_non_cancer, "N/A")</f>
        <v>2.3927998746631469</v>
      </c>
      <c r="N9" s="156">
        <f>IFERROR(H9*ED_12*F9*WY_50th*BR/AT_50th_non_cancer, "N/A")</f>
        <v>0.23277495950897376</v>
      </c>
      <c r="O9" s="156">
        <f>IFERROR(G9*ED_12*E9*WY_95th*BR/AT_cancer, "N/A")</f>
        <v>1.2270768588016137</v>
      </c>
      <c r="P9" s="157">
        <f>IFERROR(H9*ED_12*F9*WY_50th*BR/AT_cancer, "N/A")</f>
        <v>9.2513124933053664E-2</v>
      </c>
      <c r="Q9" s="153">
        <v>11</v>
      </c>
      <c r="R9" s="154" t="s">
        <v>765</v>
      </c>
    </row>
    <row r="10" spans="1:18" s="135" customFormat="1" x14ac:dyDescent="0.35">
      <c r="A10" s="418"/>
      <c r="B10" s="148" t="s">
        <v>737</v>
      </c>
      <c r="C10" s="149" t="s">
        <v>134</v>
      </c>
      <c r="D10" s="149" t="s">
        <v>132</v>
      </c>
      <c r="E10" s="150">
        <v>250</v>
      </c>
      <c r="F10" s="150">
        <v>250</v>
      </c>
      <c r="G10" s="151">
        <f>'OES with Consortium Data_Calcs'!E7</f>
        <v>0.15770674846625768</v>
      </c>
      <c r="H10" s="151">
        <f>'OES with Consortium Data_Calcs'!F7</f>
        <v>0.15770674846625768</v>
      </c>
      <c r="I10" s="152">
        <f>IFERROR(G10*ED_8*BR/AT_AC, "N/A")</f>
        <v>0.10728350235799843</v>
      </c>
      <c r="J10" s="152">
        <f>IFERROR(H10*ED_8*BR/AT_AC, "N/A")</f>
        <v>0.10728350235799843</v>
      </c>
      <c r="K10" s="152">
        <f>IFERROR(G10*ED_8*IF(E10&gt;22,22,E10)*BR/(ED_intermediate*EF_intermediate),"N/A")</f>
        <v>7.8674568395865521E-2</v>
      </c>
      <c r="L10" s="152">
        <f>IFERROR(H10*ED_8*IF(F10&gt;22,22,F10)*BR/(ED_intermediate*EF_intermediate),"N/A")</f>
        <v>7.8674568395865521E-2</v>
      </c>
      <c r="M10" s="152">
        <f>IFERROR(G10*ED_8*E10*WY_95th*BR/AT_95th_non_cancer, "N/A")</f>
        <v>7.3481850930135914E-2</v>
      </c>
      <c r="N10" s="152">
        <f>IFERROR(H10*ED_8*F10*WY_50th*BR/AT_50th_non_cancer, "N/A")</f>
        <v>7.3481850930135928E-2</v>
      </c>
      <c r="O10" s="152">
        <f>IFERROR(G10*ED_8*E10*WY_95th*BR/AT_cancer, "N/A")</f>
        <v>3.768300047699278E-2</v>
      </c>
      <c r="P10" s="151">
        <f>IFERROR(H10*ED_8*F10*WY_50th*BR/AT_cancer, "N/A")</f>
        <v>2.9204325369669406E-2</v>
      </c>
      <c r="Q10" s="153">
        <v>1</v>
      </c>
      <c r="R10" s="154" t="s">
        <v>738</v>
      </c>
    </row>
    <row r="11" spans="1:18" s="135" customFormat="1" x14ac:dyDescent="0.35">
      <c r="A11" s="418"/>
      <c r="B11" s="155" t="s">
        <v>740</v>
      </c>
      <c r="C11" s="149" t="s">
        <v>134</v>
      </c>
      <c r="D11" s="149" t="s">
        <v>132</v>
      </c>
      <c r="E11" s="150">
        <v>250</v>
      </c>
      <c r="F11" s="150">
        <v>250</v>
      </c>
      <c r="G11" s="151">
        <f>'OES with Consortium Data_Calcs'!E8</f>
        <v>8.0491603629856723</v>
      </c>
      <c r="H11" s="151">
        <f>'OES with Consortium Data_Calcs'!F8</f>
        <v>0.51065141871165642</v>
      </c>
      <c r="I11" s="152">
        <f>IFERROR(G11*ED_8*BR/AT_AC, "N/A")</f>
        <v>5.4756192945480757</v>
      </c>
      <c r="J11" s="152">
        <f>IFERROR(H11*ED_8*BR/AT_AC, "N/A")</f>
        <v>0.34738191749092273</v>
      </c>
      <c r="K11" s="152">
        <f>IFERROR(G11*ED_8*IF(E11&gt;22,22,E11)*BR/(ED_intermediate*EF_intermediate),"N/A")</f>
        <v>4.0154541493352562</v>
      </c>
      <c r="L11" s="152">
        <f>IFERROR(H11*ED_8*IF(F11&gt;22,22,F11)*BR/(ED_intermediate*EF_intermediate),"N/A")</f>
        <v>0.25474673949334331</v>
      </c>
      <c r="M11" s="152">
        <f>IFERROR(G11*ED_8*E11*WY_95th*BR/AT_95th_non_cancer, "N/A")</f>
        <v>3.7504241743479976</v>
      </c>
      <c r="N11" s="152">
        <f>IFERROR(H11*ED_8*F11*WY_50th*BR/AT_50th_non_cancer, "N/A")</f>
        <v>0.23793282019926215</v>
      </c>
      <c r="O11" s="152">
        <f>IFERROR(G11*ED_8*E11*WY_95th*BR/AT_cancer, "N/A")</f>
        <v>1.9232944483835885</v>
      </c>
      <c r="P11" s="151">
        <f>IFERROR(H11*ED_8*F11*WY_50th*BR/AT_cancer, "N/A")</f>
        <v>9.4563043925347784E-2</v>
      </c>
      <c r="Q11" s="153">
        <v>24</v>
      </c>
      <c r="R11" s="154" t="s">
        <v>767</v>
      </c>
    </row>
    <row r="12" spans="1:18" s="135" customFormat="1" x14ac:dyDescent="0.35">
      <c r="A12" s="418"/>
      <c r="B12" s="155" t="s">
        <v>741</v>
      </c>
      <c r="C12" s="149" t="s">
        <v>134</v>
      </c>
      <c r="D12" s="149" t="s">
        <v>139</v>
      </c>
      <c r="E12" s="150">
        <v>250</v>
      </c>
      <c r="F12" s="150">
        <v>250</v>
      </c>
      <c r="G12" s="151">
        <f>'OES with Consortium Data_Calcs'!G9</f>
        <v>2.1351067484662578</v>
      </c>
      <c r="H12" s="151">
        <f>'OES with Consortium Data_Calcs'!H9</f>
        <v>0.91227288343558299</v>
      </c>
      <c r="I12" s="152">
        <f>IFERROR(G12*ED_10*BR/AT_AC, "N/A")</f>
        <v>1.8155669629815119</v>
      </c>
      <c r="J12" s="151">
        <f>IFERROR(H12*ED_10*BR/AT_AC, "N/A")</f>
        <v>0.77574224781937329</v>
      </c>
      <c r="K12" s="152">
        <f>IFERROR(G12*ED_10*IF(E12&gt;22,22,E12)*BR/(ED_intermediate*EF_intermediate),"N/A")</f>
        <v>1.3314157728531089</v>
      </c>
      <c r="L12" s="152">
        <f>IFERROR(H12*ED_10*IF(F12&gt;22,22,F12)*BR/(ED_intermediate*EF_intermediate),"N/A")</f>
        <v>0.56887764840087374</v>
      </c>
      <c r="M12" s="152">
        <f>IFERROR(G12*ED_10*E12*WY_95th*BR/AT_95th_non_cancer, "N/A")</f>
        <v>1.2435390157407615</v>
      </c>
      <c r="N12" s="152">
        <f>IFERROR(H12*ED_10*F12*WY_50th*BR/AT_50th_non_cancer, "N/A")</f>
        <v>0.53133030672559811</v>
      </c>
      <c r="O12" s="152">
        <f>IFERROR(G12*ED_10*E12*WY_95th*BR/AT_cancer, "N/A")</f>
        <v>0.63771231576449317</v>
      </c>
      <c r="P12" s="151">
        <f>IFERROR(H12*ED_10*F12*WY_50th*BR/AT_cancer, "N/A")</f>
        <v>0.21116973728837873</v>
      </c>
      <c r="Q12" s="153">
        <v>5</v>
      </c>
      <c r="R12" s="154" t="s">
        <v>768</v>
      </c>
    </row>
    <row r="13" spans="1:18" s="135" customFormat="1" ht="16" thickBot="1" x14ac:dyDescent="0.4">
      <c r="A13" s="419"/>
      <c r="B13" s="158" t="s">
        <v>740</v>
      </c>
      <c r="C13" s="159" t="s">
        <v>134</v>
      </c>
      <c r="D13" s="159" t="s">
        <v>137</v>
      </c>
      <c r="E13" s="160">
        <v>250</v>
      </c>
      <c r="F13" s="160">
        <v>250</v>
      </c>
      <c r="G13" s="161">
        <f>'OES with Consortium Data_Calcs'!I10</f>
        <v>1.8801003278800263</v>
      </c>
      <c r="H13" s="161">
        <f>'OES with Consortium Data_Calcs'!J10</f>
        <v>0.18459777096114521</v>
      </c>
      <c r="I13" s="162">
        <f>IFERROR(G13*ED_12*BR/AT_AC, "N/A")</f>
        <v>1.9184697223265577</v>
      </c>
      <c r="J13" s="162">
        <f>IFERROR(H13*ED_12*BR/AT_AC, "N/A")</f>
        <v>0.18836507240933184</v>
      </c>
      <c r="K13" s="162">
        <f>IFERROR(G13*ED_12*IF(E13&gt;22,22,E13)*BR/(ED_intermediate*EF_intermediate),"N/A")</f>
        <v>1.406877796372809</v>
      </c>
      <c r="L13" s="162">
        <f>IFERROR(H13*ED_12*IF(F13&gt;22,22,F13)*BR/(ED_intermediate*EF_intermediate),"N/A")</f>
        <v>0.13813438643351003</v>
      </c>
      <c r="M13" s="162">
        <f>IFERROR(G13*ED_12*E13*WY_95th*BR/AT_95th_non_cancer, "N/A")</f>
        <v>1.3140203577579164</v>
      </c>
      <c r="N13" s="162">
        <f>IFERROR(H13*ED_12*F13*WY_50th*BR/AT_50th_non_cancer, "N/A")</f>
        <v>0.12901717288310399</v>
      </c>
      <c r="O13" s="162">
        <f>IFERROR(G13*ED_12*E13*WY_95th*BR/AT_cancer, "N/A")</f>
        <v>0.67385659372200846</v>
      </c>
      <c r="P13" s="161">
        <f>IFERROR(H13*ED_12*F13*WY_50th*BR/AT_cancer, "N/A")</f>
        <v>5.1276055889438767E-2</v>
      </c>
      <c r="Q13" s="160">
        <v>8</v>
      </c>
      <c r="R13" s="163" t="s">
        <v>769</v>
      </c>
    </row>
    <row r="14" spans="1:18" s="135" customFormat="1" x14ac:dyDescent="0.35">
      <c r="A14" s="417" t="s">
        <v>743</v>
      </c>
      <c r="B14" s="164" t="s">
        <v>131</v>
      </c>
      <c r="C14" s="165" t="s">
        <v>63</v>
      </c>
      <c r="D14" s="165" t="s">
        <v>132</v>
      </c>
      <c r="E14" s="166">
        <v>250</v>
      </c>
      <c r="F14" s="166">
        <v>235</v>
      </c>
      <c r="G14" s="167">
        <f t="shared" ref="G14:H21" si="2">G6</f>
        <v>0.30328220858895705</v>
      </c>
      <c r="H14" s="167">
        <f t="shared" si="2"/>
        <v>0.30328220858895705</v>
      </c>
      <c r="I14" s="168">
        <f t="shared" ref="I14:J16" si="3">IFERROR(G14*ED_8*BR/AT_AC, "N/A")</f>
        <v>0.2063144276115354</v>
      </c>
      <c r="J14" s="168">
        <f t="shared" si="3"/>
        <v>0.2063144276115354</v>
      </c>
      <c r="K14" s="168">
        <f t="shared" ref="K14:L16" si="4">IFERROR(G14*ED_8*IF(E14&gt;22,22,E14)*BR/(ED_intermediate*EF_intermediate),"N/A")</f>
        <v>0.15129724691512597</v>
      </c>
      <c r="L14" s="168">
        <f t="shared" si="4"/>
        <v>0.15129724691512597</v>
      </c>
      <c r="M14" s="168">
        <f>IFERROR(G14*ED_8*E14*WY_95th*BR/AT_95th_non_cancer, "N/A")</f>
        <v>0.14131125178872286</v>
      </c>
      <c r="N14" s="168">
        <f>IFERROR(H14*ED_8*F14*WY_50th*BR/AT_50th_non_cancer, "N/A")</f>
        <v>0.13283257668139953</v>
      </c>
      <c r="O14" s="168">
        <f>IFERROR(G14*ED_8*E14*WY_95th*BR/AT_cancer, "N/A")</f>
        <v>7.2467308609601475E-2</v>
      </c>
      <c r="P14" s="167">
        <f>IFERROR(H14*ED_8*F14*WY_50th*BR/AT_cancer, "N/A")</f>
        <v>5.2792434322094683E-2</v>
      </c>
      <c r="Q14" s="169">
        <v>1</v>
      </c>
      <c r="R14" s="170" t="s">
        <v>133</v>
      </c>
    </row>
    <row r="15" spans="1:18" s="135" customFormat="1" x14ac:dyDescent="0.35">
      <c r="A15" s="418"/>
      <c r="B15" s="148" t="s">
        <v>739</v>
      </c>
      <c r="C15" s="149" t="s">
        <v>134</v>
      </c>
      <c r="D15" s="149" t="s">
        <v>132</v>
      </c>
      <c r="E15" s="150">
        <v>250</v>
      </c>
      <c r="F15" s="150">
        <v>235</v>
      </c>
      <c r="G15" s="151">
        <f t="shared" si="2"/>
        <v>9.705030674846622</v>
      </c>
      <c r="H15" s="151">
        <f t="shared" si="2"/>
        <v>2.9115092024539879</v>
      </c>
      <c r="I15" s="152">
        <f t="shared" si="3"/>
        <v>6.6020616835691301</v>
      </c>
      <c r="J15" s="152">
        <f t="shared" si="3"/>
        <v>1.9806185050707403</v>
      </c>
      <c r="K15" s="152">
        <f t="shared" si="4"/>
        <v>4.8415119012840284</v>
      </c>
      <c r="L15" s="152">
        <f t="shared" si="4"/>
        <v>1.4524535703852093</v>
      </c>
      <c r="M15" s="152">
        <f>IFERROR(G15*ED_8*E15*WY_95th*BR/AT_95th_non_cancer, "N/A")</f>
        <v>4.5219600572391316</v>
      </c>
      <c r="N15" s="152">
        <f>IFERROR(H15*ED_8*F15*WY_50th*BR/AT_50th_non_cancer, "N/A")</f>
        <v>1.2751927361414352</v>
      </c>
      <c r="O15" s="152">
        <f>IFERROR(G15*ED_8*E15*WY_95th*BR/AT_cancer, "N/A")</f>
        <v>2.3189538755072467</v>
      </c>
      <c r="P15" s="151">
        <f>IFERROR(H15*ED_8*F15*WY_50th*BR/AT_cancer, "N/A")</f>
        <v>0.50680736949210892</v>
      </c>
      <c r="Q15" s="153">
        <v>17</v>
      </c>
      <c r="R15" s="154" t="s">
        <v>766</v>
      </c>
    </row>
    <row r="16" spans="1:18" s="135" customFormat="1" ht="31" x14ac:dyDescent="0.35">
      <c r="A16" s="418"/>
      <c r="B16" s="155" t="s">
        <v>135</v>
      </c>
      <c r="C16" s="149" t="s">
        <v>134</v>
      </c>
      <c r="D16" s="149" t="s">
        <v>132</v>
      </c>
      <c r="E16" s="150">
        <v>250</v>
      </c>
      <c r="F16" s="150">
        <v>235</v>
      </c>
      <c r="G16" s="151">
        <f t="shared" si="2"/>
        <v>46.705460122699385</v>
      </c>
      <c r="H16" s="151">
        <f t="shared" si="2"/>
        <v>0.24262576687116569</v>
      </c>
      <c r="I16" s="152">
        <f t="shared" si="3"/>
        <v>31.772421852176453</v>
      </c>
      <c r="J16" s="152">
        <f t="shared" si="3"/>
        <v>0.16505154208922837</v>
      </c>
      <c r="K16" s="152">
        <f t="shared" si="4"/>
        <v>23.2997760249294</v>
      </c>
      <c r="L16" s="152">
        <f t="shared" si="4"/>
        <v>0.1210377975321008</v>
      </c>
      <c r="M16" s="152">
        <f>IFERROR(G16*ED_8*E16*WY_95th*BR/AT_95th_non_cancer, "N/A")</f>
        <v>21.761932775463325</v>
      </c>
      <c r="N16" s="152">
        <f>IFERROR(H16*ED_8*F16*WY_50th*BR/AT_50th_non_cancer, "N/A")</f>
        <v>0.10626606134511964</v>
      </c>
      <c r="O16" s="152">
        <f>IFERROR(G16*ED_8*E16*WY_95th*BR/AT_cancer, "N/A")</f>
        <v>11.159965525878627</v>
      </c>
      <c r="P16" s="151">
        <f>IFERROR(H16*ED_8*F16*WY_50th*BR/AT_cancer, "N/A")</f>
        <v>4.2233947457675752E-2</v>
      </c>
      <c r="Q16" s="150">
        <v>3</v>
      </c>
      <c r="R16" s="154" t="s">
        <v>764</v>
      </c>
    </row>
    <row r="17" spans="1:18" s="135" customFormat="1" x14ac:dyDescent="0.35">
      <c r="A17" s="418"/>
      <c r="B17" s="148" t="s">
        <v>136</v>
      </c>
      <c r="C17" s="149" t="s">
        <v>134</v>
      </c>
      <c r="D17" s="149" t="s">
        <v>137</v>
      </c>
      <c r="E17" s="150">
        <v>250</v>
      </c>
      <c r="F17" s="150">
        <v>235</v>
      </c>
      <c r="G17" s="151">
        <f t="shared" si="2"/>
        <v>3.42361806066803</v>
      </c>
      <c r="H17" s="151">
        <f t="shared" si="2"/>
        <v>0.33305441206543968</v>
      </c>
      <c r="I17" s="156">
        <f>IFERROR(G17*ED_12*BR/AT_AC, "N/A")</f>
        <v>3.493487817008194</v>
      </c>
      <c r="J17" s="156">
        <f>IFERROR(H17*ED_12*BR/AT_AC, "N/A")</f>
        <v>0.33985144088310171</v>
      </c>
      <c r="K17" s="156">
        <f>IFERROR(G17*ED_12*IF(E17&gt;22,22,E17)*BR/(ED_intermediate*EF_intermediate),"N/A")</f>
        <v>2.5618910658060092</v>
      </c>
      <c r="L17" s="156">
        <f>IFERROR(H17*ED_12*IF(F17&gt;22,22,F17)*BR/(ED_intermediate*EF_intermediate),"N/A")</f>
        <v>0.24922438998094121</v>
      </c>
      <c r="M17" s="156">
        <f>IFERROR(G17*ED_12*E17*WY_95th*BR/AT_95th_non_cancer, "N/A")</f>
        <v>2.3927998746631469</v>
      </c>
      <c r="N17" s="156">
        <f>IFERROR(H17*ED_12*F17*WY_50th*BR/AT_50th_non_cancer, "N/A")</f>
        <v>0.21880846193843537</v>
      </c>
      <c r="O17" s="156">
        <f>IFERROR(G17*ED_12*E17*WY_95th*BR/AT_cancer, "N/A")</f>
        <v>1.2270768588016137</v>
      </c>
      <c r="P17" s="157">
        <f>IFERROR(H17*ED_12*F17*WY_50th*BR/AT_cancer, "N/A")</f>
        <v>8.6962337437070464E-2</v>
      </c>
      <c r="Q17" s="153">
        <v>11</v>
      </c>
      <c r="R17" s="154" t="s">
        <v>765</v>
      </c>
    </row>
    <row r="18" spans="1:18" s="135" customFormat="1" x14ac:dyDescent="0.35">
      <c r="A18" s="418"/>
      <c r="B18" s="148" t="s">
        <v>737</v>
      </c>
      <c r="C18" s="149" t="s">
        <v>134</v>
      </c>
      <c r="D18" s="149" t="s">
        <v>132</v>
      </c>
      <c r="E18" s="150">
        <v>250</v>
      </c>
      <c r="F18" s="150">
        <v>235</v>
      </c>
      <c r="G18" s="151">
        <f t="shared" si="2"/>
        <v>0.15770674846625768</v>
      </c>
      <c r="H18" s="151">
        <f t="shared" si="2"/>
        <v>0.15770674846625768</v>
      </c>
      <c r="I18" s="152">
        <f>IFERROR(G18*ED_8*BR/AT_AC, "N/A")</f>
        <v>0.10728350235799843</v>
      </c>
      <c r="J18" s="152">
        <f>IFERROR(H18*ED_8*BR/AT_AC, "N/A")</f>
        <v>0.10728350235799843</v>
      </c>
      <c r="K18" s="152">
        <f>IFERROR(G18*ED_8*IF(E18&gt;22,22,E18)*BR/(ED_intermediate*EF_intermediate),"N/A")</f>
        <v>7.8674568395865521E-2</v>
      </c>
      <c r="L18" s="152">
        <f>IFERROR(H18*ED_8*IF(F18&gt;22,22,F18)*BR/(ED_intermediate*EF_intermediate),"N/A")</f>
        <v>7.8674568395865521E-2</v>
      </c>
      <c r="M18" s="152">
        <f>IFERROR(G18*ED_8*E18*WY_95th*BR/AT_95th_non_cancer, "N/A")</f>
        <v>7.3481850930135914E-2</v>
      </c>
      <c r="N18" s="152">
        <f>IFERROR(H18*ED_8*F18*WY_50th*BR/AT_50th_non_cancer, "N/A")</f>
        <v>6.9072939874327763E-2</v>
      </c>
      <c r="O18" s="152">
        <f>IFERROR(G18*ED_8*E18*WY_95th*BR/AT_cancer, "N/A")</f>
        <v>3.768300047699278E-2</v>
      </c>
      <c r="P18" s="151">
        <f>IFERROR(H18*ED_8*F18*WY_50th*BR/AT_cancer, "N/A")</f>
        <v>2.7452065847489236E-2</v>
      </c>
      <c r="Q18" s="153">
        <v>1</v>
      </c>
      <c r="R18" s="154" t="s">
        <v>738</v>
      </c>
    </row>
    <row r="19" spans="1:18" s="135" customFormat="1" x14ac:dyDescent="0.35">
      <c r="A19" s="418"/>
      <c r="B19" s="155" t="s">
        <v>740</v>
      </c>
      <c r="C19" s="149" t="s">
        <v>134</v>
      </c>
      <c r="D19" s="149" t="s">
        <v>132</v>
      </c>
      <c r="E19" s="150">
        <v>250</v>
      </c>
      <c r="F19" s="150">
        <v>235</v>
      </c>
      <c r="G19" s="151">
        <f t="shared" si="2"/>
        <v>8.0491603629856723</v>
      </c>
      <c r="H19" s="151">
        <f t="shared" si="2"/>
        <v>0.51065141871165642</v>
      </c>
      <c r="I19" s="152">
        <f>IFERROR(G19*ED_8*BR/AT_AC, "N/A")</f>
        <v>5.4756192945480757</v>
      </c>
      <c r="J19" s="152">
        <f>IFERROR(H19*ED_8*BR/AT_AC, "N/A")</f>
        <v>0.34738191749092273</v>
      </c>
      <c r="K19" s="152">
        <f>IFERROR(G19*ED_8*IF(E19&gt;22,22,E19)*BR/(ED_intermediate*EF_intermediate),"N/A")</f>
        <v>4.0154541493352562</v>
      </c>
      <c r="L19" s="152">
        <f>IFERROR(H19*ED_8*IF(F19&gt;22,22,F19)*BR/(ED_intermediate*EF_intermediate),"N/A")</f>
        <v>0.25474673949334331</v>
      </c>
      <c r="M19" s="152">
        <f>IFERROR(G19*ED_8*E19*WY_95th*BR/AT_95th_non_cancer, "N/A")</f>
        <v>3.7504241743479976</v>
      </c>
      <c r="N19" s="152">
        <f>IFERROR(H19*ED_8*F19*WY_50th*BR/AT_50th_non_cancer, "N/A")</f>
        <v>0.22365685098730645</v>
      </c>
      <c r="O19" s="152">
        <f>IFERROR(G19*ED_8*E19*WY_95th*BR/AT_cancer, "N/A")</f>
        <v>1.9232944483835885</v>
      </c>
      <c r="P19" s="151">
        <f>IFERROR(H19*ED_8*F19*WY_50th*BR/AT_cancer, "N/A")</f>
        <v>8.8889261289826924E-2</v>
      </c>
      <c r="Q19" s="153">
        <v>24</v>
      </c>
      <c r="R19" s="154" t="s">
        <v>767</v>
      </c>
    </row>
    <row r="20" spans="1:18" s="135" customFormat="1" x14ac:dyDescent="0.35">
      <c r="A20" s="418"/>
      <c r="B20" s="155" t="s">
        <v>741</v>
      </c>
      <c r="C20" s="149" t="s">
        <v>134</v>
      </c>
      <c r="D20" s="149" t="s">
        <v>139</v>
      </c>
      <c r="E20" s="150">
        <v>250</v>
      </c>
      <c r="F20" s="150">
        <v>235</v>
      </c>
      <c r="G20" s="151">
        <f>G12</f>
        <v>2.1351067484662578</v>
      </c>
      <c r="H20" s="151">
        <f>H12</f>
        <v>0.91227288343558299</v>
      </c>
      <c r="I20" s="152">
        <f>IFERROR(G20*ED_10*BR/AT_AC, "N/A")</f>
        <v>1.8155669629815119</v>
      </c>
      <c r="J20" s="151">
        <f>IFERROR(H20*ED_10*BR/AT_AC, "N/A")</f>
        <v>0.77574224781937329</v>
      </c>
      <c r="K20" s="152">
        <f>IFERROR(G20*ED_10*IF(E20&gt;22,22,E20)*BR/(ED_intermediate*EF_intermediate),"N/A")</f>
        <v>1.3314157728531089</v>
      </c>
      <c r="L20" s="152">
        <f>IFERROR(H20*ED_10*IF(F20&gt;22,22,F20)*BR/(ED_intermediate*EF_intermediate),"N/A")</f>
        <v>0.56887764840087374</v>
      </c>
      <c r="M20" s="152">
        <f>IFERROR(G20*ED_10*E20*WY_95th*BR/AT_95th_non_cancer, "N/A")</f>
        <v>1.2435390157407615</v>
      </c>
      <c r="N20" s="152">
        <f>IFERROR(H20*ED_10*F20*WY_50th*BR/AT_50th_non_cancer, "N/A")</f>
        <v>0.49945048832206224</v>
      </c>
      <c r="O20" s="152">
        <f>IFERROR(G20*ED_10*E20*WY_95th*BR/AT_cancer, "N/A")</f>
        <v>0.63771231576449317</v>
      </c>
      <c r="P20" s="151">
        <f>IFERROR(H20*ED_10*F20*WY_50th*BR/AT_cancer, "N/A")</f>
        <v>0.198499553051076</v>
      </c>
      <c r="Q20" s="153">
        <v>5</v>
      </c>
      <c r="R20" s="154" t="s">
        <v>768</v>
      </c>
    </row>
    <row r="21" spans="1:18" s="135" customFormat="1" ht="16" thickBot="1" x14ac:dyDescent="0.4">
      <c r="A21" s="419"/>
      <c r="B21" s="158" t="s">
        <v>740</v>
      </c>
      <c r="C21" s="159" t="s">
        <v>134</v>
      </c>
      <c r="D21" s="159" t="s">
        <v>137</v>
      </c>
      <c r="E21" s="160">
        <v>250</v>
      </c>
      <c r="F21" s="160">
        <v>235</v>
      </c>
      <c r="G21" s="161">
        <f t="shared" si="2"/>
        <v>1.8801003278800263</v>
      </c>
      <c r="H21" s="161">
        <f t="shared" si="2"/>
        <v>0.18459777096114521</v>
      </c>
      <c r="I21" s="162">
        <f>IFERROR(G21*ED_12*BR/AT_AC, "N/A")</f>
        <v>1.9184697223265577</v>
      </c>
      <c r="J21" s="162">
        <f>IFERROR(H21*ED_12*BR/AT_AC, "N/A")</f>
        <v>0.18836507240933184</v>
      </c>
      <c r="K21" s="162">
        <f>IFERROR(G21*ED_12*IF(E21&gt;22,22,E21)*BR/(ED_intermediate*EF_intermediate),"N/A")</f>
        <v>1.406877796372809</v>
      </c>
      <c r="L21" s="162">
        <f>IFERROR(H21*ED_12*IF(F21&gt;22,22,F21)*BR/(ED_intermediate*EF_intermediate),"N/A")</f>
        <v>0.13813438643351003</v>
      </c>
      <c r="M21" s="162">
        <f>IFERROR(G21*ED_12*E21*WY_95th*BR/AT_95th_non_cancer, "N/A")</f>
        <v>1.3140203577579164</v>
      </c>
      <c r="N21" s="162">
        <f>IFERROR(H21*ED_12*F21*WY_50th*BR/AT_50th_non_cancer, "N/A")</f>
        <v>0.12127614251011774</v>
      </c>
      <c r="O21" s="162">
        <f>IFERROR(G21*ED_12*E21*WY_95th*BR/AT_cancer, "N/A")</f>
        <v>0.67385659372200846</v>
      </c>
      <c r="P21" s="161">
        <f>IFERROR(H21*ED_12*F21*WY_50th*BR/AT_cancer, "N/A")</f>
        <v>4.8199492536072433E-2</v>
      </c>
      <c r="Q21" s="171">
        <v>8</v>
      </c>
      <c r="R21" s="163" t="s">
        <v>769</v>
      </c>
    </row>
    <row r="22" spans="1:18" s="135" customFormat="1" x14ac:dyDescent="0.35">
      <c r="A22" s="417" t="s">
        <v>744</v>
      </c>
      <c r="B22" s="172" t="s">
        <v>742</v>
      </c>
      <c r="C22" s="165" t="s">
        <v>134</v>
      </c>
      <c r="D22" s="165" t="s">
        <v>132</v>
      </c>
      <c r="E22" s="166">
        <v>250</v>
      </c>
      <c r="F22" s="166">
        <v>250</v>
      </c>
      <c r="G22" s="167">
        <v>16.384821319018407</v>
      </c>
      <c r="H22" s="167">
        <v>3.2436032208588959</v>
      </c>
      <c r="I22" s="168">
        <f t="shared" ref="I22:J25" si="5">IFERROR(G22*ED_8*BR/AT_AC, "N/A")</f>
        <v>11.146136951713203</v>
      </c>
      <c r="J22" s="168">
        <f t="shared" si="5"/>
        <v>2.2065328033053713</v>
      </c>
      <c r="K22" s="168">
        <f t="shared" ref="K22:L25" si="6">IFERROR(G22*ED_8*IF(E22&gt;22,22,E22)*BR/(ED_intermediate*EF_intermediate),"N/A")</f>
        <v>8.1738337645896806</v>
      </c>
      <c r="L22" s="168">
        <f t="shared" si="6"/>
        <v>1.6181240557572725</v>
      </c>
      <c r="M22" s="168">
        <f>IFERROR(G22*ED_8*E22*WY_95th*BR/AT_95th_non_cancer, "N/A")</f>
        <v>7.6343403778857546</v>
      </c>
      <c r="N22" s="168">
        <f>IFERROR(H22*ED_8*F22*WY_50th*BR/AT_50th_non_cancer, "N/A")</f>
        <v>1.5113238378803913</v>
      </c>
      <c r="O22" s="168">
        <f>IFERROR(G22*ED_8*E22*WY_95th*BR/AT_cancer, "N/A")</f>
        <v>3.9150463476337203</v>
      </c>
      <c r="P22" s="167">
        <f>IFERROR(H22*ED_8*F22*WY_50th*BR/AT_cancer, "N/A")</f>
        <v>0.60065434582425803</v>
      </c>
      <c r="Q22" s="165">
        <v>27</v>
      </c>
      <c r="R22" s="170" t="s">
        <v>140</v>
      </c>
    </row>
    <row r="23" spans="1:18" s="135" customFormat="1" x14ac:dyDescent="0.35">
      <c r="A23" s="418"/>
      <c r="B23" s="148" t="s">
        <v>131</v>
      </c>
      <c r="C23" s="149" t="s">
        <v>63</v>
      </c>
      <c r="D23" s="149" t="s">
        <v>132</v>
      </c>
      <c r="E23" s="150">
        <v>250</v>
      </c>
      <c r="F23" s="150">
        <v>250</v>
      </c>
      <c r="G23" s="151">
        <f t="shared" ref="G23:H30" si="7">G6</f>
        <v>0.30328220858895705</v>
      </c>
      <c r="H23" s="151">
        <f t="shared" si="7"/>
        <v>0.30328220858895705</v>
      </c>
      <c r="I23" s="152">
        <f t="shared" si="5"/>
        <v>0.2063144276115354</v>
      </c>
      <c r="J23" s="152">
        <f t="shared" si="5"/>
        <v>0.2063144276115354</v>
      </c>
      <c r="K23" s="152">
        <f t="shared" si="6"/>
        <v>0.15129724691512597</v>
      </c>
      <c r="L23" s="152">
        <f t="shared" si="6"/>
        <v>0.15129724691512597</v>
      </c>
      <c r="M23" s="152">
        <f>IFERROR(G23*ED_8*E23*WY_95th*BR/AT_95th_non_cancer, "N/A")</f>
        <v>0.14131125178872286</v>
      </c>
      <c r="N23" s="152">
        <f>IFERROR(H23*ED_8*F23*WY_50th*BR/AT_50th_non_cancer, "N/A")</f>
        <v>0.14131125178872286</v>
      </c>
      <c r="O23" s="152">
        <f>IFERROR(G23*ED_8*E23*WY_95th*BR/AT_cancer, "N/A")</f>
        <v>7.2467308609601475E-2</v>
      </c>
      <c r="P23" s="151">
        <f>IFERROR(H23*ED_8*F23*WY_50th*BR/AT_cancer, "N/A")</f>
        <v>5.6162164172441138E-2</v>
      </c>
      <c r="Q23" s="153">
        <v>1</v>
      </c>
      <c r="R23" s="154" t="s">
        <v>133</v>
      </c>
    </row>
    <row r="24" spans="1:18" s="135" customFormat="1" x14ac:dyDescent="0.35">
      <c r="A24" s="418"/>
      <c r="B24" s="148" t="s">
        <v>739</v>
      </c>
      <c r="C24" s="149" t="s">
        <v>134</v>
      </c>
      <c r="D24" s="149" t="s">
        <v>132</v>
      </c>
      <c r="E24" s="150">
        <v>250</v>
      </c>
      <c r="F24" s="150">
        <v>250</v>
      </c>
      <c r="G24" s="151">
        <f t="shared" si="7"/>
        <v>9.705030674846622</v>
      </c>
      <c r="H24" s="151">
        <f t="shared" si="7"/>
        <v>2.9115092024539879</v>
      </c>
      <c r="I24" s="152">
        <f t="shared" si="5"/>
        <v>6.6020616835691301</v>
      </c>
      <c r="J24" s="152">
        <f t="shared" si="5"/>
        <v>1.9806185050707403</v>
      </c>
      <c r="K24" s="152">
        <f t="shared" si="6"/>
        <v>4.8415119012840284</v>
      </c>
      <c r="L24" s="152">
        <f t="shared" si="6"/>
        <v>1.4524535703852093</v>
      </c>
      <c r="M24" s="152">
        <f>IFERROR(G24*ED_8*E24*WY_95th*BR/AT_95th_non_cancer, "N/A")</f>
        <v>4.5219600572391316</v>
      </c>
      <c r="N24" s="152">
        <f>IFERROR(H24*ED_8*F24*WY_50th*BR/AT_50th_non_cancer, "N/A")</f>
        <v>1.3565880171717399</v>
      </c>
      <c r="O24" s="152">
        <f>IFERROR(G24*ED_8*E24*WY_95th*BR/AT_cancer, "N/A")</f>
        <v>2.3189538755072467</v>
      </c>
      <c r="P24" s="151">
        <f>IFERROR(H24*ED_8*F24*WY_50th*BR/AT_cancer, "N/A")</f>
        <v>0.53915677605543511</v>
      </c>
      <c r="Q24" s="153">
        <v>17</v>
      </c>
      <c r="R24" s="154" t="s">
        <v>766</v>
      </c>
    </row>
    <row r="25" spans="1:18" s="135" customFormat="1" ht="31" x14ac:dyDescent="0.35">
      <c r="A25" s="418"/>
      <c r="B25" s="155" t="s">
        <v>135</v>
      </c>
      <c r="C25" s="149" t="s">
        <v>134</v>
      </c>
      <c r="D25" s="149" t="s">
        <v>132</v>
      </c>
      <c r="E25" s="150">
        <v>250</v>
      </c>
      <c r="F25" s="150">
        <v>250</v>
      </c>
      <c r="G25" s="151">
        <f t="shared" si="7"/>
        <v>46.705460122699385</v>
      </c>
      <c r="H25" s="151">
        <f t="shared" si="7"/>
        <v>0.24262576687116569</v>
      </c>
      <c r="I25" s="152">
        <f t="shared" si="5"/>
        <v>31.772421852176453</v>
      </c>
      <c r="J25" s="152">
        <f t="shared" si="5"/>
        <v>0.16505154208922837</v>
      </c>
      <c r="K25" s="152">
        <f t="shared" si="6"/>
        <v>23.2997760249294</v>
      </c>
      <c r="L25" s="152">
        <f t="shared" si="6"/>
        <v>0.1210377975321008</v>
      </c>
      <c r="M25" s="152">
        <f>IFERROR(G25*ED_8*E25*WY_95th*BR/AT_95th_non_cancer, "N/A")</f>
        <v>21.761932775463325</v>
      </c>
      <c r="N25" s="152">
        <f>IFERROR(H25*ED_8*F25*WY_50th*BR/AT_50th_non_cancer, "N/A")</f>
        <v>0.11304900143097833</v>
      </c>
      <c r="O25" s="152">
        <f>IFERROR(G25*ED_8*E25*WY_95th*BR/AT_cancer, "N/A")</f>
        <v>11.159965525878627</v>
      </c>
      <c r="P25" s="151">
        <f>IFERROR(H25*ED_8*F25*WY_50th*BR/AT_cancer, "N/A")</f>
        <v>4.4929731337952923E-2</v>
      </c>
      <c r="Q25" s="150">
        <v>3</v>
      </c>
      <c r="R25" s="154" t="s">
        <v>764</v>
      </c>
    </row>
    <row r="26" spans="1:18" s="135" customFormat="1" x14ac:dyDescent="0.35">
      <c r="A26" s="418"/>
      <c r="B26" s="148" t="s">
        <v>136</v>
      </c>
      <c r="C26" s="149" t="s">
        <v>134</v>
      </c>
      <c r="D26" s="149" t="s">
        <v>137</v>
      </c>
      <c r="E26" s="150">
        <v>250</v>
      </c>
      <c r="F26" s="150">
        <v>250</v>
      </c>
      <c r="G26" s="151">
        <f t="shared" si="7"/>
        <v>3.42361806066803</v>
      </c>
      <c r="H26" s="151">
        <f t="shared" si="7"/>
        <v>0.33305441206543968</v>
      </c>
      <c r="I26" s="156">
        <f>IFERROR(G26*ED_12*BR/AT_AC, "N/A")</f>
        <v>3.493487817008194</v>
      </c>
      <c r="J26" s="156">
        <f>IFERROR(H26*ED_12*BR/AT_AC, "N/A")</f>
        <v>0.33985144088310171</v>
      </c>
      <c r="K26" s="156">
        <f>IFERROR(G26*ED_12*IF(E26&gt;22,22,E26)*BR/(ED_intermediate*EF_intermediate),"N/A")</f>
        <v>2.5618910658060092</v>
      </c>
      <c r="L26" s="156">
        <f>IFERROR(H26*ED_12*IF(F26&gt;22,22,F26)*BR/(ED_intermediate*EF_intermediate),"N/A")</f>
        <v>0.24922438998094121</v>
      </c>
      <c r="M26" s="156">
        <f>IFERROR(G26*ED_12*E26*WY_95th*BR/AT_95th_non_cancer, "N/A")</f>
        <v>2.3927998746631469</v>
      </c>
      <c r="N26" s="156">
        <f>IFERROR(H26*ED_12*F26*WY_50th*BR/AT_50th_non_cancer, "N/A")</f>
        <v>0.23277495950897376</v>
      </c>
      <c r="O26" s="156">
        <f>IFERROR(G26*ED_12*E26*WY_95th*BR/AT_cancer, "N/A")</f>
        <v>1.2270768588016137</v>
      </c>
      <c r="P26" s="157">
        <f>IFERROR(H26*ED_12*F26*WY_50th*BR/AT_cancer, "N/A")</f>
        <v>9.2513124933053664E-2</v>
      </c>
      <c r="Q26" s="153">
        <v>11</v>
      </c>
      <c r="R26" s="154" t="s">
        <v>765</v>
      </c>
    </row>
    <row r="27" spans="1:18" s="135" customFormat="1" x14ac:dyDescent="0.35">
      <c r="A27" s="418"/>
      <c r="B27" s="148" t="s">
        <v>737</v>
      </c>
      <c r="C27" s="149" t="s">
        <v>134</v>
      </c>
      <c r="D27" s="149" t="s">
        <v>132</v>
      </c>
      <c r="E27" s="150">
        <v>250</v>
      </c>
      <c r="F27" s="150">
        <v>250</v>
      </c>
      <c r="G27" s="151">
        <f t="shared" si="7"/>
        <v>0.15770674846625768</v>
      </c>
      <c r="H27" s="151">
        <f t="shared" si="7"/>
        <v>0.15770674846625768</v>
      </c>
      <c r="I27" s="152">
        <f>IFERROR(G27*ED_8*BR/AT_AC, "N/A")</f>
        <v>0.10728350235799843</v>
      </c>
      <c r="J27" s="152">
        <f>IFERROR(H27*ED_8*BR/AT_AC, "N/A")</f>
        <v>0.10728350235799843</v>
      </c>
      <c r="K27" s="152">
        <f>IFERROR(G27*ED_8*IF(E27&gt;22,22,E27)*BR/(ED_intermediate*EF_intermediate),"N/A")</f>
        <v>7.8674568395865521E-2</v>
      </c>
      <c r="L27" s="152">
        <f>IFERROR(H27*ED_8*IF(F27&gt;22,22,F27)*BR/(ED_intermediate*EF_intermediate),"N/A")</f>
        <v>7.8674568395865521E-2</v>
      </c>
      <c r="M27" s="152">
        <f>IFERROR(G27*ED_8*E27*WY_95th*BR/AT_95th_non_cancer, "N/A")</f>
        <v>7.3481850930135914E-2</v>
      </c>
      <c r="N27" s="152">
        <f>IFERROR(H27*ED_8*F27*WY_50th*BR/AT_50th_non_cancer, "N/A")</f>
        <v>7.3481850930135928E-2</v>
      </c>
      <c r="O27" s="152">
        <f>IFERROR(G27*ED_8*E27*WY_95th*BR/AT_cancer, "N/A")</f>
        <v>3.768300047699278E-2</v>
      </c>
      <c r="P27" s="151">
        <f>IFERROR(H27*ED_8*F27*WY_50th*BR/AT_cancer, "N/A")</f>
        <v>2.9204325369669406E-2</v>
      </c>
      <c r="Q27" s="153">
        <v>1</v>
      </c>
      <c r="R27" s="154" t="s">
        <v>738</v>
      </c>
    </row>
    <row r="28" spans="1:18" s="135" customFormat="1" x14ac:dyDescent="0.35">
      <c r="A28" s="418"/>
      <c r="B28" s="155" t="s">
        <v>740</v>
      </c>
      <c r="C28" s="149" t="s">
        <v>134</v>
      </c>
      <c r="D28" s="149" t="s">
        <v>132</v>
      </c>
      <c r="E28" s="150">
        <v>250</v>
      </c>
      <c r="F28" s="150">
        <v>250</v>
      </c>
      <c r="G28" s="151">
        <f t="shared" si="7"/>
        <v>8.0491603629856723</v>
      </c>
      <c r="H28" s="151">
        <f t="shared" si="7"/>
        <v>0.51065141871165642</v>
      </c>
      <c r="I28" s="152">
        <f>IFERROR(G28*ED_8*BR/AT_AC, "N/A")</f>
        <v>5.4756192945480757</v>
      </c>
      <c r="J28" s="152">
        <f>IFERROR(H28*ED_8*BR/AT_AC, "N/A")</f>
        <v>0.34738191749092273</v>
      </c>
      <c r="K28" s="152">
        <f>IFERROR(G28*ED_8*IF(E28&gt;22,22,E28)*BR/(ED_intermediate*EF_intermediate),"N/A")</f>
        <v>4.0154541493352562</v>
      </c>
      <c r="L28" s="152">
        <f>IFERROR(H28*ED_8*IF(F28&gt;22,22,F28)*BR/(ED_intermediate*EF_intermediate),"N/A")</f>
        <v>0.25474673949334331</v>
      </c>
      <c r="M28" s="152">
        <f>IFERROR(G28*ED_8*E28*WY_95th*BR/AT_95th_non_cancer, "N/A")</f>
        <v>3.7504241743479976</v>
      </c>
      <c r="N28" s="152">
        <f>IFERROR(H28*ED_8*F28*WY_50th*BR/AT_50th_non_cancer, "N/A")</f>
        <v>0.23793282019926215</v>
      </c>
      <c r="O28" s="152">
        <f>IFERROR(G28*ED_8*E28*WY_95th*BR/AT_cancer, "N/A")</f>
        <v>1.9232944483835885</v>
      </c>
      <c r="P28" s="151">
        <f>IFERROR(H28*ED_8*F28*WY_50th*BR/AT_cancer, "N/A")</f>
        <v>9.4563043925347784E-2</v>
      </c>
      <c r="Q28" s="153">
        <v>24</v>
      </c>
      <c r="R28" s="154" t="s">
        <v>767</v>
      </c>
    </row>
    <row r="29" spans="1:18" s="135" customFormat="1" x14ac:dyDescent="0.35">
      <c r="A29" s="418"/>
      <c r="B29" s="155" t="s">
        <v>741</v>
      </c>
      <c r="C29" s="149" t="s">
        <v>134</v>
      </c>
      <c r="D29" s="149" t="s">
        <v>139</v>
      </c>
      <c r="E29" s="150">
        <v>250</v>
      </c>
      <c r="F29" s="150">
        <v>250</v>
      </c>
      <c r="G29" s="151">
        <f>G12</f>
        <v>2.1351067484662578</v>
      </c>
      <c r="H29" s="151">
        <f>H12</f>
        <v>0.91227288343558299</v>
      </c>
      <c r="I29" s="152">
        <f>IFERROR(G29*ED_10*BR/AT_AC, "N/A")</f>
        <v>1.8155669629815119</v>
      </c>
      <c r="J29" s="151">
        <f>IFERROR(H29*ED_10*BR/AT_AC, "N/A")</f>
        <v>0.77574224781937329</v>
      </c>
      <c r="K29" s="152">
        <f>IFERROR(G29*ED_10*IF(E29&gt;22,22,E29)*BR/(ED_intermediate*EF_intermediate),"N/A")</f>
        <v>1.3314157728531089</v>
      </c>
      <c r="L29" s="152">
        <f>IFERROR(H29*ED_10*IF(F29&gt;22,22,F29)*BR/(ED_intermediate*EF_intermediate),"N/A")</f>
        <v>0.56887764840087374</v>
      </c>
      <c r="M29" s="152">
        <f>IFERROR(G29*ED_10*E29*WY_95th*BR/AT_95th_non_cancer, "N/A")</f>
        <v>1.2435390157407615</v>
      </c>
      <c r="N29" s="152">
        <f>IFERROR(H29*ED_10*F29*WY_50th*BR/AT_50th_non_cancer, "N/A")</f>
        <v>0.53133030672559811</v>
      </c>
      <c r="O29" s="152">
        <f>IFERROR(G29*ED_10*E29*WY_95th*BR/AT_cancer, "N/A")</f>
        <v>0.63771231576449317</v>
      </c>
      <c r="P29" s="151">
        <f>IFERROR(H29*ED_10*F29*WY_50th*BR/AT_cancer, "N/A")</f>
        <v>0.21116973728837873</v>
      </c>
      <c r="Q29" s="153">
        <v>5</v>
      </c>
      <c r="R29" s="154" t="s">
        <v>768</v>
      </c>
    </row>
    <row r="30" spans="1:18" s="135" customFormat="1" ht="16" thickBot="1" x14ac:dyDescent="0.4">
      <c r="A30" s="419"/>
      <c r="B30" s="158" t="s">
        <v>740</v>
      </c>
      <c r="C30" s="159" t="s">
        <v>134</v>
      </c>
      <c r="D30" s="159" t="s">
        <v>137</v>
      </c>
      <c r="E30" s="160">
        <v>250</v>
      </c>
      <c r="F30" s="160">
        <v>250</v>
      </c>
      <c r="G30" s="161">
        <f t="shared" si="7"/>
        <v>1.8801003278800263</v>
      </c>
      <c r="H30" s="161">
        <f t="shared" si="7"/>
        <v>0.18459777096114521</v>
      </c>
      <c r="I30" s="162">
        <f>IFERROR(G30*ED_12*BR/AT_AC, "N/A")</f>
        <v>1.9184697223265577</v>
      </c>
      <c r="J30" s="162">
        <f>IFERROR(H30*ED_12*BR/AT_AC, "N/A")</f>
        <v>0.18836507240933184</v>
      </c>
      <c r="K30" s="162">
        <f>IFERROR(G30*ED_12*IF(E30&gt;22,22,E30)*BR/(ED_intermediate*EF_intermediate),"N/A")</f>
        <v>1.406877796372809</v>
      </c>
      <c r="L30" s="162">
        <f>IFERROR(H30*ED_12*IF(F30&gt;22,22,F30)*BR/(ED_intermediate*EF_intermediate),"N/A")</f>
        <v>0.13813438643351003</v>
      </c>
      <c r="M30" s="162">
        <f>IFERROR(G30*ED_12*E30*WY_95th*BR/AT_95th_non_cancer, "N/A")</f>
        <v>1.3140203577579164</v>
      </c>
      <c r="N30" s="162">
        <f>IFERROR(H30*ED_12*F30*WY_50th*BR/AT_50th_non_cancer, "N/A")</f>
        <v>0.12901717288310399</v>
      </c>
      <c r="O30" s="162">
        <f>IFERROR(G30*ED_12*E30*WY_95th*BR/AT_cancer, "N/A")</f>
        <v>0.67385659372200846</v>
      </c>
      <c r="P30" s="161">
        <f>IFERROR(H30*ED_12*F30*WY_50th*BR/AT_cancer, "N/A")</f>
        <v>5.1276055889438767E-2</v>
      </c>
      <c r="Q30" s="171">
        <v>8</v>
      </c>
      <c r="R30" s="163" t="s">
        <v>769</v>
      </c>
    </row>
    <row r="31" spans="1:18" s="135" customFormat="1" x14ac:dyDescent="0.35">
      <c r="A31" s="417" t="s">
        <v>745</v>
      </c>
      <c r="B31" s="164" t="s">
        <v>131</v>
      </c>
      <c r="C31" s="165" t="s">
        <v>63</v>
      </c>
      <c r="D31" s="165" t="s">
        <v>132</v>
      </c>
      <c r="E31" s="166">
        <v>250</v>
      </c>
      <c r="F31" s="166">
        <v>250</v>
      </c>
      <c r="G31" s="167">
        <f t="shared" ref="G31:H38" si="8">G6</f>
        <v>0.30328220858895705</v>
      </c>
      <c r="H31" s="167">
        <f t="shared" si="8"/>
        <v>0.30328220858895705</v>
      </c>
      <c r="I31" s="168">
        <f t="shared" ref="I31:J33" si="9">IFERROR(G31*ED_8*BR/AT_AC, "N/A")</f>
        <v>0.2063144276115354</v>
      </c>
      <c r="J31" s="168">
        <f t="shared" si="9"/>
        <v>0.2063144276115354</v>
      </c>
      <c r="K31" s="168">
        <f t="shared" ref="K31:L33" si="10">IFERROR(G31*ED_8*IF(E31&gt;22,22,E31)*BR/(ED_intermediate*EF_intermediate),"N/A")</f>
        <v>0.15129724691512597</v>
      </c>
      <c r="L31" s="168">
        <f t="shared" si="10"/>
        <v>0.15129724691512597</v>
      </c>
      <c r="M31" s="168">
        <f>IFERROR(G31*ED_8*E31*WY_95th*BR/AT_95th_non_cancer, "N/A")</f>
        <v>0.14131125178872286</v>
      </c>
      <c r="N31" s="168">
        <f>IFERROR(H31*ED_8*F31*WY_50th*BR/AT_50th_non_cancer, "N/A")</f>
        <v>0.14131125178872286</v>
      </c>
      <c r="O31" s="168">
        <f>IFERROR(G31*ED_8*E31*WY_95th*BR/AT_cancer, "N/A")</f>
        <v>7.2467308609601475E-2</v>
      </c>
      <c r="P31" s="167">
        <f>IFERROR(H31*ED_8*F31*WY_50th*BR/AT_cancer, "N/A")</f>
        <v>5.6162164172441138E-2</v>
      </c>
      <c r="Q31" s="169">
        <v>1</v>
      </c>
      <c r="R31" s="170" t="s">
        <v>133</v>
      </c>
    </row>
    <row r="32" spans="1:18" s="135" customFormat="1" x14ac:dyDescent="0.35">
      <c r="A32" s="418"/>
      <c r="B32" s="148" t="s">
        <v>739</v>
      </c>
      <c r="C32" s="149" t="s">
        <v>134</v>
      </c>
      <c r="D32" s="149" t="s">
        <v>132</v>
      </c>
      <c r="E32" s="150">
        <v>250</v>
      </c>
      <c r="F32" s="150">
        <v>250</v>
      </c>
      <c r="G32" s="151">
        <f t="shared" si="8"/>
        <v>9.705030674846622</v>
      </c>
      <c r="H32" s="151">
        <f t="shared" si="8"/>
        <v>2.9115092024539879</v>
      </c>
      <c r="I32" s="152">
        <f t="shared" si="9"/>
        <v>6.6020616835691301</v>
      </c>
      <c r="J32" s="152">
        <f t="shared" si="9"/>
        <v>1.9806185050707403</v>
      </c>
      <c r="K32" s="152">
        <f t="shared" si="10"/>
        <v>4.8415119012840284</v>
      </c>
      <c r="L32" s="152">
        <f t="shared" si="10"/>
        <v>1.4524535703852093</v>
      </c>
      <c r="M32" s="152">
        <f>IFERROR(G32*ED_8*E32*WY_95th*BR/AT_95th_non_cancer, "N/A")</f>
        <v>4.5219600572391316</v>
      </c>
      <c r="N32" s="152">
        <f>IFERROR(H32*ED_8*F32*WY_50th*BR/AT_50th_non_cancer, "N/A")</f>
        <v>1.3565880171717399</v>
      </c>
      <c r="O32" s="152">
        <f>IFERROR(G32*ED_8*E32*WY_95th*BR/AT_cancer, "N/A")</f>
        <v>2.3189538755072467</v>
      </c>
      <c r="P32" s="151">
        <f>IFERROR(H32*ED_8*F32*WY_50th*BR/AT_cancer, "N/A")</f>
        <v>0.53915677605543511</v>
      </c>
      <c r="Q32" s="153">
        <v>17</v>
      </c>
      <c r="R32" s="154" t="s">
        <v>766</v>
      </c>
    </row>
    <row r="33" spans="1:18" s="135" customFormat="1" ht="31" x14ac:dyDescent="0.35">
      <c r="A33" s="418"/>
      <c r="B33" s="155" t="s">
        <v>135</v>
      </c>
      <c r="C33" s="149" t="s">
        <v>134</v>
      </c>
      <c r="D33" s="149" t="s">
        <v>132</v>
      </c>
      <c r="E33" s="150">
        <v>250</v>
      </c>
      <c r="F33" s="150">
        <v>250</v>
      </c>
      <c r="G33" s="151">
        <f t="shared" si="8"/>
        <v>46.705460122699385</v>
      </c>
      <c r="H33" s="151">
        <f t="shared" si="8"/>
        <v>0.24262576687116569</v>
      </c>
      <c r="I33" s="152">
        <f t="shared" si="9"/>
        <v>31.772421852176453</v>
      </c>
      <c r="J33" s="152">
        <f t="shared" si="9"/>
        <v>0.16505154208922837</v>
      </c>
      <c r="K33" s="152">
        <f t="shared" si="10"/>
        <v>23.2997760249294</v>
      </c>
      <c r="L33" s="152">
        <f t="shared" si="10"/>
        <v>0.1210377975321008</v>
      </c>
      <c r="M33" s="152">
        <f>IFERROR(G33*ED_8*E33*WY_95th*BR/AT_95th_non_cancer, "N/A")</f>
        <v>21.761932775463325</v>
      </c>
      <c r="N33" s="152">
        <f>IFERROR(H33*ED_8*F33*WY_50th*BR/AT_50th_non_cancer, "N/A")</f>
        <v>0.11304900143097833</v>
      </c>
      <c r="O33" s="152">
        <f>IFERROR(G33*ED_8*E33*WY_95th*BR/AT_cancer, "N/A")</f>
        <v>11.159965525878627</v>
      </c>
      <c r="P33" s="151">
        <f>IFERROR(H33*ED_8*F33*WY_50th*BR/AT_cancer, "N/A")</f>
        <v>4.4929731337952923E-2</v>
      </c>
      <c r="Q33" s="150">
        <v>3</v>
      </c>
      <c r="R33" s="154" t="s">
        <v>764</v>
      </c>
    </row>
    <row r="34" spans="1:18" s="135" customFormat="1" x14ac:dyDescent="0.35">
      <c r="A34" s="418"/>
      <c r="B34" s="148" t="s">
        <v>136</v>
      </c>
      <c r="C34" s="149" t="s">
        <v>134</v>
      </c>
      <c r="D34" s="149" t="s">
        <v>137</v>
      </c>
      <c r="E34" s="150">
        <v>250</v>
      </c>
      <c r="F34" s="150">
        <v>250</v>
      </c>
      <c r="G34" s="151">
        <f t="shared" si="8"/>
        <v>3.42361806066803</v>
      </c>
      <c r="H34" s="151">
        <f t="shared" si="8"/>
        <v>0.33305441206543968</v>
      </c>
      <c r="I34" s="156">
        <f>IFERROR(G34*ED_12*BR/AT_AC, "N/A")</f>
        <v>3.493487817008194</v>
      </c>
      <c r="J34" s="156">
        <f>IFERROR(H34*ED_12*BR/AT_AC, "N/A")</f>
        <v>0.33985144088310171</v>
      </c>
      <c r="K34" s="156">
        <f>IFERROR(G34*ED_12*IF(E34&gt;22,22,E34)*BR/(ED_intermediate*EF_intermediate),"N/A")</f>
        <v>2.5618910658060092</v>
      </c>
      <c r="L34" s="156">
        <f>IFERROR(H34*ED_12*IF(F34&gt;22,22,F34)*BR/(ED_intermediate*EF_intermediate),"N/A")</f>
        <v>0.24922438998094121</v>
      </c>
      <c r="M34" s="156">
        <f>IFERROR(G34*ED_12*E34*WY_95th*BR/AT_95th_non_cancer, "N/A")</f>
        <v>2.3927998746631469</v>
      </c>
      <c r="N34" s="156">
        <f>IFERROR(H34*ED_12*F34*WY_50th*BR/AT_50th_non_cancer, "N/A")</f>
        <v>0.23277495950897376</v>
      </c>
      <c r="O34" s="156">
        <f>IFERROR(G34*ED_12*E34*WY_95th*BR/AT_cancer, "N/A")</f>
        <v>1.2270768588016137</v>
      </c>
      <c r="P34" s="157">
        <f>IFERROR(H34*ED_12*F34*WY_50th*BR/AT_cancer, "N/A")</f>
        <v>9.2513124933053664E-2</v>
      </c>
      <c r="Q34" s="153">
        <v>11</v>
      </c>
      <c r="R34" s="154" t="s">
        <v>765</v>
      </c>
    </row>
    <row r="35" spans="1:18" s="135" customFormat="1" x14ac:dyDescent="0.35">
      <c r="A35" s="418"/>
      <c r="B35" s="148" t="s">
        <v>737</v>
      </c>
      <c r="C35" s="149" t="s">
        <v>134</v>
      </c>
      <c r="D35" s="149" t="s">
        <v>132</v>
      </c>
      <c r="E35" s="150">
        <v>250</v>
      </c>
      <c r="F35" s="150">
        <v>250</v>
      </c>
      <c r="G35" s="151">
        <f t="shared" si="8"/>
        <v>0.15770674846625768</v>
      </c>
      <c r="H35" s="151">
        <f t="shared" si="8"/>
        <v>0.15770674846625768</v>
      </c>
      <c r="I35" s="152">
        <f>IFERROR(G35*ED_8*BR/AT_AC, "N/A")</f>
        <v>0.10728350235799843</v>
      </c>
      <c r="J35" s="152">
        <f>IFERROR(H35*ED_8*BR/AT_AC, "N/A")</f>
        <v>0.10728350235799843</v>
      </c>
      <c r="K35" s="152">
        <f>IFERROR(G35*ED_8*IF(E35&gt;22,22,E35)*BR/(ED_intermediate*EF_intermediate),"N/A")</f>
        <v>7.8674568395865521E-2</v>
      </c>
      <c r="L35" s="152">
        <f>IFERROR(H35*ED_8*IF(F35&gt;22,22,F35)*BR/(ED_intermediate*EF_intermediate),"N/A")</f>
        <v>7.8674568395865521E-2</v>
      </c>
      <c r="M35" s="152">
        <f>IFERROR(G35*ED_8*E35*WY_95th*BR/AT_95th_non_cancer, "N/A")</f>
        <v>7.3481850930135914E-2</v>
      </c>
      <c r="N35" s="152">
        <f>IFERROR(H35*ED_8*F35*WY_50th*BR/AT_50th_non_cancer, "N/A")</f>
        <v>7.3481850930135928E-2</v>
      </c>
      <c r="O35" s="152">
        <f>IFERROR(G35*ED_8*E35*WY_95th*BR/AT_cancer, "N/A")</f>
        <v>3.768300047699278E-2</v>
      </c>
      <c r="P35" s="151">
        <f>IFERROR(H35*ED_8*F35*WY_50th*BR/AT_cancer, "N/A")</f>
        <v>2.9204325369669406E-2</v>
      </c>
      <c r="Q35" s="153">
        <v>1</v>
      </c>
      <c r="R35" s="154" t="s">
        <v>738</v>
      </c>
    </row>
    <row r="36" spans="1:18" s="135" customFormat="1" x14ac:dyDescent="0.35">
      <c r="A36" s="418"/>
      <c r="B36" s="155" t="s">
        <v>740</v>
      </c>
      <c r="C36" s="149" t="s">
        <v>134</v>
      </c>
      <c r="D36" s="149" t="s">
        <v>132</v>
      </c>
      <c r="E36" s="150">
        <v>250</v>
      </c>
      <c r="F36" s="150">
        <v>250</v>
      </c>
      <c r="G36" s="151">
        <f t="shared" si="8"/>
        <v>8.0491603629856723</v>
      </c>
      <c r="H36" s="151">
        <f t="shared" si="8"/>
        <v>0.51065141871165642</v>
      </c>
      <c r="I36" s="152">
        <f>IFERROR(G36*ED_8*BR/AT_AC, "N/A")</f>
        <v>5.4756192945480757</v>
      </c>
      <c r="J36" s="152">
        <f>IFERROR(H36*ED_8*BR/AT_AC, "N/A")</f>
        <v>0.34738191749092273</v>
      </c>
      <c r="K36" s="152">
        <f>IFERROR(G36*ED_8*IF(E36&gt;22,22,E36)*BR/(ED_intermediate*EF_intermediate),"N/A")</f>
        <v>4.0154541493352562</v>
      </c>
      <c r="L36" s="152">
        <f>IFERROR(H36*ED_8*IF(F36&gt;22,22,F36)*BR/(ED_intermediate*EF_intermediate),"N/A")</f>
        <v>0.25474673949334331</v>
      </c>
      <c r="M36" s="152">
        <f>IFERROR(G36*ED_8*E36*WY_95th*BR/AT_95th_non_cancer, "N/A")</f>
        <v>3.7504241743479976</v>
      </c>
      <c r="N36" s="152">
        <f>IFERROR(H36*ED_8*F36*WY_50th*BR/AT_50th_non_cancer, "N/A")</f>
        <v>0.23793282019926215</v>
      </c>
      <c r="O36" s="152">
        <f>IFERROR(G36*ED_8*E36*WY_95th*BR/AT_cancer, "N/A")</f>
        <v>1.9232944483835885</v>
      </c>
      <c r="P36" s="151">
        <f>IFERROR(H36*ED_8*F36*WY_50th*BR/AT_cancer, "N/A")</f>
        <v>9.4563043925347784E-2</v>
      </c>
      <c r="Q36" s="153">
        <v>24</v>
      </c>
      <c r="R36" s="154" t="s">
        <v>767</v>
      </c>
    </row>
    <row r="37" spans="1:18" s="135" customFormat="1" x14ac:dyDescent="0.35">
      <c r="A37" s="418"/>
      <c r="B37" s="155" t="s">
        <v>741</v>
      </c>
      <c r="C37" s="149" t="s">
        <v>134</v>
      </c>
      <c r="D37" s="149" t="s">
        <v>139</v>
      </c>
      <c r="E37" s="150">
        <v>250</v>
      </c>
      <c r="F37" s="150">
        <v>250</v>
      </c>
      <c r="G37" s="151">
        <f>G12</f>
        <v>2.1351067484662578</v>
      </c>
      <c r="H37" s="151">
        <f>H12</f>
        <v>0.91227288343558299</v>
      </c>
      <c r="I37" s="152">
        <f>IFERROR(G37*ED_10*BR/AT_AC, "N/A")</f>
        <v>1.8155669629815119</v>
      </c>
      <c r="J37" s="151">
        <f>IFERROR(H37*ED_10*BR/AT_AC, "N/A")</f>
        <v>0.77574224781937329</v>
      </c>
      <c r="K37" s="152">
        <f>IFERROR(G37*ED_10*IF(E37&gt;22,22,E37)*BR/(ED_intermediate*EF_intermediate),"N/A")</f>
        <v>1.3314157728531089</v>
      </c>
      <c r="L37" s="152">
        <f>IFERROR(H37*ED_10*IF(F37&gt;22,22,F37)*BR/(ED_intermediate*EF_intermediate),"N/A")</f>
        <v>0.56887764840087374</v>
      </c>
      <c r="M37" s="152">
        <f>IFERROR(G37*ED_10*E37*WY_95th*BR/AT_95th_non_cancer, "N/A")</f>
        <v>1.2435390157407615</v>
      </c>
      <c r="N37" s="152">
        <f>IFERROR(H37*ED_10*F37*WY_50th*BR/AT_50th_non_cancer, "N/A")</f>
        <v>0.53133030672559811</v>
      </c>
      <c r="O37" s="152">
        <f>IFERROR(G37*ED_10*E37*WY_95th*BR/AT_cancer, "N/A")</f>
        <v>0.63771231576449317</v>
      </c>
      <c r="P37" s="151">
        <f>IFERROR(H37*ED_10*F37*WY_50th*BR/AT_cancer, "N/A")</f>
        <v>0.21116973728837873</v>
      </c>
      <c r="Q37" s="153">
        <v>5</v>
      </c>
      <c r="R37" s="154" t="s">
        <v>768</v>
      </c>
    </row>
    <row r="38" spans="1:18" s="135" customFormat="1" ht="16" thickBot="1" x14ac:dyDescent="0.4">
      <c r="A38" s="419"/>
      <c r="B38" s="158" t="s">
        <v>740</v>
      </c>
      <c r="C38" s="159" t="s">
        <v>134</v>
      </c>
      <c r="D38" s="159" t="s">
        <v>137</v>
      </c>
      <c r="E38" s="160">
        <v>250</v>
      </c>
      <c r="F38" s="160">
        <v>250</v>
      </c>
      <c r="G38" s="161">
        <f t="shared" si="8"/>
        <v>1.8801003278800263</v>
      </c>
      <c r="H38" s="161">
        <f t="shared" si="8"/>
        <v>0.18459777096114521</v>
      </c>
      <c r="I38" s="162">
        <f>IFERROR(G38*ED_12*BR/AT_AC, "N/A")</f>
        <v>1.9184697223265577</v>
      </c>
      <c r="J38" s="162">
        <f>IFERROR(H38*ED_12*BR/AT_AC, "N/A")</f>
        <v>0.18836507240933184</v>
      </c>
      <c r="K38" s="162">
        <f>IFERROR(G38*ED_12*IF(E38&gt;22,22,E38)*BR/(ED_intermediate*EF_intermediate),"N/A")</f>
        <v>1.406877796372809</v>
      </c>
      <c r="L38" s="162">
        <f>IFERROR(H38*ED_12*IF(F38&gt;22,22,F38)*BR/(ED_intermediate*EF_intermediate),"N/A")</f>
        <v>0.13813438643351003</v>
      </c>
      <c r="M38" s="162">
        <f>IFERROR(G38*ED_12*E38*WY_95th*BR/AT_95th_non_cancer, "N/A")</f>
        <v>1.3140203577579164</v>
      </c>
      <c r="N38" s="162">
        <f>IFERROR(H38*ED_12*F38*WY_50th*BR/AT_50th_non_cancer, "N/A")</f>
        <v>0.12901717288310399</v>
      </c>
      <c r="O38" s="162">
        <f>IFERROR(G38*ED_12*E38*WY_95th*BR/AT_cancer, "N/A")</f>
        <v>0.67385659372200846</v>
      </c>
      <c r="P38" s="161">
        <f>IFERROR(H38*ED_12*F38*WY_50th*BR/AT_cancer, "N/A")</f>
        <v>5.1276055889438767E-2</v>
      </c>
      <c r="Q38" s="171">
        <v>8</v>
      </c>
      <c r="R38" s="163" t="s">
        <v>769</v>
      </c>
    </row>
    <row r="39" spans="1:18" s="135" customFormat="1" x14ac:dyDescent="0.35">
      <c r="A39" s="417" t="s">
        <v>733</v>
      </c>
      <c r="B39" s="173" t="s">
        <v>134</v>
      </c>
      <c r="C39" s="165" t="s">
        <v>134</v>
      </c>
      <c r="D39" s="165" t="s">
        <v>132</v>
      </c>
      <c r="E39" s="166">
        <v>1</v>
      </c>
      <c r="F39" s="166">
        <v>1</v>
      </c>
      <c r="G39" s="167">
        <f>'Spray App. of Paints Coatings'!$E$13</f>
        <v>11.051249999999975</v>
      </c>
      <c r="H39" s="167">
        <f>'Spray App. of Paints Coatings'!$D$13</f>
        <v>0.59265000000000001</v>
      </c>
      <c r="I39" s="168">
        <f t="shared" ref="I39:I47" si="11">IFERROR(G39*ED_8*BR/AT_AC, "N/A")</f>
        <v>7.5178571428571255</v>
      </c>
      <c r="J39" s="168">
        <f t="shared" ref="J39:J47" si="12">IFERROR(H39*ED_8*BR/AT_AC, "N/A")</f>
        <v>0.40316326530612251</v>
      </c>
      <c r="K39" s="168">
        <f t="shared" ref="K39:K47" si="13">IFERROR(G39*ED_8*IF(E39&gt;22,22,E39)*BR/(ED_intermediate*EF_intermediate),"N/A")</f>
        <v>0.25059523809523754</v>
      </c>
      <c r="L39" s="168">
        <f t="shared" ref="L39:L47" si="14">IFERROR(H39*ED_8*IF(F39&gt;22,22,F39)*BR/(ED_intermediate*EF_intermediate),"N/A")</f>
        <v>1.3438775510204084E-2</v>
      </c>
      <c r="M39" s="168">
        <f t="shared" ref="M39:M47" si="15">IFERROR(G39*ED_8*E39*WY_95th*BR/AT_95th_non_cancer, "N/A")</f>
        <v>2.059686888454007E-2</v>
      </c>
      <c r="N39" s="168">
        <f t="shared" ref="N39:N47" si="16">IFERROR(H39*ED_8*F39*WY_50th*BR/AT_50th_non_cancer, "N/A")</f>
        <v>1.1045568912496507E-3</v>
      </c>
      <c r="O39" s="168">
        <f t="shared" ref="O39:O47" si="17">IFERROR(G39*ED_8*E39*WY_95th*BR/AT_cancer, "N/A")</f>
        <v>1.0562496863866703E-2</v>
      </c>
      <c r="P39" s="167">
        <f t="shared" ref="P39:P47" si="18">IFERROR(H39*ED_8*F39*WY_50th*BR/AT_cancer, "N/A")</f>
        <v>4.3899055934280991E-4</v>
      </c>
      <c r="Q39" s="165">
        <v>0</v>
      </c>
      <c r="R39" s="170" t="s">
        <v>141</v>
      </c>
    </row>
    <row r="40" spans="1:18" s="135" customFormat="1" x14ac:dyDescent="0.35">
      <c r="A40" s="418"/>
      <c r="B40" s="174" t="s">
        <v>63</v>
      </c>
      <c r="C40" s="149" t="s">
        <v>63</v>
      </c>
      <c r="D40" s="149" t="s">
        <v>132</v>
      </c>
      <c r="E40" s="150">
        <v>1</v>
      </c>
      <c r="F40" s="150">
        <v>1</v>
      </c>
      <c r="G40" s="151">
        <f>H40</f>
        <v>0.59265000000000001</v>
      </c>
      <c r="H40" s="151">
        <f>'Spray App. of Paints Coatings'!$D$13</f>
        <v>0.59265000000000001</v>
      </c>
      <c r="I40" s="152">
        <f t="shared" si="11"/>
        <v>0.40316326530612251</v>
      </c>
      <c r="J40" s="152">
        <f t="shared" si="12"/>
        <v>0.40316326530612251</v>
      </c>
      <c r="K40" s="152">
        <f t="shared" si="13"/>
        <v>1.3438775510204084E-2</v>
      </c>
      <c r="L40" s="152">
        <f t="shared" si="14"/>
        <v>1.3438775510204084E-2</v>
      </c>
      <c r="M40" s="152">
        <f t="shared" si="15"/>
        <v>1.1045568912496507E-3</v>
      </c>
      <c r="N40" s="152">
        <f t="shared" si="16"/>
        <v>1.1045568912496507E-3</v>
      </c>
      <c r="O40" s="152">
        <f t="shared" si="17"/>
        <v>5.6643943141007722E-4</v>
      </c>
      <c r="P40" s="151">
        <f t="shared" si="18"/>
        <v>4.3899055934280991E-4</v>
      </c>
      <c r="Q40" s="149">
        <v>0</v>
      </c>
      <c r="R40" s="154" t="s">
        <v>142</v>
      </c>
    </row>
    <row r="41" spans="1:18" s="135" customFormat="1" x14ac:dyDescent="0.35">
      <c r="A41" s="418" t="s">
        <v>734</v>
      </c>
      <c r="B41" s="174" t="s">
        <v>134</v>
      </c>
      <c r="C41" s="149" t="s">
        <v>134</v>
      </c>
      <c r="D41" s="149" t="s">
        <v>132</v>
      </c>
      <c r="E41" s="150">
        <v>2</v>
      </c>
      <c r="F41" s="150">
        <v>2</v>
      </c>
      <c r="G41" s="151">
        <f>'Spray App. of Paints Coatings'!$E$13</f>
        <v>11.051249999999975</v>
      </c>
      <c r="H41" s="151">
        <f>'Spray App. of Paints Coatings'!$D$13</f>
        <v>0.59265000000000001</v>
      </c>
      <c r="I41" s="152">
        <f t="shared" si="11"/>
        <v>7.5178571428571255</v>
      </c>
      <c r="J41" s="152">
        <f t="shared" si="12"/>
        <v>0.40316326530612251</v>
      </c>
      <c r="K41" s="152">
        <f t="shared" si="13"/>
        <v>0.50119047619047508</v>
      </c>
      <c r="L41" s="152">
        <f t="shared" si="14"/>
        <v>2.6877551020408168E-2</v>
      </c>
      <c r="M41" s="152">
        <f t="shared" si="15"/>
        <v>4.1193737769080141E-2</v>
      </c>
      <c r="N41" s="152">
        <f t="shared" si="16"/>
        <v>2.2091137824993014E-3</v>
      </c>
      <c r="O41" s="152">
        <f t="shared" si="17"/>
        <v>2.1124993727733406E-2</v>
      </c>
      <c r="P41" s="151">
        <f t="shared" si="18"/>
        <v>8.7798111868561983E-4</v>
      </c>
      <c r="Q41" s="149">
        <v>0</v>
      </c>
      <c r="R41" s="154" t="s">
        <v>141</v>
      </c>
    </row>
    <row r="42" spans="1:18" s="135" customFormat="1" x14ac:dyDescent="0.35">
      <c r="A42" s="418"/>
      <c r="B42" s="174" t="s">
        <v>63</v>
      </c>
      <c r="C42" s="149" t="s">
        <v>63</v>
      </c>
      <c r="D42" s="149" t="s">
        <v>132</v>
      </c>
      <c r="E42" s="150">
        <v>2</v>
      </c>
      <c r="F42" s="150">
        <v>2</v>
      </c>
      <c r="G42" s="151">
        <f>H42</f>
        <v>0.59265000000000001</v>
      </c>
      <c r="H42" s="151">
        <f>'Spray App. of Paints Coatings'!$D$13</f>
        <v>0.59265000000000001</v>
      </c>
      <c r="I42" s="152">
        <f t="shared" si="11"/>
        <v>0.40316326530612251</v>
      </c>
      <c r="J42" s="152">
        <f t="shared" si="12"/>
        <v>0.40316326530612251</v>
      </c>
      <c r="K42" s="152">
        <f t="shared" si="13"/>
        <v>2.6877551020408168E-2</v>
      </c>
      <c r="L42" s="152">
        <f t="shared" si="14"/>
        <v>2.6877551020408168E-2</v>
      </c>
      <c r="M42" s="152">
        <f t="shared" si="15"/>
        <v>2.2091137824993014E-3</v>
      </c>
      <c r="N42" s="152">
        <f t="shared" si="16"/>
        <v>2.2091137824993014E-3</v>
      </c>
      <c r="O42" s="152">
        <f t="shared" si="17"/>
        <v>1.1328788628201544E-3</v>
      </c>
      <c r="P42" s="151">
        <f t="shared" si="18"/>
        <v>8.7798111868561983E-4</v>
      </c>
      <c r="Q42" s="149">
        <v>0</v>
      </c>
      <c r="R42" s="154" t="s">
        <v>142</v>
      </c>
    </row>
    <row r="43" spans="1:18" s="135" customFormat="1" x14ac:dyDescent="0.35">
      <c r="A43" s="418" t="s">
        <v>735</v>
      </c>
      <c r="B43" s="174" t="s">
        <v>134</v>
      </c>
      <c r="C43" s="149" t="s">
        <v>134</v>
      </c>
      <c r="D43" s="149" t="s">
        <v>132</v>
      </c>
      <c r="E43" s="150">
        <v>250</v>
      </c>
      <c r="F43" s="150">
        <v>250</v>
      </c>
      <c r="G43" s="151">
        <f>'Spray App. of Paints Coatings'!$E$13</f>
        <v>11.051249999999975</v>
      </c>
      <c r="H43" s="151">
        <f>'Spray App. of Paints Coatings'!$D$13</f>
        <v>0.59265000000000001</v>
      </c>
      <c r="I43" s="152">
        <f t="shared" si="11"/>
        <v>7.5178571428571255</v>
      </c>
      <c r="J43" s="152">
        <f t="shared" si="12"/>
        <v>0.40316326530612251</v>
      </c>
      <c r="K43" s="152">
        <f t="shared" si="13"/>
        <v>5.5130952380952252</v>
      </c>
      <c r="L43" s="152">
        <f t="shared" si="14"/>
        <v>0.29565306122448981</v>
      </c>
      <c r="M43" s="152">
        <f t="shared" si="15"/>
        <v>5.1492172211350171</v>
      </c>
      <c r="N43" s="152">
        <f t="shared" si="16"/>
        <v>0.2761392228124126</v>
      </c>
      <c r="O43" s="152">
        <f t="shared" si="17"/>
        <v>2.6406242159666755</v>
      </c>
      <c r="P43" s="151">
        <f t="shared" si="18"/>
        <v>0.10974763983570246</v>
      </c>
      <c r="Q43" s="149">
        <v>0</v>
      </c>
      <c r="R43" s="154" t="s">
        <v>141</v>
      </c>
    </row>
    <row r="44" spans="1:18" s="135" customFormat="1" ht="16" thickBot="1" x14ac:dyDescent="0.4">
      <c r="A44" s="419"/>
      <c r="B44" s="175" t="s">
        <v>63</v>
      </c>
      <c r="C44" s="159" t="s">
        <v>63</v>
      </c>
      <c r="D44" s="159" t="s">
        <v>132</v>
      </c>
      <c r="E44" s="160">
        <v>250</v>
      </c>
      <c r="F44" s="160">
        <v>250</v>
      </c>
      <c r="G44" s="161">
        <f>H44</f>
        <v>0.59265000000000001</v>
      </c>
      <c r="H44" s="161">
        <f>'Spray App. of Paints Coatings'!$D$13</f>
        <v>0.59265000000000001</v>
      </c>
      <c r="I44" s="162">
        <f t="shared" si="11"/>
        <v>0.40316326530612251</v>
      </c>
      <c r="J44" s="162">
        <f t="shared" si="12"/>
        <v>0.40316326530612251</v>
      </c>
      <c r="K44" s="162">
        <f t="shared" si="13"/>
        <v>0.29565306122448981</v>
      </c>
      <c r="L44" s="162">
        <f t="shared" si="14"/>
        <v>0.29565306122448981</v>
      </c>
      <c r="M44" s="162">
        <f t="shared" si="15"/>
        <v>0.27613922281241265</v>
      </c>
      <c r="N44" s="162">
        <f t="shared" si="16"/>
        <v>0.2761392228124126</v>
      </c>
      <c r="O44" s="162">
        <f t="shared" si="17"/>
        <v>0.14160985785251931</v>
      </c>
      <c r="P44" s="161">
        <f t="shared" si="18"/>
        <v>0.10974763983570246</v>
      </c>
      <c r="Q44" s="159">
        <v>0</v>
      </c>
      <c r="R44" s="163" t="s">
        <v>142</v>
      </c>
    </row>
    <row r="45" spans="1:18" s="135" customFormat="1" x14ac:dyDescent="0.35">
      <c r="A45" s="417" t="s">
        <v>736</v>
      </c>
      <c r="B45" s="164" t="s">
        <v>131</v>
      </c>
      <c r="C45" s="165" t="s">
        <v>63</v>
      </c>
      <c r="D45" s="165" t="s">
        <v>132</v>
      </c>
      <c r="E45" s="166">
        <v>164</v>
      </c>
      <c r="F45" s="166">
        <v>49</v>
      </c>
      <c r="G45" s="167">
        <f t="shared" ref="G45:H52" si="19">G6</f>
        <v>0.30328220858895705</v>
      </c>
      <c r="H45" s="167">
        <f t="shared" si="19"/>
        <v>0.30328220858895705</v>
      </c>
      <c r="I45" s="168">
        <f t="shared" si="11"/>
        <v>0.2063144276115354</v>
      </c>
      <c r="J45" s="168">
        <f t="shared" si="12"/>
        <v>0.2063144276115354</v>
      </c>
      <c r="K45" s="168">
        <f t="shared" si="13"/>
        <v>0.15129724691512597</v>
      </c>
      <c r="L45" s="168">
        <f t="shared" si="14"/>
        <v>0.15129724691512597</v>
      </c>
      <c r="M45" s="168">
        <f t="shared" si="15"/>
        <v>9.2700181173402202E-2</v>
      </c>
      <c r="N45" s="168">
        <f t="shared" si="16"/>
        <v>2.7697005350589686E-2</v>
      </c>
      <c r="O45" s="168">
        <f t="shared" si="17"/>
        <v>4.7538554447898569E-2</v>
      </c>
      <c r="P45" s="167">
        <f t="shared" si="18"/>
        <v>1.1007784177798465E-2</v>
      </c>
      <c r="Q45" s="169">
        <v>1</v>
      </c>
      <c r="R45" s="170" t="s">
        <v>133</v>
      </c>
    </row>
    <row r="46" spans="1:18" s="135" customFormat="1" x14ac:dyDescent="0.35">
      <c r="A46" s="418"/>
      <c r="B46" s="148" t="s">
        <v>739</v>
      </c>
      <c r="C46" s="149" t="s">
        <v>134</v>
      </c>
      <c r="D46" s="149" t="s">
        <v>132</v>
      </c>
      <c r="E46" s="150">
        <v>164</v>
      </c>
      <c r="F46" s="150">
        <v>49</v>
      </c>
      <c r="G46" s="151">
        <f t="shared" si="19"/>
        <v>9.705030674846622</v>
      </c>
      <c r="H46" s="151">
        <f t="shared" si="19"/>
        <v>2.9115092024539879</v>
      </c>
      <c r="I46" s="152">
        <f t="shared" si="11"/>
        <v>6.6020616835691301</v>
      </c>
      <c r="J46" s="152">
        <f t="shared" si="12"/>
        <v>1.9806185050707403</v>
      </c>
      <c r="K46" s="152">
        <f t="shared" si="13"/>
        <v>4.8415119012840284</v>
      </c>
      <c r="L46" s="152">
        <f t="shared" si="14"/>
        <v>1.4524535703852093</v>
      </c>
      <c r="M46" s="152">
        <f t="shared" si="15"/>
        <v>2.9664057975488696</v>
      </c>
      <c r="N46" s="152">
        <f t="shared" si="16"/>
        <v>0.26589125136566105</v>
      </c>
      <c r="O46" s="152">
        <f t="shared" si="17"/>
        <v>1.5212337423327535</v>
      </c>
      <c r="P46" s="151">
        <f t="shared" si="18"/>
        <v>0.10567472810686529</v>
      </c>
      <c r="Q46" s="153">
        <v>17</v>
      </c>
      <c r="R46" s="154" t="s">
        <v>766</v>
      </c>
    </row>
    <row r="47" spans="1:18" s="135" customFormat="1" ht="31" x14ac:dyDescent="0.35">
      <c r="A47" s="418"/>
      <c r="B47" s="155" t="s">
        <v>417</v>
      </c>
      <c r="C47" s="149" t="s">
        <v>134</v>
      </c>
      <c r="D47" s="149" t="s">
        <v>132</v>
      </c>
      <c r="E47" s="150">
        <v>164</v>
      </c>
      <c r="F47" s="150">
        <v>49</v>
      </c>
      <c r="G47" s="151">
        <f t="shared" si="19"/>
        <v>46.705460122699385</v>
      </c>
      <c r="H47" s="151">
        <f t="shared" si="19"/>
        <v>0.24262576687116569</v>
      </c>
      <c r="I47" s="152">
        <f t="shared" si="11"/>
        <v>31.772421852176453</v>
      </c>
      <c r="J47" s="152">
        <f t="shared" si="12"/>
        <v>0.16505154208922837</v>
      </c>
      <c r="K47" s="152">
        <f t="shared" si="13"/>
        <v>23.2997760249294</v>
      </c>
      <c r="L47" s="152">
        <f t="shared" si="14"/>
        <v>0.1210377975321008</v>
      </c>
      <c r="M47" s="152">
        <f t="shared" si="15"/>
        <v>14.275827900703938</v>
      </c>
      <c r="N47" s="152">
        <f t="shared" si="16"/>
        <v>2.2157604280471754E-2</v>
      </c>
      <c r="O47" s="152">
        <f t="shared" si="17"/>
        <v>7.3209373849763786</v>
      </c>
      <c r="P47" s="151">
        <f t="shared" si="18"/>
        <v>8.8062273422387736E-3</v>
      </c>
      <c r="Q47" s="150">
        <v>3</v>
      </c>
      <c r="R47" s="154" t="s">
        <v>764</v>
      </c>
    </row>
    <row r="48" spans="1:18" s="135" customFormat="1" x14ac:dyDescent="0.35">
      <c r="A48" s="418"/>
      <c r="B48" s="148" t="s">
        <v>136</v>
      </c>
      <c r="C48" s="149" t="s">
        <v>134</v>
      </c>
      <c r="D48" s="149" t="s">
        <v>137</v>
      </c>
      <c r="E48" s="150">
        <v>164</v>
      </c>
      <c r="F48" s="150">
        <v>49</v>
      </c>
      <c r="G48" s="151">
        <f t="shared" si="19"/>
        <v>3.42361806066803</v>
      </c>
      <c r="H48" s="151">
        <f t="shared" si="19"/>
        <v>0.33305441206543968</v>
      </c>
      <c r="I48" s="156">
        <f>IFERROR(G48*ED_12*BR/AT_AC, "N/A")</f>
        <v>3.493487817008194</v>
      </c>
      <c r="J48" s="156">
        <f>IFERROR(H48*ED_12*BR/AT_AC, "N/A")</f>
        <v>0.33985144088310171</v>
      </c>
      <c r="K48" s="156">
        <f>IFERROR(G48*ED_12*IF(E48&gt;22,22,E48)*BR/(ED_intermediate*EF_intermediate),"N/A")</f>
        <v>2.5618910658060092</v>
      </c>
      <c r="L48" s="156">
        <f>IFERROR(H48*ED_12*IF(F48&gt;22,22,F48)*BR/(ED_intermediate*EF_intermediate),"N/A")</f>
        <v>0.24922438998094121</v>
      </c>
      <c r="M48" s="156">
        <f>IFERROR(G48*ED_12*E48*WY_95th*BR/AT_95th_non_cancer, "N/A")</f>
        <v>1.5696767177790241</v>
      </c>
      <c r="N48" s="156">
        <f>IFERROR(H48*ED_12*F48*WY_50th*BR/AT_50th_non_cancer, "N/A")</f>
        <v>4.5623892063758859E-2</v>
      </c>
      <c r="O48" s="156">
        <f>IFERROR(G48*ED_12*E48*WY_95th*BR/AT_cancer, "N/A")</f>
        <v>0.80496241937385848</v>
      </c>
      <c r="P48" s="157">
        <f>IFERROR(H48*ED_12*F48*WY_50th*BR/AT_cancer, "N/A")</f>
        <v>1.813257248687852E-2</v>
      </c>
      <c r="Q48" s="153">
        <v>11</v>
      </c>
      <c r="R48" s="154" t="s">
        <v>765</v>
      </c>
    </row>
    <row r="49" spans="1:18" s="135" customFormat="1" x14ac:dyDescent="0.35">
      <c r="A49" s="418"/>
      <c r="B49" s="148" t="s">
        <v>737</v>
      </c>
      <c r="C49" s="149" t="s">
        <v>134</v>
      </c>
      <c r="D49" s="149" t="s">
        <v>132</v>
      </c>
      <c r="E49" s="150">
        <v>164</v>
      </c>
      <c r="F49" s="150">
        <v>49</v>
      </c>
      <c r="G49" s="151">
        <f t="shared" si="19"/>
        <v>0.15770674846625768</v>
      </c>
      <c r="H49" s="151">
        <f t="shared" si="19"/>
        <v>0.15770674846625768</v>
      </c>
      <c r="I49" s="152">
        <f>IFERROR(G49*ED_8*BR/AT_AC, "N/A")</f>
        <v>0.10728350235799843</v>
      </c>
      <c r="J49" s="152">
        <f>IFERROR(H49*ED_8*BR/AT_AC, "N/A")</f>
        <v>0.10728350235799843</v>
      </c>
      <c r="K49" s="152">
        <f>IFERROR(G49*ED_8*IF(E49&gt;22,22,E49)*BR/(ED_intermediate*EF_intermediate),"N/A")</f>
        <v>7.8674568395865521E-2</v>
      </c>
      <c r="L49" s="152">
        <f>IFERROR(H49*ED_8*IF(F49&gt;22,22,F49)*BR/(ED_intermediate*EF_intermediate),"N/A")</f>
        <v>7.8674568395865521E-2</v>
      </c>
      <c r="M49" s="152">
        <f>IFERROR(G49*ED_8*E49*WY_95th*BR/AT_95th_non_cancer, "N/A")</f>
        <v>4.8204094210169156E-2</v>
      </c>
      <c r="N49" s="152">
        <f>IFERROR(H49*ED_8*F49*WY_50th*BR/AT_50th_non_cancer, "N/A")</f>
        <v>1.4402442782306636E-2</v>
      </c>
      <c r="O49" s="152">
        <f>IFERROR(G49*ED_8*E49*WY_95th*BR/AT_cancer, "N/A")</f>
        <v>2.4720048312907257E-2</v>
      </c>
      <c r="P49" s="151">
        <f>IFERROR(H49*ED_8*F49*WY_50th*BR/AT_cancer, "N/A")</f>
        <v>5.7240477724552017E-3</v>
      </c>
      <c r="Q49" s="153">
        <v>1</v>
      </c>
      <c r="R49" s="154" t="s">
        <v>738</v>
      </c>
    </row>
    <row r="50" spans="1:18" s="135" customFormat="1" x14ac:dyDescent="0.35">
      <c r="A50" s="418"/>
      <c r="B50" s="155" t="s">
        <v>740</v>
      </c>
      <c r="C50" s="149" t="s">
        <v>134</v>
      </c>
      <c r="D50" s="149" t="s">
        <v>132</v>
      </c>
      <c r="E50" s="150">
        <v>164</v>
      </c>
      <c r="F50" s="150">
        <v>49</v>
      </c>
      <c r="G50" s="151">
        <f t="shared" si="19"/>
        <v>8.0491603629856723</v>
      </c>
      <c r="H50" s="151">
        <f t="shared" si="19"/>
        <v>0.51065141871165642</v>
      </c>
      <c r="I50" s="152">
        <f>IFERROR(G50*ED_8*BR/AT_AC, "N/A")</f>
        <v>5.4756192945480757</v>
      </c>
      <c r="J50" s="152">
        <f>IFERROR(H50*ED_8*BR/AT_AC, "N/A")</f>
        <v>0.34738191749092273</v>
      </c>
      <c r="K50" s="152">
        <f>IFERROR(G50*ED_8*IF(E50&gt;22,22,E50)*BR/(ED_intermediate*EF_intermediate),"N/A")</f>
        <v>4.0154541493352562</v>
      </c>
      <c r="L50" s="152">
        <f>IFERROR(H50*ED_8*IF(F50&gt;22,22,F50)*BR/(ED_intermediate*EF_intermediate),"N/A")</f>
        <v>0.25474673949334331</v>
      </c>
      <c r="M50" s="152">
        <f>IFERROR(G50*ED_8*E50*WY_95th*BR/AT_95th_non_cancer, "N/A")</f>
        <v>2.4602782583722869</v>
      </c>
      <c r="N50" s="152">
        <f>IFERROR(H50*ED_8*F50*WY_50th*BR/AT_50th_non_cancer, "N/A")</f>
        <v>4.6634832759055382E-2</v>
      </c>
      <c r="O50" s="152">
        <f>IFERROR(G50*ED_8*E50*WY_95th*BR/AT_cancer, "N/A")</f>
        <v>1.2616811581396343</v>
      </c>
      <c r="P50" s="151">
        <f>IFERROR(H50*ED_8*F50*WY_50th*BR/AT_cancer, "N/A")</f>
        <v>1.8534356609368165E-2</v>
      </c>
      <c r="Q50" s="153">
        <v>24</v>
      </c>
      <c r="R50" s="154" t="s">
        <v>767</v>
      </c>
    </row>
    <row r="51" spans="1:18" s="135" customFormat="1" x14ac:dyDescent="0.35">
      <c r="A51" s="418"/>
      <c r="B51" s="155" t="s">
        <v>741</v>
      </c>
      <c r="C51" s="149" t="s">
        <v>134</v>
      </c>
      <c r="D51" s="149" t="s">
        <v>139</v>
      </c>
      <c r="E51" s="150">
        <v>164</v>
      </c>
      <c r="F51" s="150">
        <v>49</v>
      </c>
      <c r="G51" s="151">
        <f>G12</f>
        <v>2.1351067484662578</v>
      </c>
      <c r="H51" s="151">
        <f>H12</f>
        <v>0.91227288343558299</v>
      </c>
      <c r="I51" s="152">
        <f>IFERROR(G51*ED_10*BR/AT_AC, "N/A")</f>
        <v>1.8155669629815119</v>
      </c>
      <c r="J51" s="151">
        <f>IFERROR(H51*ED_10*BR/AT_AC, "N/A")</f>
        <v>0.77574224781937329</v>
      </c>
      <c r="K51" s="152">
        <f>IFERROR(G51*ED_10*IF(E51&gt;22,22,E51)*BR/(ED_intermediate*EF_intermediate),"N/A")</f>
        <v>1.3314157728531089</v>
      </c>
      <c r="L51" s="152">
        <f>IFERROR(H51*ED_10*IF(F51&gt;22,22,F51)*BR/(ED_intermediate*EF_intermediate),"N/A")</f>
        <v>0.56887764840087374</v>
      </c>
      <c r="M51" s="152">
        <f>IFERROR(G51*ED_10*E51*WY_95th*BR/AT_95th_non_cancer, "N/A")</f>
        <v>0.81576159432593964</v>
      </c>
      <c r="N51" s="152">
        <f>IFERROR(H51*ED_10*F51*WY_50th*BR/AT_50th_non_cancer, "N/A")</f>
        <v>0.10414074011821722</v>
      </c>
      <c r="O51" s="152">
        <f>IFERROR(G51*ED_10*E51*WY_95th*BR/AT_cancer, "N/A")</f>
        <v>0.41833927914150748</v>
      </c>
      <c r="P51" s="151">
        <f>IFERROR(H51*ED_10*F51*WY_50th*BR/AT_cancer, "N/A")</f>
        <v>4.1389268508522231E-2</v>
      </c>
      <c r="Q51" s="153">
        <v>5</v>
      </c>
      <c r="R51" s="154" t="s">
        <v>768</v>
      </c>
    </row>
    <row r="52" spans="1:18" s="135" customFormat="1" ht="16" thickBot="1" x14ac:dyDescent="0.4">
      <c r="A52" s="419"/>
      <c r="B52" s="158" t="s">
        <v>740</v>
      </c>
      <c r="C52" s="159" t="s">
        <v>134</v>
      </c>
      <c r="D52" s="159" t="s">
        <v>137</v>
      </c>
      <c r="E52" s="160">
        <v>164</v>
      </c>
      <c r="F52" s="160">
        <v>49</v>
      </c>
      <c r="G52" s="161">
        <f t="shared" si="19"/>
        <v>1.8801003278800263</v>
      </c>
      <c r="H52" s="161">
        <f t="shared" si="19"/>
        <v>0.18459777096114521</v>
      </c>
      <c r="I52" s="162">
        <f>IFERROR(G52*ED_12*BR/AT_AC, "N/A")</f>
        <v>1.9184697223265577</v>
      </c>
      <c r="J52" s="162">
        <f>IFERROR(H52*ED_12*BR/AT_AC, "N/A")</f>
        <v>0.18836507240933184</v>
      </c>
      <c r="K52" s="162">
        <f>IFERROR(G52*ED_12*IF(E52&gt;22,22,E52)*BR/(ED_intermediate*EF_intermediate),"N/A")</f>
        <v>1.406877796372809</v>
      </c>
      <c r="L52" s="162">
        <f>IFERROR(H52*ED_12*IF(F52&gt;22,22,F52)*BR/(ED_intermediate*EF_intermediate),"N/A")</f>
        <v>0.13813438643351003</v>
      </c>
      <c r="M52" s="162">
        <f>IFERROR(G52*ED_12*E52*WY_95th*BR/AT_95th_non_cancer, "N/A")</f>
        <v>0.86199735468919314</v>
      </c>
      <c r="N52" s="162">
        <f>IFERROR(H52*ED_12*F52*WY_50th*BR/AT_50th_non_cancer, "N/A")</f>
        <v>2.5287365885088384E-2</v>
      </c>
      <c r="O52" s="162">
        <f>IFERROR(G52*ED_12*E52*WY_95th*BR/AT_cancer, "N/A")</f>
        <v>0.44204992548163746</v>
      </c>
      <c r="P52" s="161">
        <f>IFERROR(H52*ED_12*F52*WY_50th*BR/AT_cancer, "N/A")</f>
        <v>1.0050106954329998E-2</v>
      </c>
      <c r="Q52" s="171">
        <v>8</v>
      </c>
      <c r="R52" s="163" t="s">
        <v>769</v>
      </c>
    </row>
    <row r="53" spans="1:18" s="135" customFormat="1" x14ac:dyDescent="0.35">
      <c r="A53" s="417" t="s">
        <v>746</v>
      </c>
      <c r="B53" s="164" t="s">
        <v>131</v>
      </c>
      <c r="C53" s="165" t="s">
        <v>63</v>
      </c>
      <c r="D53" s="165" t="s">
        <v>132</v>
      </c>
      <c r="E53" s="166">
        <v>15</v>
      </c>
      <c r="F53" s="166">
        <v>1</v>
      </c>
      <c r="G53" s="167">
        <f t="shared" ref="G53:H60" si="20">G6</f>
        <v>0.30328220858895705</v>
      </c>
      <c r="H53" s="167">
        <f t="shared" si="20"/>
        <v>0.30328220858895705</v>
      </c>
      <c r="I53" s="168">
        <f t="shared" ref="I53:J55" si="21">IFERROR(G53*ED_8*BR/AT_AC, "N/A")</f>
        <v>0.2063144276115354</v>
      </c>
      <c r="J53" s="168">
        <f t="shared" si="21"/>
        <v>0.2063144276115354</v>
      </c>
      <c r="K53" s="168">
        <f t="shared" ref="K53:L55" si="22">IFERROR(G53*ED_8*IF(E53&gt;22,22,E53)*BR/(ED_intermediate*EF_intermediate),"N/A")</f>
        <v>0.10315721380576771</v>
      </c>
      <c r="L53" s="168">
        <f t="shared" si="22"/>
        <v>6.8771475870511804E-3</v>
      </c>
      <c r="M53" s="168">
        <f>IFERROR(G53*ED_8*E53*WY_95th*BR/AT_95th_non_cancer, "N/A")</f>
        <v>8.4786751073233739E-3</v>
      </c>
      <c r="N53" s="168">
        <f>IFERROR(H53*ED_8*F53*WY_50th*BR/AT_50th_non_cancer, "N/A")</f>
        <v>5.6524500715489161E-4</v>
      </c>
      <c r="O53" s="168">
        <f>IFERROR(G53*ED_8*E53*WY_95th*BR/AT_cancer, "N/A")</f>
        <v>4.3480385165760886E-3</v>
      </c>
      <c r="P53" s="167">
        <f>IFERROR(H53*ED_8*F53*WY_50th*BR/AT_cancer, "N/A")</f>
        <v>2.2464865668976461E-4</v>
      </c>
      <c r="Q53" s="169">
        <v>1</v>
      </c>
      <c r="R53" s="170" t="s">
        <v>133</v>
      </c>
    </row>
    <row r="54" spans="1:18" s="135" customFormat="1" x14ac:dyDescent="0.35">
      <c r="A54" s="418"/>
      <c r="B54" s="148" t="s">
        <v>739</v>
      </c>
      <c r="C54" s="149" t="s">
        <v>134</v>
      </c>
      <c r="D54" s="149" t="s">
        <v>132</v>
      </c>
      <c r="E54" s="150">
        <v>15</v>
      </c>
      <c r="F54" s="150">
        <v>1</v>
      </c>
      <c r="G54" s="151">
        <f t="shared" si="20"/>
        <v>9.705030674846622</v>
      </c>
      <c r="H54" s="151">
        <f t="shared" si="20"/>
        <v>2.9115092024539879</v>
      </c>
      <c r="I54" s="152">
        <f t="shared" si="21"/>
        <v>6.6020616835691301</v>
      </c>
      <c r="J54" s="152">
        <f t="shared" si="21"/>
        <v>1.9806185050707403</v>
      </c>
      <c r="K54" s="152">
        <f t="shared" si="22"/>
        <v>3.3010308417845655</v>
      </c>
      <c r="L54" s="152">
        <f t="shared" si="22"/>
        <v>6.602061683569134E-2</v>
      </c>
      <c r="M54" s="152">
        <f>IFERROR(G54*ED_8*E54*WY_95th*BR/AT_95th_non_cancer, "N/A")</f>
        <v>0.2713176034343478</v>
      </c>
      <c r="N54" s="152">
        <f>IFERROR(H54*ED_8*F54*WY_50th*BR/AT_50th_non_cancer, "N/A")</f>
        <v>5.4263520686869586E-3</v>
      </c>
      <c r="O54" s="152">
        <f>IFERROR(G54*ED_8*E54*WY_95th*BR/AT_cancer, "N/A")</f>
        <v>0.13913723253043478</v>
      </c>
      <c r="P54" s="151">
        <f>IFERROR(H54*ED_8*F54*WY_50th*BR/AT_cancer, "N/A")</f>
        <v>2.1566271042217401E-3</v>
      </c>
      <c r="Q54" s="153">
        <v>17</v>
      </c>
      <c r="R54" s="154" t="s">
        <v>766</v>
      </c>
    </row>
    <row r="55" spans="1:18" s="135" customFormat="1" ht="31" x14ac:dyDescent="0.35">
      <c r="A55" s="418"/>
      <c r="B55" s="155" t="s">
        <v>135</v>
      </c>
      <c r="C55" s="149" t="s">
        <v>134</v>
      </c>
      <c r="D55" s="149" t="s">
        <v>132</v>
      </c>
      <c r="E55" s="150">
        <v>15</v>
      </c>
      <c r="F55" s="150">
        <v>1</v>
      </c>
      <c r="G55" s="151">
        <f t="shared" si="20"/>
        <v>46.705460122699385</v>
      </c>
      <c r="H55" s="151">
        <f t="shared" si="20"/>
        <v>0.24262576687116569</v>
      </c>
      <c r="I55" s="152">
        <f t="shared" si="21"/>
        <v>31.772421852176453</v>
      </c>
      <c r="J55" s="152">
        <f t="shared" si="21"/>
        <v>0.16505154208922837</v>
      </c>
      <c r="K55" s="152">
        <f t="shared" si="22"/>
        <v>15.886210926088227</v>
      </c>
      <c r="L55" s="152">
        <f t="shared" si="22"/>
        <v>5.501718069640945E-3</v>
      </c>
      <c r="M55" s="152">
        <f>IFERROR(G55*ED_8*E55*WY_95th*BR/AT_95th_non_cancer, "N/A")</f>
        <v>1.3057159665277995</v>
      </c>
      <c r="N55" s="152">
        <f>IFERROR(H55*ED_8*F55*WY_50th*BR/AT_50th_non_cancer, "N/A")</f>
        <v>4.5219600572391329E-4</v>
      </c>
      <c r="O55" s="152">
        <f>IFERROR(G55*ED_8*E55*WY_95th*BR/AT_cancer, "N/A")</f>
        <v>0.66959793155271763</v>
      </c>
      <c r="P55" s="151">
        <f>IFERROR(H55*ED_8*F55*WY_50th*BR/AT_cancer, "N/A")</f>
        <v>1.7971892535181169E-4</v>
      </c>
      <c r="Q55" s="150">
        <v>3</v>
      </c>
      <c r="R55" s="154" t="s">
        <v>764</v>
      </c>
    </row>
    <row r="56" spans="1:18" s="135" customFormat="1" x14ac:dyDescent="0.35">
      <c r="A56" s="418"/>
      <c r="B56" s="148" t="s">
        <v>136</v>
      </c>
      <c r="C56" s="149" t="s">
        <v>134</v>
      </c>
      <c r="D56" s="149" t="s">
        <v>137</v>
      </c>
      <c r="E56" s="150">
        <v>15</v>
      </c>
      <c r="F56" s="150">
        <v>1</v>
      </c>
      <c r="G56" s="151">
        <f t="shared" si="20"/>
        <v>3.42361806066803</v>
      </c>
      <c r="H56" s="151">
        <f t="shared" si="20"/>
        <v>0.33305441206543968</v>
      </c>
      <c r="I56" s="156">
        <f>IFERROR(G56*ED_12*BR/AT_AC, "N/A")</f>
        <v>3.493487817008194</v>
      </c>
      <c r="J56" s="156">
        <f>IFERROR(H56*ED_12*BR/AT_AC, "N/A")</f>
        <v>0.33985144088310171</v>
      </c>
      <c r="K56" s="156">
        <f>IFERROR(G56*ED_12*IF(E56&gt;22,22,E56)*BR/(ED_intermediate*EF_intermediate),"N/A")</f>
        <v>1.746743908504097</v>
      </c>
      <c r="L56" s="156">
        <f>IFERROR(H56*ED_12*IF(F56&gt;22,22,F56)*BR/(ED_intermediate*EF_intermediate),"N/A")</f>
        <v>1.1328381362770057E-2</v>
      </c>
      <c r="M56" s="156">
        <f>IFERROR(G56*ED_12*E56*WY_95th*BR/AT_95th_non_cancer, "N/A")</f>
        <v>0.14356799247978877</v>
      </c>
      <c r="N56" s="156">
        <f>IFERROR(H56*ED_12*F56*WY_50th*BR/AT_50th_non_cancer, "N/A")</f>
        <v>9.3109983803589503E-4</v>
      </c>
      <c r="O56" s="156">
        <f>IFERROR(G56*ED_12*E56*WY_95th*BR/AT_cancer, "N/A")</f>
        <v>7.3624611528096809E-2</v>
      </c>
      <c r="P56" s="157">
        <f>IFERROR(H56*ED_12*F56*WY_50th*BR/AT_cancer, "N/A")</f>
        <v>3.700524997322147E-4</v>
      </c>
      <c r="Q56" s="153">
        <v>11</v>
      </c>
      <c r="R56" s="154" t="s">
        <v>765</v>
      </c>
    </row>
    <row r="57" spans="1:18" s="135" customFormat="1" x14ac:dyDescent="0.35">
      <c r="A57" s="418"/>
      <c r="B57" s="148" t="s">
        <v>737</v>
      </c>
      <c r="C57" s="149" t="s">
        <v>134</v>
      </c>
      <c r="D57" s="149" t="s">
        <v>132</v>
      </c>
      <c r="E57" s="150">
        <v>15</v>
      </c>
      <c r="F57" s="150">
        <v>1</v>
      </c>
      <c r="G57" s="151">
        <f t="shared" si="20"/>
        <v>0.15770674846625768</v>
      </c>
      <c r="H57" s="151">
        <f t="shared" si="20"/>
        <v>0.15770674846625768</v>
      </c>
      <c r="I57" s="152">
        <f>IFERROR(G57*ED_8*BR/AT_AC, "N/A")</f>
        <v>0.10728350235799843</v>
      </c>
      <c r="J57" s="152">
        <f>IFERROR(H57*ED_8*BR/AT_AC, "N/A")</f>
        <v>0.10728350235799843</v>
      </c>
      <c r="K57" s="152">
        <f>IFERROR(G57*ED_8*IF(E57&gt;22,22,E57)*BR/(ED_intermediate*EF_intermediate),"N/A")</f>
        <v>5.3641751178999213E-2</v>
      </c>
      <c r="L57" s="152">
        <f>IFERROR(H57*ED_8*IF(F57&gt;22,22,F57)*BR/(ED_intermediate*EF_intermediate),"N/A")</f>
        <v>3.5761167452666139E-3</v>
      </c>
      <c r="M57" s="152">
        <f>IFERROR(G57*ED_8*E57*WY_95th*BR/AT_95th_non_cancer, "N/A")</f>
        <v>4.4089110558081547E-3</v>
      </c>
      <c r="N57" s="152">
        <f>IFERROR(H57*ED_8*F57*WY_50th*BR/AT_50th_non_cancer, "N/A")</f>
        <v>2.9392740372054363E-4</v>
      </c>
      <c r="O57" s="152">
        <f>IFERROR(G57*ED_8*E57*WY_95th*BR/AT_cancer, "N/A")</f>
        <v>2.2609800286195665E-3</v>
      </c>
      <c r="P57" s="151">
        <f>IFERROR(H57*ED_8*F57*WY_50th*BR/AT_cancer, "N/A")</f>
        <v>1.168173014786776E-4</v>
      </c>
      <c r="Q57" s="153">
        <v>1</v>
      </c>
      <c r="R57" s="154" t="s">
        <v>738</v>
      </c>
    </row>
    <row r="58" spans="1:18" s="135" customFormat="1" x14ac:dyDescent="0.35">
      <c r="A58" s="418"/>
      <c r="B58" s="155" t="s">
        <v>740</v>
      </c>
      <c r="C58" s="149" t="s">
        <v>134</v>
      </c>
      <c r="D58" s="149" t="s">
        <v>132</v>
      </c>
      <c r="E58" s="150">
        <v>15</v>
      </c>
      <c r="F58" s="150">
        <v>1</v>
      </c>
      <c r="G58" s="151">
        <f t="shared" si="20"/>
        <v>8.0491603629856723</v>
      </c>
      <c r="H58" s="151">
        <f t="shared" si="20"/>
        <v>0.51065141871165642</v>
      </c>
      <c r="I58" s="152">
        <f>IFERROR(G58*ED_8*BR/AT_AC, "N/A")</f>
        <v>5.4756192945480757</v>
      </c>
      <c r="J58" s="152">
        <f>IFERROR(H58*ED_8*BR/AT_AC, "N/A")</f>
        <v>0.34738191749092273</v>
      </c>
      <c r="K58" s="152">
        <f>IFERROR(G58*ED_8*IF(E58&gt;22,22,E58)*BR/(ED_intermediate*EF_intermediate),"N/A")</f>
        <v>2.7378096472740383</v>
      </c>
      <c r="L58" s="152">
        <f>IFERROR(H58*ED_8*IF(F58&gt;22,22,F58)*BR/(ED_intermediate*EF_intermediate),"N/A")</f>
        <v>1.1579397249697424E-2</v>
      </c>
      <c r="M58" s="152">
        <f>IFERROR(G58*ED_8*E58*WY_95th*BR/AT_95th_non_cancer, "N/A")</f>
        <v>0.22502545046087982</v>
      </c>
      <c r="N58" s="152">
        <f>IFERROR(H58*ED_8*F58*WY_50th*BR/AT_50th_non_cancer, "N/A")</f>
        <v>9.5173128079704852E-4</v>
      </c>
      <c r="O58" s="152">
        <f>IFERROR(G58*ED_8*E58*WY_95th*BR/AT_cancer, "N/A")</f>
        <v>0.1153976669030153</v>
      </c>
      <c r="P58" s="151">
        <f>IFERROR(H58*ED_8*F58*WY_50th*BR/AT_cancer, "N/A")</f>
        <v>3.7825217570139108E-4</v>
      </c>
      <c r="Q58" s="153">
        <v>24</v>
      </c>
      <c r="R58" s="154" t="s">
        <v>767</v>
      </c>
    </row>
    <row r="59" spans="1:18" s="135" customFormat="1" x14ac:dyDescent="0.35">
      <c r="A59" s="418"/>
      <c r="B59" s="155" t="s">
        <v>741</v>
      </c>
      <c r="C59" s="149" t="s">
        <v>134</v>
      </c>
      <c r="D59" s="149" t="s">
        <v>139</v>
      </c>
      <c r="E59" s="150">
        <v>15</v>
      </c>
      <c r="F59" s="150">
        <v>1</v>
      </c>
      <c r="G59" s="151">
        <f>G12</f>
        <v>2.1351067484662578</v>
      </c>
      <c r="H59" s="151">
        <f>H12</f>
        <v>0.91227288343558299</v>
      </c>
      <c r="I59" s="152">
        <f>IFERROR(G59*ED_10*BR/AT_AC, "N/A")</f>
        <v>1.8155669629815119</v>
      </c>
      <c r="J59" s="151">
        <f>IFERROR(H59*ED_10*BR/AT_AC, "N/A")</f>
        <v>0.77574224781937329</v>
      </c>
      <c r="K59" s="152">
        <f>IFERROR(G59*ED_10*IF(E59&gt;22,22,E59)*BR/(ED_intermediate*EF_intermediate),"N/A")</f>
        <v>0.90778348149075594</v>
      </c>
      <c r="L59" s="152">
        <f>IFERROR(H59*ED_10*IF(F59&gt;22,22,F59)*BR/(ED_intermediate*EF_intermediate),"N/A")</f>
        <v>2.5858074927312444E-2</v>
      </c>
      <c r="M59" s="152">
        <f>IFERROR(G59*ED_10*E59*WY_95th*BR/AT_95th_non_cancer, "N/A")</f>
        <v>7.4612340944445701E-2</v>
      </c>
      <c r="N59" s="152">
        <f>IFERROR(H59*ED_10*F59*WY_50th*BR/AT_50th_non_cancer, "N/A")</f>
        <v>2.1253212269023926E-3</v>
      </c>
      <c r="O59" s="152">
        <f>IFERROR(G59*ED_10*E59*WY_95th*BR/AT_cancer, "N/A")</f>
        <v>3.8262738945869589E-2</v>
      </c>
      <c r="P59" s="151">
        <f>IFERROR(H59*ED_10*F59*WY_50th*BR/AT_cancer, "N/A")</f>
        <v>8.4467894915351497E-4</v>
      </c>
      <c r="Q59" s="153">
        <v>5</v>
      </c>
      <c r="R59" s="154" t="s">
        <v>768</v>
      </c>
    </row>
    <row r="60" spans="1:18" s="135" customFormat="1" ht="16" thickBot="1" x14ac:dyDescent="0.4">
      <c r="A60" s="419"/>
      <c r="B60" s="158" t="s">
        <v>740</v>
      </c>
      <c r="C60" s="159" t="s">
        <v>134</v>
      </c>
      <c r="D60" s="159" t="s">
        <v>137</v>
      </c>
      <c r="E60" s="160">
        <v>15</v>
      </c>
      <c r="F60" s="160">
        <v>1</v>
      </c>
      <c r="G60" s="161">
        <f t="shared" si="20"/>
        <v>1.8801003278800263</v>
      </c>
      <c r="H60" s="161">
        <f t="shared" si="20"/>
        <v>0.18459777096114521</v>
      </c>
      <c r="I60" s="162">
        <f>IFERROR(G60*ED_12*BR/AT_AC, "N/A")</f>
        <v>1.9184697223265577</v>
      </c>
      <c r="J60" s="162">
        <f>IFERROR(H60*ED_12*BR/AT_AC, "N/A")</f>
        <v>0.18836507240933184</v>
      </c>
      <c r="K60" s="162">
        <f>IFERROR(G60*ED_12*IF(E60&gt;22,22,E60)*BR/(ED_intermediate*EF_intermediate),"N/A")</f>
        <v>0.95923486116327894</v>
      </c>
      <c r="L60" s="162">
        <f>IFERROR(H60*ED_12*IF(F60&gt;22,22,F60)*BR/(ED_intermediate*EF_intermediate),"N/A")</f>
        <v>6.2788357469777279E-3</v>
      </c>
      <c r="M60" s="162">
        <f>IFERROR(G60*ED_12*E60*WY_95th*BR/AT_95th_non_cancer, "N/A")</f>
        <v>7.8841221465474981E-2</v>
      </c>
      <c r="N60" s="162">
        <f>IFERROR(H60*ED_12*F60*WY_50th*BR/AT_50th_non_cancer, "N/A")</f>
        <v>5.1606869153241603E-4</v>
      </c>
      <c r="O60" s="162">
        <f>IFERROR(G60*ED_12*E60*WY_95th*BR/AT_cancer, "N/A")</f>
        <v>4.0431395623320501E-2</v>
      </c>
      <c r="P60" s="161">
        <f>IFERROR(H60*ED_12*F60*WY_50th*BR/AT_cancer, "N/A")</f>
        <v>2.0510422355775508E-4</v>
      </c>
      <c r="Q60" s="171">
        <v>8</v>
      </c>
      <c r="R60" s="163" t="s">
        <v>769</v>
      </c>
    </row>
    <row r="61" spans="1:18" s="135" customFormat="1" x14ac:dyDescent="0.35">
      <c r="A61" s="417" t="s">
        <v>747</v>
      </c>
      <c r="B61" s="173" t="s">
        <v>134</v>
      </c>
      <c r="C61" s="165" t="s">
        <v>134</v>
      </c>
      <c r="D61" s="165" t="s">
        <v>132</v>
      </c>
      <c r="E61" s="166">
        <v>222</v>
      </c>
      <c r="F61" s="166">
        <v>160</v>
      </c>
      <c r="G61" s="167">
        <f>'Use of Adhesives and Sealants'!C7</f>
        <v>0.10015876013115808</v>
      </c>
      <c r="H61" s="167">
        <f>'Use of Adhesives and Sealants'!C8</f>
        <v>1.3507539152448964E-2</v>
      </c>
      <c r="I61" s="168">
        <f>'Use of Adhesives and Sealants'!D7</f>
        <v>6.8135210973576929E-2</v>
      </c>
      <c r="J61" s="168">
        <f>'Use of Adhesives and Sealants'!D8</f>
        <v>9.1888021445231047E-3</v>
      </c>
      <c r="K61" s="168">
        <f>'Use of Adhesives and Sealants'!E7</f>
        <v>4.9965821380623082E-2</v>
      </c>
      <c r="L61" s="168">
        <f>'Use of Adhesives and Sealants'!E8</f>
        <v>6.7384549059836107E-3</v>
      </c>
      <c r="M61" s="168">
        <f>'Use of Adhesives and Sealants'!F7</f>
        <v>2.9774848371547074E-2</v>
      </c>
      <c r="N61" s="168">
        <f>'Use of Adhesives and Sealants'!F8</f>
        <v>3.7908006845365464E-3</v>
      </c>
      <c r="O61" s="168">
        <f>'Use of Adhesives and Sealants'!G7</f>
        <v>1.1686717820167664E-2</v>
      </c>
      <c r="P61" s="167">
        <f>'Use of Adhesives and Sealants'!G8</f>
        <v>1.4189507919316314E-3</v>
      </c>
      <c r="Q61" s="176">
        <v>0</v>
      </c>
      <c r="R61" s="170" t="s">
        <v>143</v>
      </c>
    </row>
    <row r="62" spans="1:18" s="135" customFormat="1" ht="16" thickBot="1" x14ac:dyDescent="0.4">
      <c r="A62" s="419"/>
      <c r="B62" s="175" t="s">
        <v>63</v>
      </c>
      <c r="C62" s="159" t="s">
        <v>63</v>
      </c>
      <c r="D62" s="159" t="s">
        <v>132</v>
      </c>
      <c r="E62" s="160">
        <v>222</v>
      </c>
      <c r="F62" s="160">
        <v>160</v>
      </c>
      <c r="G62" s="161">
        <f>'Use of Adhesives and Sealants'!C8</f>
        <v>1.3507539152448964E-2</v>
      </c>
      <c r="H62" s="161">
        <f>'Use of Adhesives and Sealants'!C8</f>
        <v>1.3507539152448964E-2</v>
      </c>
      <c r="I62" s="162">
        <f>'Use of Adhesives and Sealants'!D8</f>
        <v>9.1888021445231047E-3</v>
      </c>
      <c r="J62" s="162">
        <f>'Use of Adhesives and Sealants'!D8</f>
        <v>9.1888021445231047E-3</v>
      </c>
      <c r="K62" s="162">
        <f>'Use of Adhesives and Sealants'!E8</f>
        <v>6.7384549059836107E-3</v>
      </c>
      <c r="L62" s="162">
        <f>'Use of Adhesives and Sealants'!E8</f>
        <v>6.7384549059836107E-3</v>
      </c>
      <c r="M62" s="162">
        <f>'Use of Adhesives and Sealants'!F8</f>
        <v>3.7908006845365464E-3</v>
      </c>
      <c r="N62" s="162">
        <f>'Use of Adhesives and Sealants'!F8</f>
        <v>3.7908006845365464E-3</v>
      </c>
      <c r="O62" s="162">
        <f>'Use of Adhesives and Sealants'!G8</f>
        <v>1.4189507919316314E-3</v>
      </c>
      <c r="P62" s="161">
        <f>'Use of Adhesives and Sealants'!G8</f>
        <v>1.4189507919316314E-3</v>
      </c>
      <c r="Q62" s="177">
        <v>0</v>
      </c>
      <c r="R62" s="163" t="s">
        <v>142</v>
      </c>
    </row>
    <row r="63" spans="1:18" s="135" customFormat="1" x14ac:dyDescent="0.35">
      <c r="A63" s="417" t="s">
        <v>748</v>
      </c>
      <c r="B63" s="164" t="s">
        <v>131</v>
      </c>
      <c r="C63" s="165" t="s">
        <v>63</v>
      </c>
      <c r="D63" s="165" t="s">
        <v>132</v>
      </c>
      <c r="E63" s="166">
        <v>250</v>
      </c>
      <c r="F63" s="166">
        <v>234</v>
      </c>
      <c r="G63" s="167">
        <f t="shared" ref="G63:H70" si="23">G6</f>
        <v>0.30328220858895705</v>
      </c>
      <c r="H63" s="167">
        <f t="shared" si="23"/>
        <v>0.30328220858895705</v>
      </c>
      <c r="I63" s="168">
        <f t="shared" ref="I63:J65" si="24">IFERROR(G63*ED_8*BR/AT_AC, "N/A")</f>
        <v>0.2063144276115354</v>
      </c>
      <c r="J63" s="168">
        <f t="shared" si="24"/>
        <v>0.2063144276115354</v>
      </c>
      <c r="K63" s="168">
        <f t="shared" ref="K63:L65" si="25">IFERROR(G63*ED_8*IF(E63&gt;22,22,E63)*BR/(ED_intermediate*EF_intermediate),"N/A")</f>
        <v>0.15129724691512597</v>
      </c>
      <c r="L63" s="168">
        <f t="shared" si="25"/>
        <v>0.15129724691512597</v>
      </c>
      <c r="M63" s="168">
        <f>IFERROR(G63*ED_8*E63*WY_95th*BR/AT_95th_non_cancer, "N/A")</f>
        <v>0.14131125178872286</v>
      </c>
      <c r="N63" s="168">
        <f>IFERROR(H63*ED_8*F63*WY_50th*BR/AT_50th_non_cancer, "N/A")</f>
        <v>0.13226733167424459</v>
      </c>
      <c r="O63" s="168">
        <f>IFERROR(G63*ED_8*E63*WY_95th*BR/AT_cancer, "N/A")</f>
        <v>7.2467308609601475E-2</v>
      </c>
      <c r="P63" s="167">
        <f>IFERROR(H63*ED_8*F63*WY_50th*BR/AT_cancer, "N/A")</f>
        <v>5.2567785665404904E-2</v>
      </c>
      <c r="Q63" s="169">
        <v>1</v>
      </c>
      <c r="R63" s="170" t="s">
        <v>133</v>
      </c>
    </row>
    <row r="64" spans="1:18" s="135" customFormat="1" x14ac:dyDescent="0.35">
      <c r="A64" s="418"/>
      <c r="B64" s="148" t="s">
        <v>739</v>
      </c>
      <c r="C64" s="149" t="s">
        <v>134</v>
      </c>
      <c r="D64" s="149" t="s">
        <v>132</v>
      </c>
      <c r="E64" s="150">
        <v>250</v>
      </c>
      <c r="F64" s="150">
        <v>234</v>
      </c>
      <c r="G64" s="151">
        <f t="shared" si="23"/>
        <v>9.705030674846622</v>
      </c>
      <c r="H64" s="151">
        <f t="shared" si="23"/>
        <v>2.9115092024539879</v>
      </c>
      <c r="I64" s="152">
        <f t="shared" si="24"/>
        <v>6.6020616835691301</v>
      </c>
      <c r="J64" s="152">
        <f t="shared" si="24"/>
        <v>1.9806185050707403</v>
      </c>
      <c r="K64" s="152">
        <f t="shared" si="25"/>
        <v>4.8415119012840284</v>
      </c>
      <c r="L64" s="152">
        <f t="shared" si="25"/>
        <v>1.4524535703852093</v>
      </c>
      <c r="M64" s="152">
        <f>IFERROR(G64*ED_8*E64*WY_95th*BR/AT_95th_non_cancer, "N/A")</f>
        <v>4.5219600572391316</v>
      </c>
      <c r="N64" s="152">
        <f>IFERROR(H64*ED_8*F64*WY_50th*BR/AT_50th_non_cancer, "N/A")</f>
        <v>1.2697663840727482</v>
      </c>
      <c r="O64" s="152">
        <f>IFERROR(G64*ED_8*E64*WY_95th*BR/AT_cancer, "N/A")</f>
        <v>2.3189538755072467</v>
      </c>
      <c r="P64" s="151">
        <f>IFERROR(H64*ED_8*F64*WY_50th*BR/AT_cancer, "N/A")</f>
        <v>0.5046507423878871</v>
      </c>
      <c r="Q64" s="153">
        <v>17</v>
      </c>
      <c r="R64" s="154" t="s">
        <v>766</v>
      </c>
    </row>
    <row r="65" spans="1:18" s="135" customFormat="1" ht="31" x14ac:dyDescent="0.35">
      <c r="A65" s="418"/>
      <c r="B65" s="155" t="s">
        <v>135</v>
      </c>
      <c r="C65" s="149" t="s">
        <v>134</v>
      </c>
      <c r="D65" s="149" t="s">
        <v>132</v>
      </c>
      <c r="E65" s="150">
        <v>250</v>
      </c>
      <c r="F65" s="150">
        <v>234</v>
      </c>
      <c r="G65" s="151">
        <f t="shared" si="23"/>
        <v>46.705460122699385</v>
      </c>
      <c r="H65" s="151">
        <f t="shared" si="23"/>
        <v>0.24262576687116569</v>
      </c>
      <c r="I65" s="152">
        <f t="shared" si="24"/>
        <v>31.772421852176453</v>
      </c>
      <c r="J65" s="152">
        <f t="shared" si="24"/>
        <v>0.16505154208922837</v>
      </c>
      <c r="K65" s="152">
        <f t="shared" si="25"/>
        <v>23.2997760249294</v>
      </c>
      <c r="L65" s="152">
        <f t="shared" si="25"/>
        <v>0.1210377975321008</v>
      </c>
      <c r="M65" s="152">
        <f>IFERROR(G65*ED_8*E65*WY_95th*BR/AT_95th_non_cancer, "N/A")</f>
        <v>21.761932775463325</v>
      </c>
      <c r="N65" s="152">
        <f>IFERROR(H65*ED_8*F65*WY_50th*BR/AT_50th_non_cancer, "N/A")</f>
        <v>0.10581386533939571</v>
      </c>
      <c r="O65" s="152">
        <f>IFERROR(G65*ED_8*E65*WY_95th*BR/AT_cancer, "N/A")</f>
        <v>11.159965525878627</v>
      </c>
      <c r="P65" s="151">
        <f>IFERROR(H65*ED_8*F65*WY_50th*BR/AT_cancer, "N/A")</f>
        <v>4.2054228532323941E-2</v>
      </c>
      <c r="Q65" s="150">
        <v>3</v>
      </c>
      <c r="R65" s="154" t="s">
        <v>764</v>
      </c>
    </row>
    <row r="66" spans="1:18" s="135" customFormat="1" x14ac:dyDescent="0.35">
      <c r="A66" s="418"/>
      <c r="B66" s="148" t="s">
        <v>136</v>
      </c>
      <c r="C66" s="149" t="s">
        <v>134</v>
      </c>
      <c r="D66" s="149" t="s">
        <v>137</v>
      </c>
      <c r="E66" s="150">
        <v>250</v>
      </c>
      <c r="F66" s="150">
        <v>234</v>
      </c>
      <c r="G66" s="151">
        <f t="shared" si="23"/>
        <v>3.42361806066803</v>
      </c>
      <c r="H66" s="151">
        <f t="shared" si="23"/>
        <v>0.33305441206543968</v>
      </c>
      <c r="I66" s="156">
        <f>IFERROR(G66*ED_12*BR/AT_AC, "N/A")</f>
        <v>3.493487817008194</v>
      </c>
      <c r="J66" s="156">
        <f>IFERROR(H66*ED_12*BR/AT_AC, "N/A")</f>
        <v>0.33985144088310171</v>
      </c>
      <c r="K66" s="156">
        <f>IFERROR(G66*ED_12*IF(E66&gt;22,22,E66)*BR/(ED_intermediate*EF_intermediate),"N/A")</f>
        <v>2.5618910658060092</v>
      </c>
      <c r="L66" s="156">
        <f>IFERROR(H66*ED_12*IF(F66&gt;22,22,F66)*BR/(ED_intermediate*EF_intermediate),"N/A")</f>
        <v>0.24922438998094121</v>
      </c>
      <c r="M66" s="156">
        <f>IFERROR(G66*ED_12*E66*WY_95th*BR/AT_95th_non_cancer, "N/A")</f>
        <v>2.3927998746631469</v>
      </c>
      <c r="N66" s="156">
        <f>IFERROR(H66*ED_12*F66*WY_50th*BR/AT_50th_non_cancer, "N/A")</f>
        <v>0.21787736210039946</v>
      </c>
      <c r="O66" s="156">
        <f>IFERROR(G66*ED_12*E66*WY_95th*BR/AT_cancer, "N/A")</f>
        <v>1.2270768588016137</v>
      </c>
      <c r="P66" s="157">
        <f>IFERROR(H66*ED_12*F66*WY_50th*BR/AT_cancer, "N/A")</f>
        <v>8.6592284937338254E-2</v>
      </c>
      <c r="Q66" s="153">
        <v>11</v>
      </c>
      <c r="R66" s="154" t="s">
        <v>765</v>
      </c>
    </row>
    <row r="67" spans="1:18" s="135" customFormat="1" x14ac:dyDescent="0.35">
      <c r="A67" s="418"/>
      <c r="B67" s="148" t="s">
        <v>737</v>
      </c>
      <c r="C67" s="149" t="s">
        <v>134</v>
      </c>
      <c r="D67" s="149" t="s">
        <v>132</v>
      </c>
      <c r="E67" s="150">
        <v>250</v>
      </c>
      <c r="F67" s="150">
        <v>234</v>
      </c>
      <c r="G67" s="151">
        <f t="shared" si="23"/>
        <v>0.15770674846625768</v>
      </c>
      <c r="H67" s="151">
        <f t="shared" si="23"/>
        <v>0.15770674846625768</v>
      </c>
      <c r="I67" s="152">
        <f>IFERROR(G67*ED_8*BR/AT_AC, "N/A")</f>
        <v>0.10728350235799843</v>
      </c>
      <c r="J67" s="152">
        <f>IFERROR(H67*ED_8*BR/AT_AC, "N/A")</f>
        <v>0.10728350235799843</v>
      </c>
      <c r="K67" s="152">
        <f>IFERROR(G67*ED_8*IF(E67&gt;22,22,E67)*BR/(ED_intermediate*EF_intermediate),"N/A")</f>
        <v>7.8674568395865521E-2</v>
      </c>
      <c r="L67" s="152">
        <f>IFERROR(H67*ED_8*IF(F67&gt;22,22,F67)*BR/(ED_intermediate*EF_intermediate),"N/A")</f>
        <v>7.8674568395865521E-2</v>
      </c>
      <c r="M67" s="152">
        <f>IFERROR(G67*ED_8*E67*WY_95th*BR/AT_95th_non_cancer, "N/A")</f>
        <v>7.3481850930135914E-2</v>
      </c>
      <c r="N67" s="152">
        <f>IFERROR(H67*ED_8*F67*WY_50th*BR/AT_50th_non_cancer, "N/A")</f>
        <v>6.8779012470607206E-2</v>
      </c>
      <c r="O67" s="152">
        <f>IFERROR(G67*ED_8*E67*WY_95th*BR/AT_cancer, "N/A")</f>
        <v>3.768300047699278E-2</v>
      </c>
      <c r="P67" s="151">
        <f>IFERROR(H67*ED_8*F67*WY_50th*BR/AT_cancer, "N/A")</f>
        <v>2.7335248546010556E-2</v>
      </c>
      <c r="Q67" s="153">
        <v>1</v>
      </c>
      <c r="R67" s="154" t="s">
        <v>738</v>
      </c>
    </row>
    <row r="68" spans="1:18" s="135" customFormat="1" x14ac:dyDescent="0.35">
      <c r="A68" s="418"/>
      <c r="B68" s="155" t="s">
        <v>740</v>
      </c>
      <c r="C68" s="149" t="s">
        <v>134</v>
      </c>
      <c r="D68" s="149" t="s">
        <v>132</v>
      </c>
      <c r="E68" s="150">
        <v>250</v>
      </c>
      <c r="F68" s="150">
        <v>234</v>
      </c>
      <c r="G68" s="151">
        <f t="shared" si="23"/>
        <v>8.0491603629856723</v>
      </c>
      <c r="H68" s="151">
        <f t="shared" si="23"/>
        <v>0.51065141871165642</v>
      </c>
      <c r="I68" s="152">
        <f>IFERROR(G68*ED_8*BR/AT_AC, "N/A")</f>
        <v>5.4756192945480757</v>
      </c>
      <c r="J68" s="152">
        <f>IFERROR(H68*ED_8*BR/AT_AC, "N/A")</f>
        <v>0.34738191749092273</v>
      </c>
      <c r="K68" s="152">
        <f>IFERROR(G68*ED_8*IF(E68&gt;22,22,E68)*BR/(ED_intermediate*EF_intermediate),"N/A")</f>
        <v>4.0154541493352562</v>
      </c>
      <c r="L68" s="152">
        <f>IFERROR(H68*ED_8*IF(F68&gt;22,22,F68)*BR/(ED_intermediate*EF_intermediate),"N/A")</f>
        <v>0.25474673949334331</v>
      </c>
      <c r="M68" s="152">
        <f>IFERROR(G68*ED_8*E68*WY_95th*BR/AT_95th_non_cancer, "N/A")</f>
        <v>3.7504241743479976</v>
      </c>
      <c r="N68" s="152">
        <f>IFERROR(H68*ED_8*F68*WY_50th*BR/AT_50th_non_cancer, "N/A")</f>
        <v>0.22270511970650936</v>
      </c>
      <c r="O68" s="152">
        <f>IFERROR(G68*ED_8*E68*WY_95th*BR/AT_cancer, "N/A")</f>
        <v>1.9232944483835885</v>
      </c>
      <c r="P68" s="151">
        <f>IFERROR(H68*ED_8*F68*WY_50th*BR/AT_cancer, "N/A")</f>
        <v>8.8511009114125516E-2</v>
      </c>
      <c r="Q68" s="153">
        <v>24</v>
      </c>
      <c r="R68" s="154" t="s">
        <v>767</v>
      </c>
    </row>
    <row r="69" spans="1:18" s="135" customFormat="1" x14ac:dyDescent="0.35">
      <c r="A69" s="418"/>
      <c r="B69" s="155" t="s">
        <v>741</v>
      </c>
      <c r="C69" s="149" t="s">
        <v>134</v>
      </c>
      <c r="D69" s="149" t="s">
        <v>139</v>
      </c>
      <c r="E69" s="150">
        <v>250</v>
      </c>
      <c r="F69" s="150">
        <v>234</v>
      </c>
      <c r="G69" s="151">
        <f>G12</f>
        <v>2.1351067484662578</v>
      </c>
      <c r="H69" s="151">
        <f>H12</f>
        <v>0.91227288343558299</v>
      </c>
      <c r="I69" s="152">
        <f>IFERROR(G69*ED_10*BR/AT_AC, "N/A")</f>
        <v>1.8155669629815119</v>
      </c>
      <c r="J69" s="151">
        <f>IFERROR(H69*ED_10*BR/AT_AC, "N/A")</f>
        <v>0.77574224781937329</v>
      </c>
      <c r="K69" s="152">
        <f>IFERROR(G69*ED_10*IF(E69&gt;22,22,E69)*BR/(ED_intermediate*EF_intermediate),"N/A")</f>
        <v>1.3314157728531089</v>
      </c>
      <c r="L69" s="152">
        <f>IFERROR(H69*ED_10*IF(F69&gt;22,22,F69)*BR/(ED_intermediate*EF_intermediate),"N/A")</f>
        <v>0.56887764840087374</v>
      </c>
      <c r="M69" s="152">
        <f>IFERROR(G69*ED_10*E69*WY_95th*BR/AT_95th_non_cancer, "N/A")</f>
        <v>1.2435390157407615</v>
      </c>
      <c r="N69" s="152">
        <f>IFERROR(H69*ED_10*F69*WY_50th*BR/AT_50th_non_cancer, "N/A")</f>
        <v>0.49732516709515984</v>
      </c>
      <c r="O69" s="152">
        <f>IFERROR(G69*ED_10*E69*WY_95th*BR/AT_cancer, "N/A")</f>
        <v>0.63771231576449317</v>
      </c>
      <c r="P69" s="151">
        <f>IFERROR(H69*ED_10*F69*WY_50th*BR/AT_cancer, "N/A")</f>
        <v>0.19765487410192248</v>
      </c>
      <c r="Q69" s="153">
        <v>5</v>
      </c>
      <c r="R69" s="154" t="s">
        <v>768</v>
      </c>
    </row>
    <row r="70" spans="1:18" s="135" customFormat="1" ht="16" thickBot="1" x14ac:dyDescent="0.4">
      <c r="A70" s="426"/>
      <c r="B70" s="178" t="s">
        <v>740</v>
      </c>
      <c r="C70" s="179" t="s">
        <v>134</v>
      </c>
      <c r="D70" s="179" t="s">
        <v>137</v>
      </c>
      <c r="E70" s="180">
        <v>250</v>
      </c>
      <c r="F70" s="180">
        <v>234</v>
      </c>
      <c r="G70" s="157">
        <f t="shared" si="23"/>
        <v>1.8801003278800263</v>
      </c>
      <c r="H70" s="157">
        <f t="shared" si="23"/>
        <v>0.18459777096114521</v>
      </c>
      <c r="I70" s="156">
        <f>IFERROR(G70*ED_12*BR/AT_AC, "N/A")</f>
        <v>1.9184697223265577</v>
      </c>
      <c r="J70" s="156">
        <f>IFERROR(H70*ED_12*BR/AT_AC, "N/A")</f>
        <v>0.18836507240933184</v>
      </c>
      <c r="K70" s="156">
        <f>IFERROR(G70*ED_12*IF(E70&gt;22,22,E70)*BR/(ED_intermediate*EF_intermediate),"N/A")</f>
        <v>1.406877796372809</v>
      </c>
      <c r="L70" s="156">
        <f>IFERROR(H70*ED_12*IF(F70&gt;22,22,F70)*BR/(ED_intermediate*EF_intermediate),"N/A")</f>
        <v>0.13813438643351003</v>
      </c>
      <c r="M70" s="156">
        <f>IFERROR(G70*ED_12*E70*WY_95th*BR/AT_95th_non_cancer, "N/A")</f>
        <v>1.3140203577579164</v>
      </c>
      <c r="N70" s="156">
        <f>IFERROR(H70*ED_12*F70*WY_50th*BR/AT_50th_non_cancer, "N/A")</f>
        <v>0.12076007381858533</v>
      </c>
      <c r="O70" s="156">
        <f>IFERROR(G70*ED_12*E70*WY_95th*BR/AT_cancer, "N/A")</f>
        <v>0.67385659372200846</v>
      </c>
      <c r="P70" s="157">
        <f>IFERROR(H70*ED_12*F70*WY_50th*BR/AT_cancer, "N/A")</f>
        <v>4.7994388312514687E-2</v>
      </c>
      <c r="Q70" s="181">
        <v>8</v>
      </c>
      <c r="R70" s="182" t="s">
        <v>769</v>
      </c>
    </row>
    <row r="71" spans="1:18" s="135" customFormat="1" x14ac:dyDescent="0.35">
      <c r="A71" s="417" t="s">
        <v>749</v>
      </c>
      <c r="B71" s="164" t="s">
        <v>131</v>
      </c>
      <c r="C71" s="165" t="s">
        <v>63</v>
      </c>
      <c r="D71" s="165" t="s">
        <v>132</v>
      </c>
      <c r="E71" s="166">
        <v>250</v>
      </c>
      <c r="F71" s="166">
        <v>219</v>
      </c>
      <c r="G71" s="167">
        <f t="shared" ref="G71:H78" si="26">G6</f>
        <v>0.30328220858895705</v>
      </c>
      <c r="H71" s="167">
        <f t="shared" si="26"/>
        <v>0.30328220858895705</v>
      </c>
      <c r="I71" s="168">
        <f t="shared" ref="I71:J73" si="27">IFERROR(G71*ED_8*BR/AT_AC, "N/A")</f>
        <v>0.2063144276115354</v>
      </c>
      <c r="J71" s="168">
        <f t="shared" si="27"/>
        <v>0.2063144276115354</v>
      </c>
      <c r="K71" s="168">
        <f t="shared" ref="K71:L73" si="28">IFERROR(G71*ED_8*IF(E71&gt;22,22,E71)*BR/(ED_intermediate*EF_intermediate),"N/A")</f>
        <v>0.15129724691512597</v>
      </c>
      <c r="L71" s="168">
        <f t="shared" si="28"/>
        <v>0.15129724691512597</v>
      </c>
      <c r="M71" s="168">
        <f>IFERROR(G71*ED_8*E71*WY_95th*BR/AT_95th_non_cancer, "N/A")</f>
        <v>0.14131125178872286</v>
      </c>
      <c r="N71" s="168">
        <f>IFERROR(H71*ED_8*F71*WY_50th*BR/AT_50th_non_cancer, "N/A")</f>
        <v>0.12378865656692127</v>
      </c>
      <c r="O71" s="168">
        <f>IFERROR(G71*ED_8*E71*WY_95th*BR/AT_cancer, "N/A")</f>
        <v>7.2467308609601475E-2</v>
      </c>
      <c r="P71" s="167">
        <f>IFERROR(H71*ED_8*F71*WY_50th*BR/AT_cancer, "N/A")</f>
        <v>4.9198055815058456E-2</v>
      </c>
      <c r="Q71" s="169">
        <v>1</v>
      </c>
      <c r="R71" s="170" t="s">
        <v>133</v>
      </c>
    </row>
    <row r="72" spans="1:18" s="135" customFormat="1" x14ac:dyDescent="0.35">
      <c r="A72" s="418"/>
      <c r="B72" s="148" t="s">
        <v>739</v>
      </c>
      <c r="C72" s="149" t="s">
        <v>134</v>
      </c>
      <c r="D72" s="149" t="s">
        <v>132</v>
      </c>
      <c r="E72" s="150">
        <v>250</v>
      </c>
      <c r="F72" s="150">
        <v>219</v>
      </c>
      <c r="G72" s="151">
        <f t="shared" si="26"/>
        <v>9.705030674846622</v>
      </c>
      <c r="H72" s="151">
        <f t="shared" si="26"/>
        <v>2.9115092024539879</v>
      </c>
      <c r="I72" s="152">
        <f t="shared" si="27"/>
        <v>6.6020616835691301</v>
      </c>
      <c r="J72" s="152">
        <f t="shared" si="27"/>
        <v>1.9806185050707403</v>
      </c>
      <c r="K72" s="152">
        <f t="shared" si="28"/>
        <v>4.8415119012840284</v>
      </c>
      <c r="L72" s="152">
        <f t="shared" si="28"/>
        <v>1.4524535703852093</v>
      </c>
      <c r="M72" s="152">
        <f>IFERROR(G72*ED_8*E72*WY_95th*BR/AT_95th_non_cancer, "N/A")</f>
        <v>4.5219600572391316</v>
      </c>
      <c r="N72" s="152">
        <f>IFERROR(H72*ED_8*F72*WY_50th*BR/AT_50th_non_cancer, "N/A")</f>
        <v>1.188371103042444</v>
      </c>
      <c r="O72" s="152">
        <f>IFERROR(G72*ED_8*E72*WY_95th*BR/AT_cancer, "N/A")</f>
        <v>2.3189538755072467</v>
      </c>
      <c r="P72" s="151">
        <f>IFERROR(H72*ED_8*F72*WY_50th*BR/AT_cancer, "N/A")</f>
        <v>0.47230133582456107</v>
      </c>
      <c r="Q72" s="153">
        <v>17</v>
      </c>
      <c r="R72" s="154" t="s">
        <v>766</v>
      </c>
    </row>
    <row r="73" spans="1:18" s="135" customFormat="1" ht="31" x14ac:dyDescent="0.35">
      <c r="A73" s="418"/>
      <c r="B73" s="155" t="s">
        <v>135</v>
      </c>
      <c r="C73" s="149" t="s">
        <v>134</v>
      </c>
      <c r="D73" s="149" t="s">
        <v>132</v>
      </c>
      <c r="E73" s="150">
        <v>250</v>
      </c>
      <c r="F73" s="150">
        <v>219</v>
      </c>
      <c r="G73" s="151">
        <f t="shared" si="26"/>
        <v>46.705460122699385</v>
      </c>
      <c r="H73" s="151">
        <f t="shared" si="26"/>
        <v>0.24262576687116569</v>
      </c>
      <c r="I73" s="152">
        <f t="shared" si="27"/>
        <v>31.772421852176453</v>
      </c>
      <c r="J73" s="152">
        <f t="shared" si="27"/>
        <v>0.16505154208922837</v>
      </c>
      <c r="K73" s="152">
        <f t="shared" si="28"/>
        <v>23.2997760249294</v>
      </c>
      <c r="L73" s="152">
        <f t="shared" si="28"/>
        <v>0.1210377975321008</v>
      </c>
      <c r="M73" s="152">
        <f>IFERROR(G73*ED_8*E73*WY_95th*BR/AT_95th_non_cancer, "N/A")</f>
        <v>21.761932775463325</v>
      </c>
      <c r="N73" s="152">
        <f>IFERROR(H73*ED_8*F73*WY_50th*BR/AT_50th_non_cancer, "N/A")</f>
        <v>9.9030925253537017E-2</v>
      </c>
      <c r="O73" s="152">
        <f>IFERROR(G73*ED_8*E73*WY_95th*BR/AT_cancer, "N/A")</f>
        <v>11.159965525878627</v>
      </c>
      <c r="P73" s="151">
        <f>IFERROR(H73*ED_8*F73*WY_50th*BR/AT_cancer, "N/A")</f>
        <v>3.9358444652046763E-2</v>
      </c>
      <c r="Q73" s="153">
        <v>3</v>
      </c>
      <c r="R73" s="154" t="s">
        <v>764</v>
      </c>
    </row>
    <row r="74" spans="1:18" s="135" customFormat="1" x14ac:dyDescent="0.35">
      <c r="A74" s="418"/>
      <c r="B74" s="148" t="s">
        <v>136</v>
      </c>
      <c r="C74" s="149" t="s">
        <v>134</v>
      </c>
      <c r="D74" s="149" t="s">
        <v>137</v>
      </c>
      <c r="E74" s="150">
        <v>250</v>
      </c>
      <c r="F74" s="150">
        <v>219</v>
      </c>
      <c r="G74" s="151">
        <f t="shared" si="26"/>
        <v>3.42361806066803</v>
      </c>
      <c r="H74" s="151">
        <f t="shared" si="26"/>
        <v>0.33305441206543968</v>
      </c>
      <c r="I74" s="156">
        <f>IFERROR(G74*ED_12*BR/AT_AC, "N/A")</f>
        <v>3.493487817008194</v>
      </c>
      <c r="J74" s="156">
        <f>IFERROR(H74*ED_12*BR/AT_AC, "N/A")</f>
        <v>0.33985144088310171</v>
      </c>
      <c r="K74" s="156">
        <f>IFERROR(G74*ED_12*IF(E74&gt;22,22,E74)*BR/(ED_intermediate*EF_intermediate),"N/A")</f>
        <v>2.5618910658060092</v>
      </c>
      <c r="L74" s="156">
        <f>IFERROR(H74*ED_12*IF(F74&gt;22,22,F74)*BR/(ED_intermediate*EF_intermediate),"N/A")</f>
        <v>0.24922438998094121</v>
      </c>
      <c r="M74" s="156">
        <f>IFERROR(G74*ED_12*E74*WY_95th*BR/AT_95th_non_cancer, "N/A")</f>
        <v>2.3927998746631469</v>
      </c>
      <c r="N74" s="156">
        <f>IFERROR(H74*ED_12*F74*WY_50th*BR/AT_50th_non_cancer, "N/A")</f>
        <v>0.20391086452986101</v>
      </c>
      <c r="O74" s="156">
        <f>IFERROR(G74*ED_12*E74*WY_95th*BR/AT_cancer, "N/A")</f>
        <v>1.2270768588016137</v>
      </c>
      <c r="P74" s="157">
        <f>IFERROR(H74*ED_12*F74*WY_50th*BR/AT_cancer, "N/A")</f>
        <v>8.1041497441355026E-2</v>
      </c>
      <c r="Q74" s="153">
        <v>11</v>
      </c>
      <c r="R74" s="154" t="s">
        <v>765</v>
      </c>
    </row>
    <row r="75" spans="1:18" s="135" customFormat="1" x14ac:dyDescent="0.35">
      <c r="A75" s="418"/>
      <c r="B75" s="148" t="s">
        <v>737</v>
      </c>
      <c r="C75" s="149" t="s">
        <v>134</v>
      </c>
      <c r="D75" s="149" t="s">
        <v>132</v>
      </c>
      <c r="E75" s="150">
        <v>250</v>
      </c>
      <c r="F75" s="150">
        <v>219</v>
      </c>
      <c r="G75" s="151">
        <f t="shared" si="26"/>
        <v>0.15770674846625768</v>
      </c>
      <c r="H75" s="151">
        <f t="shared" si="26"/>
        <v>0.15770674846625768</v>
      </c>
      <c r="I75" s="152">
        <f>IFERROR(G75*ED_8*BR/AT_AC, "N/A")</f>
        <v>0.10728350235799843</v>
      </c>
      <c r="J75" s="152">
        <f>IFERROR(H75*ED_8*BR/AT_AC, "N/A")</f>
        <v>0.10728350235799843</v>
      </c>
      <c r="K75" s="152">
        <f>IFERROR(G75*ED_8*IF(E75&gt;22,22,E75)*BR/(ED_intermediate*EF_intermediate),"N/A")</f>
        <v>7.8674568395865521E-2</v>
      </c>
      <c r="L75" s="152">
        <f>IFERROR(H75*ED_8*IF(F75&gt;22,22,F75)*BR/(ED_intermediate*EF_intermediate),"N/A")</f>
        <v>7.8674568395865521E-2</v>
      </c>
      <c r="M75" s="152">
        <f>IFERROR(G75*ED_8*E75*WY_95th*BR/AT_95th_non_cancer, "N/A")</f>
        <v>7.3481850930135914E-2</v>
      </c>
      <c r="N75" s="152">
        <f>IFERROR(H75*ED_8*F75*WY_50th*BR/AT_50th_non_cancer, "N/A")</f>
        <v>6.4370101414799041E-2</v>
      </c>
      <c r="O75" s="152">
        <f>IFERROR(G75*ED_8*E75*WY_95th*BR/AT_cancer, "N/A")</f>
        <v>3.768300047699278E-2</v>
      </c>
      <c r="P75" s="151">
        <f>IFERROR(H75*ED_8*F75*WY_50th*BR/AT_cancer, "N/A")</f>
        <v>2.5582989023830389E-2</v>
      </c>
      <c r="Q75" s="153">
        <v>1</v>
      </c>
      <c r="R75" s="154" t="s">
        <v>738</v>
      </c>
    </row>
    <row r="76" spans="1:18" s="135" customFormat="1" x14ac:dyDescent="0.35">
      <c r="A76" s="418"/>
      <c r="B76" s="155" t="s">
        <v>740</v>
      </c>
      <c r="C76" s="149" t="s">
        <v>134</v>
      </c>
      <c r="D76" s="149" t="s">
        <v>132</v>
      </c>
      <c r="E76" s="150">
        <v>250</v>
      </c>
      <c r="F76" s="150">
        <v>219</v>
      </c>
      <c r="G76" s="151">
        <f t="shared" si="26"/>
        <v>8.0491603629856723</v>
      </c>
      <c r="H76" s="151">
        <f t="shared" si="26"/>
        <v>0.51065141871165642</v>
      </c>
      <c r="I76" s="152">
        <f>IFERROR(G76*ED_8*BR/AT_AC, "N/A")</f>
        <v>5.4756192945480757</v>
      </c>
      <c r="J76" s="152">
        <f>IFERROR(H76*ED_8*BR/AT_AC, "N/A")</f>
        <v>0.34738191749092273</v>
      </c>
      <c r="K76" s="152">
        <f>IFERROR(G76*ED_8*IF(E76&gt;22,22,E76)*BR/(ED_intermediate*EF_intermediate),"N/A")</f>
        <v>4.0154541493352562</v>
      </c>
      <c r="L76" s="152">
        <f>IFERROR(H76*ED_8*IF(F76&gt;22,22,F76)*BR/(ED_intermediate*EF_intermediate),"N/A")</f>
        <v>0.25474673949334331</v>
      </c>
      <c r="M76" s="152">
        <f>IFERROR(G76*ED_8*E76*WY_95th*BR/AT_95th_non_cancer, "N/A")</f>
        <v>3.7504241743479976</v>
      </c>
      <c r="N76" s="152">
        <f>IFERROR(H76*ED_8*F76*WY_50th*BR/AT_50th_non_cancer, "N/A")</f>
        <v>0.20842915049455366</v>
      </c>
      <c r="O76" s="152">
        <f>IFERROR(G76*ED_8*E76*WY_95th*BR/AT_cancer, "N/A")</f>
        <v>1.9232944483835885</v>
      </c>
      <c r="P76" s="151">
        <f>IFERROR(H76*ED_8*F76*WY_50th*BR/AT_cancer, "N/A")</f>
        <v>8.2837226478604656E-2</v>
      </c>
      <c r="Q76" s="153">
        <v>24</v>
      </c>
      <c r="R76" s="154" t="s">
        <v>767</v>
      </c>
    </row>
    <row r="77" spans="1:18" s="135" customFormat="1" x14ac:dyDescent="0.35">
      <c r="A77" s="418"/>
      <c r="B77" s="155" t="s">
        <v>741</v>
      </c>
      <c r="C77" s="149" t="s">
        <v>134</v>
      </c>
      <c r="D77" s="149" t="s">
        <v>139</v>
      </c>
      <c r="E77" s="150">
        <v>250</v>
      </c>
      <c r="F77" s="150">
        <v>219</v>
      </c>
      <c r="G77" s="151">
        <f>G12</f>
        <v>2.1351067484662578</v>
      </c>
      <c r="H77" s="151">
        <f>H12</f>
        <v>0.91227288343558299</v>
      </c>
      <c r="I77" s="152">
        <f>IFERROR(G77*ED_10*BR/AT_AC, "N/A")</f>
        <v>1.8155669629815119</v>
      </c>
      <c r="J77" s="151">
        <f>IFERROR(H77*ED_10*BR/AT_AC, "N/A")</f>
        <v>0.77574224781937329</v>
      </c>
      <c r="K77" s="152">
        <f>IFERROR(G77*ED_10*IF(E77&gt;22,22,E77)*BR/(ED_intermediate*EF_intermediate),"N/A")</f>
        <v>1.3314157728531089</v>
      </c>
      <c r="L77" s="152">
        <f>IFERROR(H77*ED_10*IF(F77&gt;22,22,F77)*BR/(ED_intermediate*EF_intermediate),"N/A")</f>
        <v>0.56887764840087374</v>
      </c>
      <c r="M77" s="152">
        <f>IFERROR(G77*ED_10*E77*WY_95th*BR/AT_95th_non_cancer, "N/A")</f>
        <v>1.2435390157407615</v>
      </c>
      <c r="N77" s="152">
        <f>IFERROR(H77*ED_10*F77*WY_50th*BR/AT_50th_non_cancer, "N/A")</f>
        <v>0.46544534869162396</v>
      </c>
      <c r="O77" s="152">
        <f>IFERROR(G77*ED_10*E77*WY_95th*BR/AT_cancer, "N/A")</f>
        <v>0.63771231576449317</v>
      </c>
      <c r="P77" s="151">
        <f>IFERROR(H77*ED_10*F77*WY_50th*BR/AT_cancer, "N/A")</f>
        <v>0.18498468986461977</v>
      </c>
      <c r="Q77" s="153">
        <v>5</v>
      </c>
      <c r="R77" s="154" t="s">
        <v>768</v>
      </c>
    </row>
    <row r="78" spans="1:18" s="135" customFormat="1" ht="16" thickBot="1" x14ac:dyDescent="0.4">
      <c r="A78" s="419"/>
      <c r="B78" s="158" t="s">
        <v>740</v>
      </c>
      <c r="C78" s="159" t="s">
        <v>134</v>
      </c>
      <c r="D78" s="159" t="s">
        <v>137</v>
      </c>
      <c r="E78" s="160">
        <v>250</v>
      </c>
      <c r="F78" s="160">
        <v>219</v>
      </c>
      <c r="G78" s="161">
        <f t="shared" si="26"/>
        <v>1.8801003278800263</v>
      </c>
      <c r="H78" s="161">
        <f t="shared" si="26"/>
        <v>0.18459777096114521</v>
      </c>
      <c r="I78" s="162">
        <f>IFERROR(G78*ED_12*BR/AT_AC, "N/A")</f>
        <v>1.9184697223265577</v>
      </c>
      <c r="J78" s="162">
        <f>IFERROR(H78*ED_12*BR/AT_AC, "N/A")</f>
        <v>0.18836507240933184</v>
      </c>
      <c r="K78" s="162">
        <f>IFERROR(G78*ED_12*IF(E78&gt;22,22,E78)*BR/(ED_intermediate*EF_intermediate),"N/A")</f>
        <v>1.406877796372809</v>
      </c>
      <c r="L78" s="162">
        <f>IFERROR(H78*ED_12*IF(F78&gt;22,22,F78)*BR/(ED_intermediate*EF_intermediate),"N/A")</f>
        <v>0.13813438643351003</v>
      </c>
      <c r="M78" s="162">
        <f>IFERROR(G78*ED_12*E78*WY_95th*BR/AT_95th_non_cancer, "N/A")</f>
        <v>1.3140203577579164</v>
      </c>
      <c r="N78" s="162">
        <f>IFERROR(H78*ED_12*F78*WY_50th*BR/AT_50th_non_cancer, "N/A")</f>
        <v>0.11301904344559911</v>
      </c>
      <c r="O78" s="162">
        <f>IFERROR(G78*ED_12*E78*WY_95th*BR/AT_cancer, "N/A")</f>
        <v>0.67385659372200846</v>
      </c>
      <c r="P78" s="161">
        <f>IFERROR(H78*ED_12*F78*WY_50th*BR/AT_cancer, "N/A")</f>
        <v>4.491782495914836E-2</v>
      </c>
      <c r="Q78" s="171">
        <v>8</v>
      </c>
      <c r="R78" s="163" t="s">
        <v>769</v>
      </c>
    </row>
    <row r="79" spans="1:18" s="135" customFormat="1" x14ac:dyDescent="0.35">
      <c r="A79" s="417" t="s">
        <v>750</v>
      </c>
      <c r="B79" s="173" t="s">
        <v>134</v>
      </c>
      <c r="C79" s="165" t="s">
        <v>134</v>
      </c>
      <c r="D79" s="166" t="s">
        <v>144</v>
      </c>
      <c r="E79" s="166" t="s">
        <v>144</v>
      </c>
      <c r="F79" s="166" t="s">
        <v>144</v>
      </c>
      <c r="G79" s="166" t="s">
        <v>144</v>
      </c>
      <c r="H79" s="166" t="s">
        <v>144</v>
      </c>
      <c r="I79" s="168" t="str">
        <f t="shared" ref="I79:I80" si="29">IFERROR(G79*ED_AC*BR/AT_AC, "N/A")</f>
        <v>N/A</v>
      </c>
      <c r="J79" s="168" t="str">
        <f t="shared" ref="J79:J80" si="30">IFERROR(H79*ED_AC*BR/AT_AC, "N/A")</f>
        <v>N/A</v>
      </c>
      <c r="K79" s="168" t="str">
        <f t="shared" ref="K79:K80" si="31">IFERROR(G79*8*IF(E79&gt;22,22,E79)*BR/(ED_intermediate*EF_intermediate),"N/A")</f>
        <v>N/A</v>
      </c>
      <c r="L79" s="168" t="str">
        <f t="shared" ref="L79:L80" si="32">IFERROR(H79*8*IF(F79&gt;22,22,F79)*BR/(ED_intermediate*EF_intermediate),"N/A")</f>
        <v>N/A</v>
      </c>
      <c r="M79" s="168" t="str">
        <f t="shared" ref="M79:M80" si="33">IFERROR(G79*ED_chronic*E79*WY_95th*BR/AT_95th_non_cancer, "N/A")</f>
        <v>N/A</v>
      </c>
      <c r="N79" s="168" t="str">
        <f t="shared" ref="N79:N80" si="34">IFERROR(H79*ED_chronic*F79*WY_50th*BR/AT_50th_non_cancer, "N/A")</f>
        <v>N/A</v>
      </c>
      <c r="O79" s="168" t="str">
        <f t="shared" ref="O79:O80" si="35">IFERROR(G79*ED_chronic*E79*WY_95th*BR/AT_cancer, "N/A")</f>
        <v>N/A</v>
      </c>
      <c r="P79" s="167" t="str">
        <f t="shared" ref="P79:P80" si="36">IFERROR(H79*ED_chronic*F79*WY_50th*BR/AT_cancer, "N/A")</f>
        <v>N/A</v>
      </c>
      <c r="Q79" s="166" t="s">
        <v>144</v>
      </c>
      <c r="R79" s="170" t="s">
        <v>145</v>
      </c>
    </row>
    <row r="80" spans="1:18" s="135" customFormat="1" ht="16" thickBot="1" x14ac:dyDescent="0.4">
      <c r="A80" s="419"/>
      <c r="B80" s="175" t="s">
        <v>63</v>
      </c>
      <c r="C80" s="159" t="s">
        <v>63</v>
      </c>
      <c r="D80" s="160" t="s">
        <v>144</v>
      </c>
      <c r="E80" s="160" t="s">
        <v>144</v>
      </c>
      <c r="F80" s="160" t="s">
        <v>144</v>
      </c>
      <c r="G80" s="160" t="s">
        <v>144</v>
      </c>
      <c r="H80" s="160" t="s">
        <v>144</v>
      </c>
      <c r="I80" s="162" t="str">
        <f t="shared" si="29"/>
        <v>N/A</v>
      </c>
      <c r="J80" s="162" t="str">
        <f t="shared" si="30"/>
        <v>N/A</v>
      </c>
      <c r="K80" s="162" t="str">
        <f t="shared" si="31"/>
        <v>N/A</v>
      </c>
      <c r="L80" s="162" t="str">
        <f t="shared" si="32"/>
        <v>N/A</v>
      </c>
      <c r="M80" s="162" t="str">
        <f t="shared" si="33"/>
        <v>N/A</v>
      </c>
      <c r="N80" s="162" t="str">
        <f t="shared" si="34"/>
        <v>N/A</v>
      </c>
      <c r="O80" s="162" t="str">
        <f t="shared" si="35"/>
        <v>N/A</v>
      </c>
      <c r="P80" s="161" t="str">
        <f t="shared" si="36"/>
        <v>N/A</v>
      </c>
      <c r="Q80" s="160" t="s">
        <v>144</v>
      </c>
      <c r="R80" s="163" t="s">
        <v>145</v>
      </c>
    </row>
    <row r="81" spans="1:18" s="135" customFormat="1" x14ac:dyDescent="0.35">
      <c r="A81" s="417" t="s">
        <v>751</v>
      </c>
      <c r="B81" s="164" t="s">
        <v>131</v>
      </c>
      <c r="C81" s="165" t="s">
        <v>63</v>
      </c>
      <c r="D81" s="165" t="s">
        <v>132</v>
      </c>
      <c r="E81" s="166">
        <v>250</v>
      </c>
      <c r="F81" s="166">
        <v>246</v>
      </c>
      <c r="G81" s="167">
        <f t="shared" ref="G81:H88" si="37">G6</f>
        <v>0.30328220858895705</v>
      </c>
      <c r="H81" s="167">
        <f t="shared" si="37"/>
        <v>0.30328220858895705</v>
      </c>
      <c r="I81" s="168">
        <f t="shared" ref="I81:J83" si="38">IFERROR(G81*ED_8*BR/AT_AC, "N/A")</f>
        <v>0.2063144276115354</v>
      </c>
      <c r="J81" s="168">
        <f t="shared" si="38"/>
        <v>0.2063144276115354</v>
      </c>
      <c r="K81" s="168">
        <f t="shared" ref="K81:L83" si="39">IFERROR(G81*ED_8*IF(E81&gt;22,22,E81)*BR/(ED_intermediate*EF_intermediate),"N/A")</f>
        <v>0.15129724691512597</v>
      </c>
      <c r="L81" s="168">
        <f t="shared" si="39"/>
        <v>0.15129724691512597</v>
      </c>
      <c r="M81" s="168">
        <f>IFERROR(G81*ED_8*E81*WY_95th*BR/AT_95th_non_cancer, "N/A")</f>
        <v>0.14131125178872286</v>
      </c>
      <c r="N81" s="168">
        <f>IFERROR(H81*ED_8*F81*WY_50th*BR/AT_50th_non_cancer, "N/A")</f>
        <v>0.13905027176010332</v>
      </c>
      <c r="O81" s="168">
        <f>IFERROR(G81*ED_8*E81*WY_95th*BR/AT_cancer, "N/A")</f>
        <v>7.2467308609601475E-2</v>
      </c>
      <c r="P81" s="167">
        <f>IFERROR(H81*ED_8*F81*WY_50th*BR/AT_cancer, "N/A")</f>
        <v>5.5263569545682088E-2</v>
      </c>
      <c r="Q81" s="169">
        <v>1</v>
      </c>
      <c r="R81" s="170" t="s">
        <v>133</v>
      </c>
    </row>
    <row r="82" spans="1:18" s="135" customFormat="1" ht="15" customHeight="1" x14ac:dyDescent="0.35">
      <c r="A82" s="418"/>
      <c r="B82" s="148" t="s">
        <v>739</v>
      </c>
      <c r="C82" s="149" t="s">
        <v>134</v>
      </c>
      <c r="D82" s="149" t="s">
        <v>132</v>
      </c>
      <c r="E82" s="150">
        <v>250</v>
      </c>
      <c r="F82" s="150">
        <v>246</v>
      </c>
      <c r="G82" s="151">
        <f t="shared" si="37"/>
        <v>9.705030674846622</v>
      </c>
      <c r="H82" s="151">
        <f t="shared" si="37"/>
        <v>2.9115092024539879</v>
      </c>
      <c r="I82" s="152">
        <f t="shared" si="38"/>
        <v>6.6020616835691301</v>
      </c>
      <c r="J82" s="152">
        <f t="shared" si="38"/>
        <v>1.9806185050707403</v>
      </c>
      <c r="K82" s="152">
        <f t="shared" si="39"/>
        <v>4.8415119012840284</v>
      </c>
      <c r="L82" s="152">
        <f t="shared" si="39"/>
        <v>1.4524535703852093</v>
      </c>
      <c r="M82" s="152">
        <f>IFERROR(G82*ED_8*E82*WY_95th*BR/AT_95th_non_cancer, "N/A")</f>
        <v>4.5219600572391316</v>
      </c>
      <c r="N82" s="152">
        <f>IFERROR(H82*ED_8*F82*WY_50th*BR/AT_50th_non_cancer, "N/A")</f>
        <v>1.3348826088969918</v>
      </c>
      <c r="O82" s="152">
        <f>IFERROR(G82*ED_8*E82*WY_95th*BR/AT_cancer, "N/A")</f>
        <v>2.3189538755072467</v>
      </c>
      <c r="P82" s="151">
        <f>IFERROR(H82*ED_8*F82*WY_50th*BR/AT_cancer, "N/A")</f>
        <v>0.53053026763854805</v>
      </c>
      <c r="Q82" s="153">
        <v>17</v>
      </c>
      <c r="R82" s="154" t="s">
        <v>766</v>
      </c>
    </row>
    <row r="83" spans="1:18" s="135" customFormat="1" ht="29.4" customHeight="1" x14ac:dyDescent="0.35">
      <c r="A83" s="418"/>
      <c r="B83" s="155" t="s">
        <v>135</v>
      </c>
      <c r="C83" s="149" t="s">
        <v>134</v>
      </c>
      <c r="D83" s="149" t="s">
        <v>132</v>
      </c>
      <c r="E83" s="150">
        <v>250</v>
      </c>
      <c r="F83" s="150">
        <v>246</v>
      </c>
      <c r="G83" s="151">
        <f t="shared" si="37"/>
        <v>46.705460122699385</v>
      </c>
      <c r="H83" s="151">
        <f t="shared" si="37"/>
        <v>0.24262576687116569</v>
      </c>
      <c r="I83" s="152">
        <f t="shared" si="38"/>
        <v>31.772421852176453</v>
      </c>
      <c r="J83" s="152">
        <f t="shared" si="38"/>
        <v>0.16505154208922837</v>
      </c>
      <c r="K83" s="152">
        <f t="shared" si="39"/>
        <v>23.2997760249294</v>
      </c>
      <c r="L83" s="152">
        <f t="shared" si="39"/>
        <v>0.1210377975321008</v>
      </c>
      <c r="M83" s="152">
        <f>IFERROR(G83*ED_8*E83*WY_95th*BR/AT_95th_non_cancer, "N/A")</f>
        <v>21.761932775463325</v>
      </c>
      <c r="N83" s="152">
        <f>IFERROR(H83*ED_8*F83*WY_50th*BR/AT_50th_non_cancer, "N/A")</f>
        <v>0.11124021740808268</v>
      </c>
      <c r="O83" s="152">
        <f>IFERROR(G83*ED_8*E83*WY_95th*BR/AT_cancer, "N/A")</f>
        <v>11.159965525878627</v>
      </c>
      <c r="P83" s="151">
        <f>IFERROR(H83*ED_8*F83*WY_50th*BR/AT_cancer, "N/A")</f>
        <v>4.4210855636545678E-2</v>
      </c>
      <c r="Q83" s="150">
        <v>3</v>
      </c>
      <c r="R83" s="154" t="s">
        <v>764</v>
      </c>
    </row>
    <row r="84" spans="1:18" s="135" customFormat="1" ht="15" customHeight="1" x14ac:dyDescent="0.35">
      <c r="A84" s="418"/>
      <c r="B84" s="148" t="s">
        <v>136</v>
      </c>
      <c r="C84" s="149" t="s">
        <v>134</v>
      </c>
      <c r="D84" s="149" t="s">
        <v>137</v>
      </c>
      <c r="E84" s="150">
        <v>250</v>
      </c>
      <c r="F84" s="150">
        <v>246</v>
      </c>
      <c r="G84" s="151">
        <f t="shared" si="37"/>
        <v>3.42361806066803</v>
      </c>
      <c r="H84" s="151">
        <f t="shared" si="37"/>
        <v>0.33305441206543968</v>
      </c>
      <c r="I84" s="156">
        <f>IFERROR(G84*ED_12*BR/AT_AC, "N/A")</f>
        <v>3.493487817008194</v>
      </c>
      <c r="J84" s="156">
        <f>IFERROR(H84*ED_12*BR/AT_AC, "N/A")</f>
        <v>0.33985144088310171</v>
      </c>
      <c r="K84" s="156">
        <f>IFERROR(G84*ED_12*IF(E84&gt;22,22,E84)*BR/(ED_intermediate*EF_intermediate),"N/A")</f>
        <v>2.5618910658060092</v>
      </c>
      <c r="L84" s="156">
        <f>IFERROR(H84*ED_12*IF(F84&gt;22,22,F84)*BR/(ED_intermediate*EF_intermediate),"N/A")</f>
        <v>0.24922438998094121</v>
      </c>
      <c r="M84" s="156">
        <f>IFERROR(G84*ED_12*E84*WY_95th*BR/AT_95th_non_cancer, "N/A")</f>
        <v>2.3927998746631469</v>
      </c>
      <c r="N84" s="156">
        <f>IFERROR(H84*ED_12*F84*WY_50th*BR/AT_50th_non_cancer, "N/A")</f>
        <v>0.2290505601568302</v>
      </c>
      <c r="O84" s="156">
        <f>IFERROR(G84*ED_12*E84*WY_95th*BR/AT_cancer, "N/A")</f>
        <v>1.2270768588016137</v>
      </c>
      <c r="P84" s="157">
        <f>IFERROR(H84*ED_12*F84*WY_50th*BR/AT_cancer, "N/A")</f>
        <v>9.1032914934124826E-2</v>
      </c>
      <c r="Q84" s="153">
        <v>11</v>
      </c>
      <c r="R84" s="154" t="s">
        <v>765</v>
      </c>
    </row>
    <row r="85" spans="1:18" s="135" customFormat="1" ht="15" customHeight="1" x14ac:dyDescent="0.35">
      <c r="A85" s="418"/>
      <c r="B85" s="148" t="s">
        <v>737</v>
      </c>
      <c r="C85" s="149" t="s">
        <v>134</v>
      </c>
      <c r="D85" s="149" t="s">
        <v>132</v>
      </c>
      <c r="E85" s="150">
        <v>250</v>
      </c>
      <c r="F85" s="150">
        <v>246</v>
      </c>
      <c r="G85" s="151">
        <f t="shared" si="37"/>
        <v>0.15770674846625768</v>
      </c>
      <c r="H85" s="151">
        <f t="shared" si="37"/>
        <v>0.15770674846625768</v>
      </c>
      <c r="I85" s="152">
        <f>IFERROR(G85*ED_8*BR/AT_AC, "N/A")</f>
        <v>0.10728350235799843</v>
      </c>
      <c r="J85" s="152">
        <f>IFERROR(H85*ED_8*BR/AT_AC, "N/A")</f>
        <v>0.10728350235799843</v>
      </c>
      <c r="K85" s="152">
        <f>IFERROR(G85*ED_8*IF(E85&gt;22,22,E85)*BR/(ED_intermediate*EF_intermediate),"N/A")</f>
        <v>7.8674568395865521E-2</v>
      </c>
      <c r="L85" s="152">
        <f>IFERROR(H85*ED_8*IF(F85&gt;22,22,F85)*BR/(ED_intermediate*EF_intermediate),"N/A")</f>
        <v>7.8674568395865521E-2</v>
      </c>
      <c r="M85" s="152">
        <f>IFERROR(G85*ED_8*E85*WY_95th*BR/AT_95th_non_cancer, "N/A")</f>
        <v>7.3481850930135914E-2</v>
      </c>
      <c r="N85" s="152">
        <f>IFERROR(H85*ED_8*F85*WY_50th*BR/AT_50th_non_cancer, "N/A")</f>
        <v>7.230614131525373E-2</v>
      </c>
      <c r="O85" s="152">
        <f>IFERROR(G85*ED_8*E85*WY_95th*BR/AT_cancer, "N/A")</f>
        <v>3.768300047699278E-2</v>
      </c>
      <c r="P85" s="151">
        <f>IFERROR(H85*ED_8*F85*WY_50th*BR/AT_cancer, "N/A")</f>
        <v>2.8737056163754687E-2</v>
      </c>
      <c r="Q85" s="153">
        <v>1</v>
      </c>
      <c r="R85" s="154" t="s">
        <v>738</v>
      </c>
    </row>
    <row r="86" spans="1:18" s="135" customFormat="1" ht="15" customHeight="1" x14ac:dyDescent="0.35">
      <c r="A86" s="418"/>
      <c r="B86" s="155" t="s">
        <v>740</v>
      </c>
      <c r="C86" s="149" t="s">
        <v>134</v>
      </c>
      <c r="D86" s="149" t="s">
        <v>132</v>
      </c>
      <c r="E86" s="150">
        <v>250</v>
      </c>
      <c r="F86" s="150">
        <v>246</v>
      </c>
      <c r="G86" s="151">
        <f t="shared" si="37"/>
        <v>8.0491603629856723</v>
      </c>
      <c r="H86" s="151">
        <f t="shared" si="37"/>
        <v>0.51065141871165642</v>
      </c>
      <c r="I86" s="152">
        <f>IFERROR(G86*ED_8*BR/AT_AC, "N/A")</f>
        <v>5.4756192945480757</v>
      </c>
      <c r="J86" s="152">
        <f>IFERROR(H86*ED_8*BR/AT_AC, "N/A")</f>
        <v>0.34738191749092273</v>
      </c>
      <c r="K86" s="152">
        <f>IFERROR(G86*ED_8*IF(E86&gt;22,22,E86)*BR/(ED_intermediate*EF_intermediate),"N/A")</f>
        <v>4.0154541493352562</v>
      </c>
      <c r="L86" s="152">
        <f>IFERROR(H86*ED_8*IF(F86&gt;22,22,F86)*BR/(ED_intermediate*EF_intermediate),"N/A")</f>
        <v>0.25474673949334331</v>
      </c>
      <c r="M86" s="152">
        <f>IFERROR(G86*ED_8*E86*WY_95th*BR/AT_95th_non_cancer, "N/A")</f>
        <v>3.7504241743479976</v>
      </c>
      <c r="N86" s="152">
        <f>IFERROR(H86*ED_8*F86*WY_50th*BR/AT_50th_non_cancer, "N/A")</f>
        <v>0.23412589507607395</v>
      </c>
      <c r="O86" s="152">
        <f>IFERROR(G86*ED_8*E86*WY_95th*BR/AT_cancer, "N/A")</f>
        <v>1.9232944483835885</v>
      </c>
      <c r="P86" s="151">
        <f>IFERROR(H86*ED_8*F86*WY_50th*BR/AT_cancer, "N/A")</f>
        <v>9.3050035222542224E-2</v>
      </c>
      <c r="Q86" s="153">
        <v>24</v>
      </c>
      <c r="R86" s="154" t="s">
        <v>767</v>
      </c>
    </row>
    <row r="87" spans="1:18" s="135" customFormat="1" ht="15" customHeight="1" x14ac:dyDescent="0.35">
      <c r="A87" s="418"/>
      <c r="B87" s="155" t="s">
        <v>741</v>
      </c>
      <c r="C87" s="149" t="s">
        <v>134</v>
      </c>
      <c r="D87" s="149" t="s">
        <v>139</v>
      </c>
      <c r="E87" s="150">
        <v>250</v>
      </c>
      <c r="F87" s="150">
        <v>246</v>
      </c>
      <c r="G87" s="151">
        <f>G12</f>
        <v>2.1351067484662578</v>
      </c>
      <c r="H87" s="151">
        <f>H12</f>
        <v>0.91227288343558299</v>
      </c>
      <c r="I87" s="152">
        <f>IFERROR(G87*ED_10*BR/AT_AC, "N/A")</f>
        <v>1.8155669629815119</v>
      </c>
      <c r="J87" s="151">
        <f>IFERROR(H87*ED_10*BR/AT_AC, "N/A")</f>
        <v>0.77574224781937329</v>
      </c>
      <c r="K87" s="152">
        <f>IFERROR(G87*ED_10*IF(E87&gt;22,22,E87)*BR/(ED_intermediate*EF_intermediate),"N/A")</f>
        <v>1.3314157728531089</v>
      </c>
      <c r="L87" s="152">
        <f>IFERROR(H87*ED_10*IF(F87&gt;22,22,F87)*BR/(ED_intermediate*EF_intermediate),"N/A")</f>
        <v>0.56887764840087374</v>
      </c>
      <c r="M87" s="152">
        <f>IFERROR(G87*ED_10*E87*WY_95th*BR/AT_95th_non_cancer, "N/A")</f>
        <v>1.2435390157407615</v>
      </c>
      <c r="N87" s="152">
        <f>IFERROR(H87*ED_10*F87*WY_50th*BR/AT_50th_non_cancer, "N/A")</f>
        <v>0.52282902181798852</v>
      </c>
      <c r="O87" s="152">
        <f>IFERROR(G87*ED_10*E87*WY_95th*BR/AT_cancer, "N/A")</f>
        <v>0.63771231576449317</v>
      </c>
      <c r="P87" s="151">
        <f>IFERROR(H87*ED_10*F87*WY_50th*BR/AT_cancer, "N/A")</f>
        <v>0.20779102149176465</v>
      </c>
      <c r="Q87" s="153">
        <v>5</v>
      </c>
      <c r="R87" s="154" t="s">
        <v>768</v>
      </c>
    </row>
    <row r="88" spans="1:18" s="135" customFormat="1" ht="15" customHeight="1" thickBot="1" x14ac:dyDescent="0.4">
      <c r="A88" s="419"/>
      <c r="B88" s="158" t="s">
        <v>740</v>
      </c>
      <c r="C88" s="159" t="s">
        <v>134</v>
      </c>
      <c r="D88" s="159" t="s">
        <v>137</v>
      </c>
      <c r="E88" s="160">
        <v>250</v>
      </c>
      <c r="F88" s="160">
        <v>246</v>
      </c>
      <c r="G88" s="161">
        <f t="shared" si="37"/>
        <v>1.8801003278800263</v>
      </c>
      <c r="H88" s="161">
        <f t="shared" si="37"/>
        <v>0.18459777096114521</v>
      </c>
      <c r="I88" s="162">
        <f>IFERROR(G88*ED_12*BR/AT_AC, "N/A")</f>
        <v>1.9184697223265577</v>
      </c>
      <c r="J88" s="162">
        <f>IFERROR(H88*ED_12*BR/AT_AC, "N/A")</f>
        <v>0.18836507240933184</v>
      </c>
      <c r="K88" s="162">
        <f>IFERROR(G88*ED_12*IF(E88&gt;22,22,E88)*BR/(ED_intermediate*EF_intermediate),"N/A")</f>
        <v>1.406877796372809</v>
      </c>
      <c r="L88" s="162">
        <f>IFERROR(H88*ED_12*IF(F88&gt;22,22,F88)*BR/(ED_intermediate*EF_intermediate),"N/A")</f>
        <v>0.13813438643351003</v>
      </c>
      <c r="M88" s="162">
        <f>IFERROR(G88*ED_12*E88*WY_95th*BR/AT_95th_non_cancer, "N/A")</f>
        <v>1.3140203577579164</v>
      </c>
      <c r="N88" s="162">
        <f>IFERROR(H88*ED_12*F88*WY_50th*BR/AT_50th_non_cancer, "N/A")</f>
        <v>0.12695289811697433</v>
      </c>
      <c r="O88" s="162">
        <f>IFERROR(G88*ED_12*E88*WY_95th*BR/AT_cancer, "N/A")</f>
        <v>0.67385659372200846</v>
      </c>
      <c r="P88" s="161">
        <f>IFERROR(H88*ED_12*F88*WY_50th*BR/AT_cancer, "N/A")</f>
        <v>5.045563899520774E-2</v>
      </c>
      <c r="Q88" s="171">
        <v>8</v>
      </c>
      <c r="R88" s="163" t="s">
        <v>769</v>
      </c>
    </row>
    <row r="89" spans="1:18" s="135" customFormat="1" x14ac:dyDescent="0.35">
      <c r="A89" s="417" t="s">
        <v>752</v>
      </c>
      <c r="B89" s="164" t="s">
        <v>131</v>
      </c>
      <c r="C89" s="165" t="s">
        <v>63</v>
      </c>
      <c r="D89" s="165" t="s">
        <v>132</v>
      </c>
      <c r="E89" s="166">
        <v>250</v>
      </c>
      <c r="F89" s="166">
        <v>246</v>
      </c>
      <c r="G89" s="167">
        <f t="shared" ref="G89:H96" si="40">G6</f>
        <v>0.30328220858895705</v>
      </c>
      <c r="H89" s="167">
        <f t="shared" si="40"/>
        <v>0.30328220858895705</v>
      </c>
      <c r="I89" s="168">
        <f t="shared" ref="I89:J91" si="41">IFERROR(G89*ED_8*BR/AT_AC, "N/A")</f>
        <v>0.2063144276115354</v>
      </c>
      <c r="J89" s="168">
        <f t="shared" si="41"/>
        <v>0.2063144276115354</v>
      </c>
      <c r="K89" s="168">
        <f t="shared" ref="K89:L91" si="42">IFERROR(G89*ED_8*IF(E89&gt;22,22,E89)*BR/(ED_intermediate*EF_intermediate),"N/A")</f>
        <v>0.15129724691512597</v>
      </c>
      <c r="L89" s="168">
        <f t="shared" si="42"/>
        <v>0.15129724691512597</v>
      </c>
      <c r="M89" s="168">
        <f>IFERROR(G89*ED_8*E89*WY_95th*BR/AT_95th_non_cancer, "N/A")</f>
        <v>0.14131125178872286</v>
      </c>
      <c r="N89" s="168">
        <f>IFERROR(H89*ED_8*F89*WY_50th*BR/AT_50th_non_cancer, "N/A")</f>
        <v>0.13905027176010332</v>
      </c>
      <c r="O89" s="168">
        <f>IFERROR(G89*ED_8*E89*WY_95th*BR/AT_cancer, "N/A")</f>
        <v>7.2467308609601475E-2</v>
      </c>
      <c r="P89" s="167">
        <f>IFERROR(H89*ED_8*F89*WY_50th*BR/AT_cancer, "N/A")</f>
        <v>5.5263569545682088E-2</v>
      </c>
      <c r="Q89" s="169">
        <v>1</v>
      </c>
      <c r="R89" s="170" t="s">
        <v>133</v>
      </c>
    </row>
    <row r="90" spans="1:18" s="135" customFormat="1" ht="15" customHeight="1" x14ac:dyDescent="0.35">
      <c r="A90" s="418"/>
      <c r="B90" s="148" t="s">
        <v>739</v>
      </c>
      <c r="C90" s="149" t="s">
        <v>134</v>
      </c>
      <c r="D90" s="149" t="s">
        <v>132</v>
      </c>
      <c r="E90" s="150">
        <v>250</v>
      </c>
      <c r="F90" s="150">
        <v>246</v>
      </c>
      <c r="G90" s="151">
        <f t="shared" si="40"/>
        <v>9.705030674846622</v>
      </c>
      <c r="H90" s="151">
        <f t="shared" si="40"/>
        <v>2.9115092024539879</v>
      </c>
      <c r="I90" s="152">
        <f t="shared" si="41"/>
        <v>6.6020616835691301</v>
      </c>
      <c r="J90" s="152">
        <f t="shared" si="41"/>
        <v>1.9806185050707403</v>
      </c>
      <c r="K90" s="152">
        <f t="shared" si="42"/>
        <v>4.8415119012840284</v>
      </c>
      <c r="L90" s="152">
        <f t="shared" si="42"/>
        <v>1.4524535703852093</v>
      </c>
      <c r="M90" s="152">
        <f>IFERROR(G90*ED_8*E90*WY_95th*BR/AT_95th_non_cancer, "N/A")</f>
        <v>4.5219600572391316</v>
      </c>
      <c r="N90" s="152">
        <f>IFERROR(H90*ED_8*F90*WY_50th*BR/AT_50th_non_cancer, "N/A")</f>
        <v>1.3348826088969918</v>
      </c>
      <c r="O90" s="152">
        <f>IFERROR(G90*ED_8*E90*WY_95th*BR/AT_cancer, "N/A")</f>
        <v>2.3189538755072467</v>
      </c>
      <c r="P90" s="151">
        <f>IFERROR(H90*ED_8*F90*WY_50th*BR/AT_cancer, "N/A")</f>
        <v>0.53053026763854805</v>
      </c>
      <c r="Q90" s="153">
        <v>17</v>
      </c>
      <c r="R90" s="154" t="s">
        <v>766</v>
      </c>
    </row>
    <row r="91" spans="1:18" s="135" customFormat="1" ht="30" customHeight="1" x14ac:dyDescent="0.35">
      <c r="A91" s="418"/>
      <c r="B91" s="155" t="s">
        <v>135</v>
      </c>
      <c r="C91" s="149" t="s">
        <v>134</v>
      </c>
      <c r="D91" s="149" t="s">
        <v>132</v>
      </c>
      <c r="E91" s="150">
        <v>250</v>
      </c>
      <c r="F91" s="150">
        <v>246</v>
      </c>
      <c r="G91" s="151">
        <f t="shared" si="40"/>
        <v>46.705460122699385</v>
      </c>
      <c r="H91" s="151">
        <f t="shared" si="40"/>
        <v>0.24262576687116569</v>
      </c>
      <c r="I91" s="152">
        <f t="shared" si="41"/>
        <v>31.772421852176453</v>
      </c>
      <c r="J91" s="152">
        <f t="shared" si="41"/>
        <v>0.16505154208922837</v>
      </c>
      <c r="K91" s="152">
        <f t="shared" si="42"/>
        <v>23.2997760249294</v>
      </c>
      <c r="L91" s="152">
        <f t="shared" si="42"/>
        <v>0.1210377975321008</v>
      </c>
      <c r="M91" s="152">
        <f>IFERROR(G91*ED_8*E91*WY_95th*BR/AT_95th_non_cancer, "N/A")</f>
        <v>21.761932775463325</v>
      </c>
      <c r="N91" s="152">
        <f>IFERROR(H91*ED_8*F91*WY_50th*BR/AT_50th_non_cancer, "N/A")</f>
        <v>0.11124021740808268</v>
      </c>
      <c r="O91" s="152">
        <f>IFERROR(G91*ED_8*E91*WY_95th*BR/AT_cancer, "N/A")</f>
        <v>11.159965525878627</v>
      </c>
      <c r="P91" s="151">
        <f>IFERROR(H91*ED_8*F91*WY_50th*BR/AT_cancer, "N/A")</f>
        <v>4.4210855636545678E-2</v>
      </c>
      <c r="Q91" s="150">
        <v>3</v>
      </c>
      <c r="R91" s="154" t="s">
        <v>764</v>
      </c>
    </row>
    <row r="92" spans="1:18" s="135" customFormat="1" ht="15" customHeight="1" x14ac:dyDescent="0.35">
      <c r="A92" s="418"/>
      <c r="B92" s="148" t="s">
        <v>136</v>
      </c>
      <c r="C92" s="149" t="s">
        <v>134</v>
      </c>
      <c r="D92" s="149" t="s">
        <v>137</v>
      </c>
      <c r="E92" s="150">
        <v>250</v>
      </c>
      <c r="F92" s="150">
        <v>246</v>
      </c>
      <c r="G92" s="151">
        <f t="shared" si="40"/>
        <v>3.42361806066803</v>
      </c>
      <c r="H92" s="151">
        <f t="shared" si="40"/>
        <v>0.33305441206543968</v>
      </c>
      <c r="I92" s="156">
        <f>IFERROR(G92*ED_12*BR/AT_AC, "N/A")</f>
        <v>3.493487817008194</v>
      </c>
      <c r="J92" s="156">
        <f>IFERROR(H92*ED_12*BR/AT_AC, "N/A")</f>
        <v>0.33985144088310171</v>
      </c>
      <c r="K92" s="156">
        <f>IFERROR(G92*ED_12*IF(E92&gt;22,22,E92)*BR/(ED_intermediate*EF_intermediate),"N/A")</f>
        <v>2.5618910658060092</v>
      </c>
      <c r="L92" s="156">
        <f>IFERROR(H92*ED_12*IF(F92&gt;22,22,F92)*BR/(ED_intermediate*EF_intermediate),"N/A")</f>
        <v>0.24922438998094121</v>
      </c>
      <c r="M92" s="156">
        <f>IFERROR(G92*ED_12*E92*WY_95th*BR/AT_95th_non_cancer, "N/A")</f>
        <v>2.3927998746631469</v>
      </c>
      <c r="N92" s="156">
        <f>IFERROR(H92*ED_12*F92*WY_50th*BR/AT_50th_non_cancer, "N/A")</f>
        <v>0.2290505601568302</v>
      </c>
      <c r="O92" s="156">
        <f>IFERROR(G92*ED_12*E92*WY_95th*BR/AT_cancer, "N/A")</f>
        <v>1.2270768588016137</v>
      </c>
      <c r="P92" s="157">
        <f>IFERROR(H92*ED_12*F92*WY_50th*BR/AT_cancer, "N/A")</f>
        <v>9.1032914934124826E-2</v>
      </c>
      <c r="Q92" s="153">
        <v>11</v>
      </c>
      <c r="R92" s="154" t="s">
        <v>765</v>
      </c>
    </row>
    <row r="93" spans="1:18" s="135" customFormat="1" ht="15" customHeight="1" x14ac:dyDescent="0.35">
      <c r="A93" s="418"/>
      <c r="B93" s="148" t="s">
        <v>737</v>
      </c>
      <c r="C93" s="149" t="s">
        <v>134</v>
      </c>
      <c r="D93" s="149" t="s">
        <v>132</v>
      </c>
      <c r="E93" s="150">
        <v>250</v>
      </c>
      <c r="F93" s="150">
        <v>246</v>
      </c>
      <c r="G93" s="151">
        <f t="shared" si="40"/>
        <v>0.15770674846625768</v>
      </c>
      <c r="H93" s="151">
        <f t="shared" si="40"/>
        <v>0.15770674846625768</v>
      </c>
      <c r="I93" s="152">
        <f>IFERROR(G93*ED_8*BR/AT_AC, "N/A")</f>
        <v>0.10728350235799843</v>
      </c>
      <c r="J93" s="152">
        <f>IFERROR(H93*ED_8*BR/AT_AC, "N/A")</f>
        <v>0.10728350235799843</v>
      </c>
      <c r="K93" s="152">
        <f>IFERROR(G93*ED_8*IF(E93&gt;22,22,E93)*BR/(ED_intermediate*EF_intermediate),"N/A")</f>
        <v>7.8674568395865521E-2</v>
      </c>
      <c r="L93" s="152">
        <f>IFERROR(H93*ED_8*IF(F93&gt;22,22,F93)*BR/(ED_intermediate*EF_intermediate),"N/A")</f>
        <v>7.8674568395865521E-2</v>
      </c>
      <c r="M93" s="152">
        <f>IFERROR(G93*ED_8*E93*WY_95th*BR/AT_95th_non_cancer, "N/A")</f>
        <v>7.3481850930135914E-2</v>
      </c>
      <c r="N93" s="152">
        <f>IFERROR(H93*ED_8*F93*WY_50th*BR/AT_50th_non_cancer, "N/A")</f>
        <v>7.230614131525373E-2</v>
      </c>
      <c r="O93" s="152">
        <f>IFERROR(G93*ED_8*E93*WY_95th*BR/AT_cancer, "N/A")</f>
        <v>3.768300047699278E-2</v>
      </c>
      <c r="P93" s="151">
        <f>IFERROR(H93*ED_8*F93*WY_50th*BR/AT_cancer, "N/A")</f>
        <v>2.8737056163754687E-2</v>
      </c>
      <c r="Q93" s="153">
        <v>1</v>
      </c>
      <c r="R93" s="154" t="s">
        <v>738</v>
      </c>
    </row>
    <row r="94" spans="1:18" s="135" customFormat="1" ht="15" customHeight="1" x14ac:dyDescent="0.35">
      <c r="A94" s="418"/>
      <c r="B94" s="155" t="s">
        <v>740</v>
      </c>
      <c r="C94" s="149" t="s">
        <v>134</v>
      </c>
      <c r="D94" s="149" t="s">
        <v>132</v>
      </c>
      <c r="E94" s="150">
        <v>250</v>
      </c>
      <c r="F94" s="150">
        <v>246</v>
      </c>
      <c r="G94" s="151">
        <f t="shared" si="40"/>
        <v>8.0491603629856723</v>
      </c>
      <c r="H94" s="151">
        <f t="shared" si="40"/>
        <v>0.51065141871165642</v>
      </c>
      <c r="I94" s="152">
        <f>IFERROR(G94*ED_8*BR/AT_AC, "N/A")</f>
        <v>5.4756192945480757</v>
      </c>
      <c r="J94" s="152">
        <f>IFERROR(H94*ED_8*BR/AT_AC, "N/A")</f>
        <v>0.34738191749092273</v>
      </c>
      <c r="K94" s="152">
        <f>IFERROR(G94*ED_8*IF(E94&gt;22,22,E94)*BR/(ED_intermediate*EF_intermediate),"N/A")</f>
        <v>4.0154541493352562</v>
      </c>
      <c r="L94" s="152">
        <f>IFERROR(H94*ED_8*IF(F94&gt;22,22,F94)*BR/(ED_intermediate*EF_intermediate),"N/A")</f>
        <v>0.25474673949334331</v>
      </c>
      <c r="M94" s="152">
        <f>IFERROR(G94*ED_8*E94*WY_95th*BR/AT_95th_non_cancer, "N/A")</f>
        <v>3.7504241743479976</v>
      </c>
      <c r="N94" s="152">
        <f>IFERROR(H94*ED_8*F94*WY_50th*BR/AT_50th_non_cancer, "N/A")</f>
        <v>0.23412589507607395</v>
      </c>
      <c r="O94" s="152">
        <f>IFERROR(G94*ED_8*E94*WY_95th*BR/AT_cancer, "N/A")</f>
        <v>1.9232944483835885</v>
      </c>
      <c r="P94" s="151">
        <f>IFERROR(H94*ED_8*F94*WY_50th*BR/AT_cancer, "N/A")</f>
        <v>9.3050035222542224E-2</v>
      </c>
      <c r="Q94" s="153">
        <v>24</v>
      </c>
      <c r="R94" s="154" t="s">
        <v>767</v>
      </c>
    </row>
    <row r="95" spans="1:18" s="135" customFormat="1" ht="15" customHeight="1" x14ac:dyDescent="0.35">
      <c r="A95" s="418"/>
      <c r="B95" s="155" t="s">
        <v>741</v>
      </c>
      <c r="C95" s="149" t="s">
        <v>134</v>
      </c>
      <c r="D95" s="149" t="s">
        <v>139</v>
      </c>
      <c r="E95" s="150">
        <v>250</v>
      </c>
      <c r="F95" s="150">
        <v>246</v>
      </c>
      <c r="G95" s="151">
        <f>G12</f>
        <v>2.1351067484662578</v>
      </c>
      <c r="H95" s="151">
        <f>H12</f>
        <v>0.91227288343558299</v>
      </c>
      <c r="I95" s="152">
        <f>IFERROR(G95*ED_10*BR/AT_AC, "N/A")</f>
        <v>1.8155669629815119</v>
      </c>
      <c r="J95" s="151">
        <f>IFERROR(H95*ED_10*BR/AT_AC, "N/A")</f>
        <v>0.77574224781937329</v>
      </c>
      <c r="K95" s="152">
        <f>IFERROR(G95*ED_10*IF(E95&gt;22,22,E95)*BR/(ED_intermediate*EF_intermediate),"N/A")</f>
        <v>1.3314157728531089</v>
      </c>
      <c r="L95" s="152">
        <f>IFERROR(H95*ED_10*IF(F95&gt;22,22,F95)*BR/(ED_intermediate*EF_intermediate),"N/A")</f>
        <v>0.56887764840087374</v>
      </c>
      <c r="M95" s="152">
        <f>IFERROR(G95*ED_10*E95*WY_95th*BR/AT_95th_non_cancer, "N/A")</f>
        <v>1.2435390157407615</v>
      </c>
      <c r="N95" s="152">
        <f>IFERROR(H95*ED_10*F95*WY_50th*BR/AT_50th_non_cancer, "N/A")</f>
        <v>0.52282902181798852</v>
      </c>
      <c r="O95" s="152">
        <f>IFERROR(G95*ED_10*E95*WY_95th*BR/AT_cancer, "N/A")</f>
        <v>0.63771231576449317</v>
      </c>
      <c r="P95" s="151">
        <f>IFERROR(H95*ED_10*F95*WY_50th*BR/AT_cancer, "N/A")</f>
        <v>0.20779102149176465</v>
      </c>
      <c r="Q95" s="153">
        <v>5</v>
      </c>
      <c r="R95" s="154" t="s">
        <v>768</v>
      </c>
    </row>
    <row r="96" spans="1:18" s="135" customFormat="1" ht="15" customHeight="1" thickBot="1" x14ac:dyDescent="0.4">
      <c r="A96" s="419"/>
      <c r="B96" s="158" t="s">
        <v>740</v>
      </c>
      <c r="C96" s="159" t="s">
        <v>134</v>
      </c>
      <c r="D96" s="159" t="s">
        <v>137</v>
      </c>
      <c r="E96" s="160">
        <v>250</v>
      </c>
      <c r="F96" s="160">
        <v>246</v>
      </c>
      <c r="G96" s="161">
        <f t="shared" si="40"/>
        <v>1.8801003278800263</v>
      </c>
      <c r="H96" s="161">
        <f t="shared" si="40"/>
        <v>0.18459777096114521</v>
      </c>
      <c r="I96" s="162">
        <f>IFERROR(G96*ED_12*BR/AT_AC, "N/A")</f>
        <v>1.9184697223265577</v>
      </c>
      <c r="J96" s="162">
        <f>IFERROR(H96*ED_12*BR/AT_AC, "N/A")</f>
        <v>0.18836507240933184</v>
      </c>
      <c r="K96" s="162">
        <f>IFERROR(G96*ED_12*IF(E96&gt;22,22,E96)*BR/(ED_intermediate*EF_intermediate),"N/A")</f>
        <v>1.406877796372809</v>
      </c>
      <c r="L96" s="162">
        <f>IFERROR(H96*ED_12*IF(F96&gt;22,22,F96)*BR/(ED_intermediate*EF_intermediate),"N/A")</f>
        <v>0.13813438643351003</v>
      </c>
      <c r="M96" s="162">
        <f>IFERROR(G96*ED_12*E96*WY_95th*BR/AT_95th_non_cancer, "N/A")</f>
        <v>1.3140203577579164</v>
      </c>
      <c r="N96" s="162">
        <f>IFERROR(H96*ED_12*F96*WY_50th*BR/AT_50th_non_cancer, "N/A")</f>
        <v>0.12695289811697433</v>
      </c>
      <c r="O96" s="162">
        <f>IFERROR(G96*ED_12*E96*WY_95th*BR/AT_cancer, "N/A")</f>
        <v>0.67385659372200846</v>
      </c>
      <c r="P96" s="161">
        <f>IFERROR(H96*ED_12*F96*WY_50th*BR/AT_cancer, "N/A")</f>
        <v>5.045563899520774E-2</v>
      </c>
      <c r="Q96" s="171">
        <v>8</v>
      </c>
      <c r="R96" s="163" t="s">
        <v>769</v>
      </c>
    </row>
    <row r="97" spans="1:20" s="135" customFormat="1" x14ac:dyDescent="0.35">
      <c r="A97" s="417" t="s">
        <v>753</v>
      </c>
      <c r="B97" s="173" t="s">
        <v>134</v>
      </c>
      <c r="C97" s="165" t="s">
        <v>134</v>
      </c>
      <c r="D97" s="165" t="s">
        <v>132</v>
      </c>
      <c r="E97" s="166">
        <v>250</v>
      </c>
      <c r="F97" s="166">
        <v>250</v>
      </c>
      <c r="G97" s="168">
        <f>'Aircraft Maintenance (PEN)'!$B$8*296.61/24.45</f>
        <v>0.10071065162477269</v>
      </c>
      <c r="H97" s="168">
        <f>'Aircraft Maintenance (PEN)'!$B$9*296.61/24.45</f>
        <v>2.9236314609467868E-2</v>
      </c>
      <c r="I97" s="168">
        <f>'Aircraft Maintenance (PEN)'!$D$8*296.61/24.45</f>
        <v>6.8510647363790964E-2</v>
      </c>
      <c r="J97" s="168">
        <f>'Aircraft Maintenance (PEN)'!$D$9*296.61/24.45</f>
        <v>1.988864939419583E-2</v>
      </c>
      <c r="K97" s="152">
        <f t="shared" ref="K97:L103" si="43">IFERROR(G97*ED_8*IF(E97&gt;22,22,E97)*BR/(ED_intermediate*EF_intermediate),"N/A")</f>
        <v>5.0241141400113362E-2</v>
      </c>
      <c r="L97" s="152">
        <f t="shared" si="43"/>
        <v>1.4585009555743607E-2</v>
      </c>
      <c r="M97" s="168">
        <f>'Aircraft Maintenance (PEN)'!$F$8*296.61/24.45</f>
        <v>4.6925100934103389E-2</v>
      </c>
      <c r="N97" s="168">
        <f>'Aircraft Maintenance (PEN)'!$F$9*296.61/24.45</f>
        <v>1.3622362598764266E-2</v>
      </c>
      <c r="O97" s="168">
        <f>'Aircraft Maintenance (PEN)'!$H$8*296.61/24.45</f>
        <v>1.8811483719858996E-2</v>
      </c>
      <c r="P97" s="168">
        <f>'Aircraft Maintenance (PEN)'!$H$9*296.61/24.45</f>
        <v>5.1189473616215266E-3</v>
      </c>
      <c r="Q97" s="166" t="s">
        <v>144</v>
      </c>
      <c r="R97" s="170" t="s">
        <v>146</v>
      </c>
      <c r="T97" s="135" t="s">
        <v>13</v>
      </c>
    </row>
    <row r="98" spans="1:20" s="135" customFormat="1" ht="15" customHeight="1" x14ac:dyDescent="0.35">
      <c r="A98" s="418"/>
      <c r="B98" s="174" t="s">
        <v>63</v>
      </c>
      <c r="C98" s="149" t="s">
        <v>63</v>
      </c>
      <c r="D98" s="149" t="s">
        <v>132</v>
      </c>
      <c r="E98" s="150">
        <v>250</v>
      </c>
      <c r="F98" s="150">
        <v>250</v>
      </c>
      <c r="G98" s="152">
        <f>'Aircraft Maintenance (PEN)'!$C$8*296.61/24.45</f>
        <v>4.215310943857976E-3</v>
      </c>
      <c r="H98" s="152">
        <f>'Aircraft Maintenance (PEN)'!$C$9*296.61/24.45</f>
        <v>5.36524587711278E-4</v>
      </c>
      <c r="I98" s="152">
        <f>'Aircraft Maintenance (PEN)'!$E$8*296.61/24.45</f>
        <v>2.8675584652095069E-3</v>
      </c>
      <c r="J98" s="152">
        <f>'Aircraft Maintenance (PEN)'!$E$9*296.61/24.45</f>
        <v>3.6498271272876058E-4</v>
      </c>
      <c r="K98" s="152">
        <f t="shared" si="43"/>
        <v>2.1028762078203057E-3</v>
      </c>
      <c r="L98" s="152">
        <f t="shared" si="43"/>
        <v>2.6765398933442441E-4</v>
      </c>
      <c r="M98" s="152">
        <f>'Aircraft Maintenance (PEN)'!$G$8*296.61/24.45</f>
        <v>1.9640811405544577E-3</v>
      </c>
      <c r="N98" s="152">
        <f>'Aircraft Maintenance (PEN)'!$G$9*296.61/24.45</f>
        <v>2.499881594032607E-4</v>
      </c>
      <c r="O98" s="152">
        <f>'Aircraft Maintenance (PEN)'!$I$8*296.61/24.45</f>
        <v>7.647051582772539E-4</v>
      </c>
      <c r="P98" s="152">
        <f>'Aircraft Maintenance (PEN)'!$I$9*296.61/24.45</f>
        <v>9.4018712409782622E-5</v>
      </c>
      <c r="Q98" s="150" t="s">
        <v>144</v>
      </c>
      <c r="R98" s="154" t="s">
        <v>146</v>
      </c>
    </row>
    <row r="99" spans="1:20" s="135" customFormat="1" ht="15" customHeight="1" x14ac:dyDescent="0.35">
      <c r="A99" s="418" t="s">
        <v>754</v>
      </c>
      <c r="B99" s="174" t="s">
        <v>134</v>
      </c>
      <c r="C99" s="149" t="s">
        <v>134</v>
      </c>
      <c r="D99" s="149" t="s">
        <v>132</v>
      </c>
      <c r="E99" s="150">
        <v>250</v>
      </c>
      <c r="F99" s="150">
        <v>250</v>
      </c>
      <c r="G99" s="152">
        <f>'Aircraft Maintenance (CC)'!$B$8*296.61/24.45</f>
        <v>8.2850350350855031</v>
      </c>
      <c r="H99" s="152">
        <f>'Aircraft Maintenance (CC)'!$B$9*296.61/24.45</f>
        <v>1.2430289061495272</v>
      </c>
      <c r="I99" s="152">
        <f>'Aircraft Maintenance (CC)'!$D$8*296.61/24.45</f>
        <v>5.6360782551602071</v>
      </c>
      <c r="J99" s="152">
        <f>'Aircraft Maintenance (CC)'!$D$9*296.61/24.45</f>
        <v>0.84559789533981444</v>
      </c>
      <c r="K99" s="152">
        <f t="shared" si="43"/>
        <v>4.1331240537841518</v>
      </c>
      <c r="L99" s="152">
        <f t="shared" si="43"/>
        <v>0.62010512324919731</v>
      </c>
      <c r="M99" s="152">
        <f>'Aircraft Maintenance (CC)'!$F$8*296.61/24.45</f>
        <v>3.8603275720275398</v>
      </c>
      <c r="N99" s="152">
        <f>'Aircraft Maintenance (CC)'!$F$9*296.61/24.45</f>
        <v>0.57917664064370855</v>
      </c>
      <c r="O99" s="152">
        <f>'Aircraft Maintenance (CC)'!$H$8*296.61/24.45</f>
        <v>1.5503846747198897</v>
      </c>
      <c r="P99" s="152">
        <f>'Aircraft Maintenance (CC)'!$H$9*296.61/24.45</f>
        <v>0.21996884398871253</v>
      </c>
      <c r="Q99" s="150" t="s">
        <v>144</v>
      </c>
      <c r="R99" s="154" t="s">
        <v>147</v>
      </c>
    </row>
    <row r="100" spans="1:20" s="135" customFormat="1" ht="15" customHeight="1" thickBot="1" x14ac:dyDescent="0.4">
      <c r="A100" s="419"/>
      <c r="B100" s="175" t="s">
        <v>63</v>
      </c>
      <c r="C100" s="159" t="s">
        <v>63</v>
      </c>
      <c r="D100" s="159" t="s">
        <v>132</v>
      </c>
      <c r="E100" s="160">
        <v>250</v>
      </c>
      <c r="F100" s="160">
        <v>250</v>
      </c>
      <c r="G100" s="162">
        <f>'Aircraft Maintenance (CC)'!$C$8*296.61/24.45</f>
        <v>6.259067590426838</v>
      </c>
      <c r="H100" s="162">
        <f>'Aircraft Maintenance (CC)'!$C$9*296.61/24.45</f>
        <v>0.70442756669698892</v>
      </c>
      <c r="I100" s="162">
        <f>'Aircraft Maintenance (CC)'!$E$8*296.61/24.45</f>
        <v>4.2578691091339032</v>
      </c>
      <c r="J100" s="162">
        <f>'Aircraft Maintenance (CC)'!$E$9*296.61/24.45</f>
        <v>0.47920242632448229</v>
      </c>
      <c r="K100" s="162">
        <f t="shared" si="43"/>
        <v>3.1224373466981956</v>
      </c>
      <c r="L100" s="162">
        <f t="shared" si="43"/>
        <v>0.35141511263795366</v>
      </c>
      <c r="M100" s="162">
        <f>'Aircraft Maintenance (CC)'!$G$8*296.61/24.45</f>
        <v>2.9163487048862349</v>
      </c>
      <c r="N100" s="162">
        <f>'Aircraft Maintenance (CC)'!$G$9*296.61/24.45</f>
        <v>0.32822083994827561</v>
      </c>
      <c r="O100" s="162">
        <f>'Aircraft Maintenance (CC)'!$I$8*296.61/24.45</f>
        <v>1.1505396142918409</v>
      </c>
      <c r="P100" s="162">
        <f>'Aircraft Maintenance (CC)'!$I$9*296.61/24.45</f>
        <v>0.12270942407612287</v>
      </c>
      <c r="Q100" s="160" t="s">
        <v>144</v>
      </c>
      <c r="R100" s="163" t="s">
        <v>147</v>
      </c>
    </row>
    <row r="101" spans="1:20" s="135" customFormat="1" ht="15" customHeight="1" x14ac:dyDescent="0.35">
      <c r="A101" s="417" t="s">
        <v>755</v>
      </c>
      <c r="B101" s="164" t="s">
        <v>131</v>
      </c>
      <c r="C101" s="165" t="s">
        <v>63</v>
      </c>
      <c r="D101" s="165" t="s">
        <v>132</v>
      </c>
      <c r="E101" s="166">
        <v>245</v>
      </c>
      <c r="F101" s="166">
        <v>245</v>
      </c>
      <c r="G101" s="167">
        <f t="shared" ref="G101:H108" si="44">G6</f>
        <v>0.30328220858895705</v>
      </c>
      <c r="H101" s="167">
        <f t="shared" si="44"/>
        <v>0.30328220858895705</v>
      </c>
      <c r="I101" s="168">
        <f t="shared" ref="I101:J103" si="45">IFERROR(G101*ED_8*BR/AT_AC, "N/A")</f>
        <v>0.2063144276115354</v>
      </c>
      <c r="J101" s="168">
        <f t="shared" si="45"/>
        <v>0.2063144276115354</v>
      </c>
      <c r="K101" s="168">
        <f t="shared" si="43"/>
        <v>0.15129724691512597</v>
      </c>
      <c r="L101" s="168">
        <f t="shared" si="43"/>
        <v>0.15129724691512597</v>
      </c>
      <c r="M101" s="168">
        <f>IFERROR(G101*ED_8*E101*WY_95th*BR/AT_95th_non_cancer, "N/A")</f>
        <v>0.13848502675294841</v>
      </c>
      <c r="N101" s="168">
        <f>IFERROR(H101*ED_8*F101*WY_50th*BR/AT_50th_non_cancer, "N/A")</f>
        <v>0.13848502675294841</v>
      </c>
      <c r="O101" s="168">
        <f>IFERROR(G101*ED_8*E101*WY_95th*BR/AT_cancer, "N/A")</f>
        <v>7.1017962437409446E-2</v>
      </c>
      <c r="P101" s="167">
        <f>IFERROR(H101*ED_8*F101*WY_50th*BR/AT_cancer, "N/A")</f>
        <v>5.5038920888992322E-2</v>
      </c>
      <c r="Q101" s="169">
        <v>1</v>
      </c>
      <c r="R101" s="170" t="s">
        <v>133</v>
      </c>
    </row>
    <row r="102" spans="1:20" s="135" customFormat="1" ht="15" customHeight="1" x14ac:dyDescent="0.35">
      <c r="A102" s="418"/>
      <c r="B102" s="148" t="s">
        <v>739</v>
      </c>
      <c r="C102" s="149" t="s">
        <v>134</v>
      </c>
      <c r="D102" s="149" t="s">
        <v>132</v>
      </c>
      <c r="E102" s="150">
        <v>245</v>
      </c>
      <c r="F102" s="150">
        <v>245</v>
      </c>
      <c r="G102" s="151">
        <f t="shared" si="44"/>
        <v>9.705030674846622</v>
      </c>
      <c r="H102" s="151">
        <f t="shared" si="44"/>
        <v>2.9115092024539879</v>
      </c>
      <c r="I102" s="152">
        <f t="shared" si="45"/>
        <v>6.6020616835691301</v>
      </c>
      <c r="J102" s="152">
        <f t="shared" si="45"/>
        <v>1.9806185050707403</v>
      </c>
      <c r="K102" s="152">
        <f t="shared" si="43"/>
        <v>4.8415119012840284</v>
      </c>
      <c r="L102" s="152">
        <f t="shared" si="43"/>
        <v>1.4524535703852093</v>
      </c>
      <c r="M102" s="152">
        <f>IFERROR(G102*ED_8*E102*WY_95th*BR/AT_95th_non_cancer, "N/A")</f>
        <v>4.4315208560943482</v>
      </c>
      <c r="N102" s="152">
        <f>IFERROR(H102*ED_8*F102*WY_50th*BR/AT_50th_non_cancer, "N/A")</f>
        <v>1.329456256828305</v>
      </c>
      <c r="O102" s="152">
        <f>IFERROR(G102*ED_8*E102*WY_95th*BR/AT_cancer, "N/A")</f>
        <v>2.2725747979971014</v>
      </c>
      <c r="P102" s="151">
        <f>IFERROR(H102*ED_8*F102*WY_50th*BR/AT_cancer, "N/A")</f>
        <v>0.52837364053432634</v>
      </c>
      <c r="Q102" s="153">
        <v>17</v>
      </c>
      <c r="R102" s="154" t="s">
        <v>766</v>
      </c>
    </row>
    <row r="103" spans="1:20" s="135" customFormat="1" ht="32.4" customHeight="1" x14ac:dyDescent="0.35">
      <c r="A103" s="418"/>
      <c r="B103" s="155" t="s">
        <v>135</v>
      </c>
      <c r="C103" s="149" t="s">
        <v>134</v>
      </c>
      <c r="D103" s="149" t="s">
        <v>132</v>
      </c>
      <c r="E103" s="150">
        <v>245</v>
      </c>
      <c r="F103" s="150">
        <v>245</v>
      </c>
      <c r="G103" s="151">
        <f t="shared" si="44"/>
        <v>46.705460122699385</v>
      </c>
      <c r="H103" s="151">
        <f t="shared" si="44"/>
        <v>0.24262576687116569</v>
      </c>
      <c r="I103" s="152">
        <f t="shared" si="45"/>
        <v>31.772421852176453</v>
      </c>
      <c r="J103" s="152">
        <f t="shared" si="45"/>
        <v>0.16505154208922837</v>
      </c>
      <c r="K103" s="152">
        <f t="shared" si="43"/>
        <v>23.2997760249294</v>
      </c>
      <c r="L103" s="152">
        <f t="shared" si="43"/>
        <v>0.1210377975321008</v>
      </c>
      <c r="M103" s="152">
        <f>IFERROR(G103*ED_8*E103*WY_95th*BR/AT_95th_non_cancer, "N/A")</f>
        <v>21.326694119954059</v>
      </c>
      <c r="N103" s="152">
        <f>IFERROR(H103*ED_8*F103*WY_50th*BR/AT_50th_non_cancer, "N/A")</f>
        <v>0.11078802140235877</v>
      </c>
      <c r="O103" s="152">
        <f>IFERROR(G103*ED_8*E103*WY_95th*BR/AT_cancer, "N/A")</f>
        <v>10.936766215361056</v>
      </c>
      <c r="P103" s="151">
        <f>IFERROR(H103*ED_8*F103*WY_50th*BR/AT_cancer, "N/A")</f>
        <v>4.4031136711193873E-2</v>
      </c>
      <c r="Q103" s="150">
        <v>3</v>
      </c>
      <c r="R103" s="154" t="s">
        <v>764</v>
      </c>
    </row>
    <row r="104" spans="1:20" s="135" customFormat="1" ht="15" customHeight="1" x14ac:dyDescent="0.35">
      <c r="A104" s="418"/>
      <c r="B104" s="148" t="s">
        <v>136</v>
      </c>
      <c r="C104" s="149" t="s">
        <v>134</v>
      </c>
      <c r="D104" s="149" t="s">
        <v>137</v>
      </c>
      <c r="E104" s="150">
        <v>245</v>
      </c>
      <c r="F104" s="150">
        <v>245</v>
      </c>
      <c r="G104" s="151">
        <f t="shared" si="44"/>
        <v>3.42361806066803</v>
      </c>
      <c r="H104" s="151">
        <f t="shared" si="44"/>
        <v>0.33305441206543968</v>
      </c>
      <c r="I104" s="156">
        <f>IFERROR(G104*ED_12*BR/AT_AC, "N/A")</f>
        <v>3.493487817008194</v>
      </c>
      <c r="J104" s="156">
        <f>IFERROR(H104*ED_12*BR/AT_AC, "N/A")</f>
        <v>0.33985144088310171</v>
      </c>
      <c r="K104" s="156">
        <f>IFERROR(G104*ED_12*IF(E104&gt;22,22,E104)*BR/(ED_intermediate*EF_intermediate),"N/A")</f>
        <v>2.5618910658060092</v>
      </c>
      <c r="L104" s="156">
        <f>IFERROR(H104*ED_12*IF(F104&gt;22,22,F104)*BR/(ED_intermediate*EF_intermediate),"N/A")</f>
        <v>0.24922438998094121</v>
      </c>
      <c r="M104" s="156">
        <f>IFERROR(G104*ED_12*E104*WY_95th*BR/AT_95th_non_cancer, "N/A")</f>
        <v>2.3449438771698836</v>
      </c>
      <c r="N104" s="156">
        <f>IFERROR(H104*ED_12*F104*WY_50th*BR/AT_50th_non_cancer, "N/A")</f>
        <v>0.22811946031879429</v>
      </c>
      <c r="O104" s="156">
        <f>IFERROR(G104*ED_12*E104*WY_95th*BR/AT_cancer, "N/A")</f>
        <v>1.2025353216255814</v>
      </c>
      <c r="P104" s="157">
        <f>IFERROR(H104*ED_12*F104*WY_50th*BR/AT_cancer, "N/A")</f>
        <v>9.0662862434392602E-2</v>
      </c>
      <c r="Q104" s="153">
        <v>11</v>
      </c>
      <c r="R104" s="154" t="s">
        <v>765</v>
      </c>
    </row>
    <row r="105" spans="1:20" s="135" customFormat="1" ht="15" customHeight="1" x14ac:dyDescent="0.35">
      <c r="A105" s="418"/>
      <c r="B105" s="148" t="s">
        <v>737</v>
      </c>
      <c r="C105" s="149" t="s">
        <v>134</v>
      </c>
      <c r="D105" s="149" t="s">
        <v>132</v>
      </c>
      <c r="E105" s="150">
        <v>245</v>
      </c>
      <c r="F105" s="150">
        <v>245</v>
      </c>
      <c r="G105" s="151">
        <f t="shared" si="44"/>
        <v>0.15770674846625768</v>
      </c>
      <c r="H105" s="151">
        <f t="shared" si="44"/>
        <v>0.15770674846625768</v>
      </c>
      <c r="I105" s="152">
        <f>IFERROR(G105*ED_8*BR/AT_AC, "N/A")</f>
        <v>0.10728350235799843</v>
      </c>
      <c r="J105" s="152">
        <f>IFERROR(H105*ED_8*BR/AT_AC, "N/A")</f>
        <v>0.10728350235799843</v>
      </c>
      <c r="K105" s="152">
        <f>IFERROR(G105*ED_8*IF(E105&gt;22,22,E105)*BR/(ED_intermediate*EF_intermediate),"N/A")</f>
        <v>7.8674568395865521E-2</v>
      </c>
      <c r="L105" s="152">
        <f>IFERROR(H105*ED_8*IF(F105&gt;22,22,F105)*BR/(ED_intermediate*EF_intermediate),"N/A")</f>
        <v>7.8674568395865521E-2</v>
      </c>
      <c r="M105" s="152">
        <f>IFERROR(G105*ED_8*E105*WY_95th*BR/AT_95th_non_cancer, "N/A")</f>
        <v>7.2012213911533188E-2</v>
      </c>
      <c r="N105" s="152">
        <f>IFERROR(H105*ED_8*F105*WY_50th*BR/AT_50th_non_cancer, "N/A")</f>
        <v>7.2012213911533202E-2</v>
      </c>
      <c r="O105" s="152">
        <f>IFERROR(G105*ED_8*E105*WY_95th*BR/AT_cancer, "N/A")</f>
        <v>3.6929340467452915E-2</v>
      </c>
      <c r="P105" s="151">
        <f>IFERROR(H105*ED_8*F105*WY_50th*BR/AT_cancer, "N/A")</f>
        <v>2.8620238862276014E-2</v>
      </c>
      <c r="Q105" s="153">
        <v>1</v>
      </c>
      <c r="R105" s="154" t="s">
        <v>738</v>
      </c>
    </row>
    <row r="106" spans="1:20" s="135" customFormat="1" ht="15" customHeight="1" x14ac:dyDescent="0.35">
      <c r="A106" s="418"/>
      <c r="B106" s="155" t="s">
        <v>740</v>
      </c>
      <c r="C106" s="149" t="s">
        <v>134</v>
      </c>
      <c r="D106" s="149" t="s">
        <v>132</v>
      </c>
      <c r="E106" s="150">
        <v>245</v>
      </c>
      <c r="F106" s="150">
        <v>245</v>
      </c>
      <c r="G106" s="151">
        <f t="shared" si="44"/>
        <v>8.0491603629856723</v>
      </c>
      <c r="H106" s="151">
        <f t="shared" si="44"/>
        <v>0.51065141871165642</v>
      </c>
      <c r="I106" s="152">
        <f>IFERROR(G106*ED_8*BR/AT_AC, "N/A")</f>
        <v>5.4756192945480757</v>
      </c>
      <c r="J106" s="152">
        <f>IFERROR(H106*ED_8*BR/AT_AC, "N/A")</f>
        <v>0.34738191749092273</v>
      </c>
      <c r="K106" s="152">
        <f>IFERROR(G106*ED_8*IF(E106&gt;22,22,E106)*BR/(ED_intermediate*EF_intermediate),"N/A")</f>
        <v>4.0154541493352562</v>
      </c>
      <c r="L106" s="152">
        <f>IFERROR(H106*ED_8*IF(F106&gt;22,22,F106)*BR/(ED_intermediate*EF_intermediate),"N/A")</f>
        <v>0.25474673949334331</v>
      </c>
      <c r="M106" s="152">
        <f>IFERROR(G106*ED_8*E106*WY_95th*BR/AT_95th_non_cancer, "N/A")</f>
        <v>3.6754156908610383</v>
      </c>
      <c r="N106" s="152">
        <f>IFERROR(H106*ED_8*F106*WY_50th*BR/AT_50th_non_cancer, "N/A")</f>
        <v>0.23317416379527692</v>
      </c>
      <c r="O106" s="152">
        <f>IFERROR(G106*ED_8*E106*WY_95th*BR/AT_cancer, "N/A")</f>
        <v>1.8848285594159169</v>
      </c>
      <c r="P106" s="151">
        <f>IFERROR(H106*ED_8*F106*WY_50th*BR/AT_cancer, "N/A")</f>
        <v>9.2671783046840817E-2</v>
      </c>
      <c r="Q106" s="153">
        <v>24</v>
      </c>
      <c r="R106" s="154" t="s">
        <v>767</v>
      </c>
    </row>
    <row r="107" spans="1:20" s="135" customFormat="1" ht="15" customHeight="1" x14ac:dyDescent="0.35">
      <c r="A107" s="418"/>
      <c r="B107" s="155" t="s">
        <v>741</v>
      </c>
      <c r="C107" s="149" t="s">
        <v>134</v>
      </c>
      <c r="D107" s="149" t="s">
        <v>139</v>
      </c>
      <c r="E107" s="150">
        <v>245</v>
      </c>
      <c r="F107" s="150">
        <v>245</v>
      </c>
      <c r="G107" s="151">
        <f>G12</f>
        <v>2.1351067484662578</v>
      </c>
      <c r="H107" s="151">
        <f>H12</f>
        <v>0.91227288343558299</v>
      </c>
      <c r="I107" s="152">
        <f>IFERROR(G107*ED_10*BR/AT_AC, "N/A")</f>
        <v>1.8155669629815119</v>
      </c>
      <c r="J107" s="151">
        <f>IFERROR(H107*ED_10*BR/AT_AC, "N/A")</f>
        <v>0.77574224781937329</v>
      </c>
      <c r="K107" s="152">
        <f>IFERROR(G107*ED_10*IF(E107&gt;22,22,E107)*BR/(ED_intermediate*EF_intermediate),"N/A")</f>
        <v>1.3314157728531089</v>
      </c>
      <c r="L107" s="152">
        <f>IFERROR(H107*ED_10*IF(F107&gt;22,22,F107)*BR/(ED_intermediate*EF_intermediate),"N/A")</f>
        <v>0.56887764840087374</v>
      </c>
      <c r="M107" s="152">
        <f>IFERROR(G107*ED_10*E107*WY_95th*BR/AT_95th_non_cancer, "N/A")</f>
        <v>1.2186682354259466</v>
      </c>
      <c r="N107" s="152">
        <f>IFERROR(H107*ED_10*F107*WY_50th*BR/AT_50th_non_cancer, "N/A")</f>
        <v>0.52070370059108617</v>
      </c>
      <c r="O107" s="152">
        <f>IFERROR(G107*ED_10*E107*WY_95th*BR/AT_cancer, "N/A")</f>
        <v>0.62495806944920329</v>
      </c>
      <c r="P107" s="151">
        <f>IFERROR(H107*ED_10*F107*WY_50th*BR/AT_cancer, "N/A")</f>
        <v>0.20694634254261118</v>
      </c>
      <c r="Q107" s="153">
        <v>5</v>
      </c>
      <c r="R107" s="154" t="s">
        <v>768</v>
      </c>
    </row>
    <row r="108" spans="1:20" s="135" customFormat="1" ht="15" customHeight="1" thickBot="1" x14ac:dyDescent="0.4">
      <c r="A108" s="419"/>
      <c r="B108" s="158" t="s">
        <v>740</v>
      </c>
      <c r="C108" s="159" t="s">
        <v>134</v>
      </c>
      <c r="D108" s="159" t="s">
        <v>137</v>
      </c>
      <c r="E108" s="160">
        <v>245</v>
      </c>
      <c r="F108" s="160">
        <v>245</v>
      </c>
      <c r="G108" s="161">
        <f t="shared" si="44"/>
        <v>1.8801003278800263</v>
      </c>
      <c r="H108" s="161">
        <f t="shared" si="44"/>
        <v>0.18459777096114521</v>
      </c>
      <c r="I108" s="162">
        <f>IFERROR(G108*ED_12*BR/AT_AC, "N/A")</f>
        <v>1.9184697223265577</v>
      </c>
      <c r="J108" s="162">
        <f>IFERROR(H108*ED_12*BR/AT_AC, "N/A")</f>
        <v>0.18836507240933184</v>
      </c>
      <c r="K108" s="162">
        <f>IFERROR(G108*ED_12*IF(E108&gt;22,22,E108)*BR/(ED_intermediate*EF_intermediate),"N/A")</f>
        <v>1.406877796372809</v>
      </c>
      <c r="L108" s="162">
        <f>IFERROR(H108*ED_12*IF(F108&gt;22,22,F108)*BR/(ED_intermediate*EF_intermediate),"N/A")</f>
        <v>0.13813438643351003</v>
      </c>
      <c r="M108" s="162">
        <f>IFERROR(G108*ED_12*E108*WY_95th*BR/AT_95th_non_cancer, "N/A")</f>
        <v>1.2877399506027578</v>
      </c>
      <c r="N108" s="162">
        <f>IFERROR(H108*ED_12*F108*WY_50th*BR/AT_50th_non_cancer, "N/A")</f>
        <v>0.1264368294254419</v>
      </c>
      <c r="O108" s="162">
        <f>IFERROR(G108*ED_12*E108*WY_95th*BR/AT_cancer, "N/A")</f>
        <v>0.66037946184756813</v>
      </c>
      <c r="P108" s="161">
        <f>IFERROR(H108*ED_12*F108*WY_50th*BR/AT_cancer, "N/A")</f>
        <v>5.0250534771649993E-2</v>
      </c>
      <c r="Q108" s="171">
        <v>8</v>
      </c>
      <c r="R108" s="163" t="s">
        <v>769</v>
      </c>
    </row>
    <row r="109" spans="1:20" s="135" customFormat="1" ht="31" x14ac:dyDescent="0.35">
      <c r="A109" s="417" t="s">
        <v>756</v>
      </c>
      <c r="B109" s="173" t="s">
        <v>134</v>
      </c>
      <c r="C109" s="165" t="s">
        <v>134</v>
      </c>
      <c r="D109" s="165" t="s">
        <v>132</v>
      </c>
      <c r="E109" s="166">
        <f>'Use of Auto Detailing Products'!D3</f>
        <v>250</v>
      </c>
      <c r="F109" s="166">
        <f>'Use of Auto Detailing Products'!C3</f>
        <v>235</v>
      </c>
      <c r="G109" s="183">
        <f>'Use of Auto Detailing Products'!E11</f>
        <v>1.203125</v>
      </c>
      <c r="H109" s="183">
        <f>'Use of Auto Detailing Products'!D11</f>
        <v>6.4919010416666478E-2</v>
      </c>
      <c r="I109" s="168">
        <f t="shared" ref="I109:J114" si="46">IFERROR(G109*ED_8*BR/AT_AC, "N/A")</f>
        <v>0.81845238095238093</v>
      </c>
      <c r="J109" s="168">
        <f t="shared" si="46"/>
        <v>4.4162592120181282E-2</v>
      </c>
      <c r="K109" s="168">
        <f t="shared" ref="K109:L114" si="47">IFERROR(G109*ED_8*IF(E109&gt;22,22,E109)*BR/(ED_intermediate*EF_intermediate),"N/A")</f>
        <v>0.60019841269841279</v>
      </c>
      <c r="L109" s="168">
        <f t="shared" si="47"/>
        <v>3.2385900888132937E-2</v>
      </c>
      <c r="M109" s="168">
        <f t="shared" ref="M109:M114" si="48">IFERROR(G109*ED_8*E109*WY_95th*BR/AT_95th_non_cancer, "N/A")</f>
        <v>0.56058382257012396</v>
      </c>
      <c r="N109" s="168">
        <f t="shared" ref="N109:N114" si="49">IFERROR(H109*ED_8*F109*WY_50th*BR/AT_50th_non_cancer, "N/A")</f>
        <v>2.8433449721212603E-2</v>
      </c>
      <c r="O109" s="168">
        <f t="shared" ref="O109:O114" si="50">IFERROR(G109*ED_8*E109*WY_95th*BR/AT_cancer, "N/A")</f>
        <v>0.28747888336929434</v>
      </c>
      <c r="P109" s="167">
        <f t="shared" ref="P109:P114" si="51">IFERROR(H109*ED_8*F109*WY_50th*BR/AT_cancer, "N/A")</f>
        <v>1.1300473607148599E-2</v>
      </c>
      <c r="Q109" s="165">
        <v>0</v>
      </c>
      <c r="R109" s="170" t="s">
        <v>983</v>
      </c>
    </row>
    <row r="110" spans="1:20" s="135" customFormat="1" ht="15" customHeight="1" thickBot="1" x14ac:dyDescent="0.4">
      <c r="A110" s="419"/>
      <c r="B110" s="175" t="s">
        <v>63</v>
      </c>
      <c r="C110" s="159" t="s">
        <v>63</v>
      </c>
      <c r="D110" s="159" t="s">
        <v>132</v>
      </c>
      <c r="E110" s="160">
        <f>'Use of Auto Detailing Products'!D3</f>
        <v>250</v>
      </c>
      <c r="F110" s="160">
        <f>'Use of Auto Detailing Products'!C3</f>
        <v>235</v>
      </c>
      <c r="G110" s="184">
        <f>H109</f>
        <v>6.4919010416666478E-2</v>
      </c>
      <c r="H110" s="184">
        <f>H109</f>
        <v>6.4919010416666478E-2</v>
      </c>
      <c r="I110" s="162">
        <f t="shared" si="46"/>
        <v>4.4162592120181282E-2</v>
      </c>
      <c r="J110" s="162">
        <f t="shared" si="46"/>
        <v>4.4162592120181282E-2</v>
      </c>
      <c r="K110" s="162">
        <f t="shared" si="47"/>
        <v>3.2385900888132937E-2</v>
      </c>
      <c r="L110" s="162">
        <f t="shared" si="47"/>
        <v>3.2385900888132937E-2</v>
      </c>
      <c r="M110" s="162">
        <f t="shared" si="48"/>
        <v>3.024835076724745E-2</v>
      </c>
      <c r="N110" s="162">
        <f t="shared" si="49"/>
        <v>2.8433449721212603E-2</v>
      </c>
      <c r="O110" s="162">
        <f t="shared" si="50"/>
        <v>1.551197475243459E-2</v>
      </c>
      <c r="P110" s="161">
        <f t="shared" si="51"/>
        <v>1.1300473607148599E-2</v>
      </c>
      <c r="Q110" s="159">
        <v>0</v>
      </c>
      <c r="R110" s="163" t="s">
        <v>142</v>
      </c>
    </row>
    <row r="111" spans="1:20" s="135" customFormat="1" ht="31" x14ac:dyDescent="0.35">
      <c r="A111" s="417" t="s">
        <v>758</v>
      </c>
      <c r="B111" s="173" t="s">
        <v>134</v>
      </c>
      <c r="C111" s="165" t="s">
        <v>134</v>
      </c>
      <c r="D111" s="165" t="s">
        <v>132</v>
      </c>
      <c r="E111" s="166">
        <v>250</v>
      </c>
      <c r="F111" s="166">
        <v>250</v>
      </c>
      <c r="G111" s="183">
        <f>'Use of Animal Grooming Products'!J10</f>
        <v>8.5000000000000006E-2</v>
      </c>
      <c r="H111" s="183">
        <f>'Use of Animal Grooming Products'!I10</f>
        <v>5.3999999999999994E-3</v>
      </c>
      <c r="I111" s="168">
        <f t="shared" si="46"/>
        <v>5.7823129251700689E-2</v>
      </c>
      <c r="J111" s="168">
        <f t="shared" si="46"/>
        <v>3.6734693877551014E-3</v>
      </c>
      <c r="K111" s="168">
        <f t="shared" si="47"/>
        <v>4.2403628117913837E-2</v>
      </c>
      <c r="L111" s="168">
        <f t="shared" si="47"/>
        <v>2.693877551020408E-3</v>
      </c>
      <c r="M111" s="168">
        <f t="shared" si="48"/>
        <v>3.9604883049110057E-2</v>
      </c>
      <c r="N111" s="168">
        <f t="shared" si="49"/>
        <v>2.5160749231199326E-3</v>
      </c>
      <c r="O111" s="168">
        <f t="shared" si="50"/>
        <v>2.0310196435441054E-2</v>
      </c>
      <c r="P111" s="167">
        <f t="shared" si="51"/>
        <v>9.9997849508612715E-4</v>
      </c>
      <c r="Q111" s="165">
        <v>0</v>
      </c>
      <c r="R111" s="170" t="s">
        <v>984</v>
      </c>
    </row>
    <row r="112" spans="1:20" s="135" customFormat="1" ht="15" customHeight="1" thickBot="1" x14ac:dyDescent="0.4">
      <c r="A112" s="419"/>
      <c r="B112" s="175" t="s">
        <v>63</v>
      </c>
      <c r="C112" s="159" t="s">
        <v>63</v>
      </c>
      <c r="D112" s="159" t="s">
        <v>132</v>
      </c>
      <c r="E112" s="160">
        <v>250</v>
      </c>
      <c r="F112" s="160">
        <v>250</v>
      </c>
      <c r="G112" s="184">
        <f>'Use of Animal Grooming Products'!I10</f>
        <v>5.3999999999999994E-3</v>
      </c>
      <c r="H112" s="184">
        <f>'Use of Animal Grooming Products'!I10</f>
        <v>5.3999999999999994E-3</v>
      </c>
      <c r="I112" s="162">
        <f t="shared" si="46"/>
        <v>3.6734693877551014E-3</v>
      </c>
      <c r="J112" s="162">
        <f t="shared" si="46"/>
        <v>3.6734693877551014E-3</v>
      </c>
      <c r="K112" s="162">
        <f t="shared" si="47"/>
        <v>2.693877551020408E-3</v>
      </c>
      <c r="L112" s="162">
        <f t="shared" si="47"/>
        <v>2.693877551020408E-3</v>
      </c>
      <c r="M112" s="162">
        <f t="shared" si="48"/>
        <v>2.5160749231199326E-3</v>
      </c>
      <c r="N112" s="162">
        <f t="shared" si="49"/>
        <v>2.5160749231199326E-3</v>
      </c>
      <c r="O112" s="162">
        <f t="shared" si="50"/>
        <v>1.2902948323691961E-3</v>
      </c>
      <c r="P112" s="161">
        <f t="shared" si="51"/>
        <v>9.9997849508612715E-4</v>
      </c>
      <c r="Q112" s="159">
        <v>0</v>
      </c>
      <c r="R112" s="163" t="s">
        <v>142</v>
      </c>
    </row>
    <row r="113" spans="1:18" s="135" customFormat="1" ht="31" x14ac:dyDescent="0.35">
      <c r="A113" s="417" t="s">
        <v>757</v>
      </c>
      <c r="B113" s="173" t="s">
        <v>134</v>
      </c>
      <c r="C113" s="165" t="s">
        <v>134</v>
      </c>
      <c r="D113" s="165" t="s">
        <v>132</v>
      </c>
      <c r="E113" s="166">
        <f>'Use of Cleaning Products'!D3</f>
        <v>250</v>
      </c>
      <c r="F113" s="166">
        <f>'Use of Cleaning Products'!C3</f>
        <v>218</v>
      </c>
      <c r="G113" s="168">
        <f>'Use of Cleaning Products'!E11</f>
        <v>1.7000000000000001E-2</v>
      </c>
      <c r="H113" s="168">
        <f>'Use of Cleaning Products'!D11</f>
        <v>9.4950000000000004E-4</v>
      </c>
      <c r="I113" s="168">
        <f t="shared" si="46"/>
        <v>1.1564625850340139E-2</v>
      </c>
      <c r="J113" s="168">
        <f t="shared" si="46"/>
        <v>6.4591836734693888E-4</v>
      </c>
      <c r="K113" s="168">
        <f t="shared" si="47"/>
        <v>8.4807256235827667E-3</v>
      </c>
      <c r="L113" s="168">
        <f t="shared" si="47"/>
        <v>4.7367346938775515E-4</v>
      </c>
      <c r="M113" s="168">
        <f t="shared" si="48"/>
        <v>7.920976609822012E-3</v>
      </c>
      <c r="N113" s="168">
        <f t="shared" si="49"/>
        <v>3.8578138104556893E-4</v>
      </c>
      <c r="O113" s="168">
        <f t="shared" si="50"/>
        <v>4.0620392870882108E-3</v>
      </c>
      <c r="P113" s="167">
        <f t="shared" si="51"/>
        <v>1.5332336938990559E-4</v>
      </c>
      <c r="Q113" s="165">
        <v>0</v>
      </c>
      <c r="R113" s="170" t="s">
        <v>985</v>
      </c>
    </row>
    <row r="114" spans="1:18" s="135" customFormat="1" ht="15" customHeight="1" thickBot="1" x14ac:dyDescent="0.4">
      <c r="A114" s="419"/>
      <c r="B114" s="175" t="s">
        <v>63</v>
      </c>
      <c r="C114" s="159" t="s">
        <v>63</v>
      </c>
      <c r="D114" s="159" t="s">
        <v>132</v>
      </c>
      <c r="E114" s="160">
        <f>'Use of Cleaning Products'!D3</f>
        <v>250</v>
      </c>
      <c r="F114" s="160">
        <f>'Use of Cleaning Products'!C3</f>
        <v>218</v>
      </c>
      <c r="G114" s="162">
        <f>'Use of Cleaning Products'!D11</f>
        <v>9.4950000000000004E-4</v>
      </c>
      <c r="H114" s="162">
        <f>'Use of Cleaning Products'!D11</f>
        <v>9.4950000000000004E-4</v>
      </c>
      <c r="I114" s="162">
        <f t="shared" si="46"/>
        <v>6.4591836734693888E-4</v>
      </c>
      <c r="J114" s="162">
        <f t="shared" si="46"/>
        <v>6.4591836734693888E-4</v>
      </c>
      <c r="K114" s="162">
        <f t="shared" si="47"/>
        <v>4.7367346938775515E-4</v>
      </c>
      <c r="L114" s="162">
        <f t="shared" si="47"/>
        <v>4.7367346938775515E-4</v>
      </c>
      <c r="M114" s="162">
        <f t="shared" si="48"/>
        <v>4.4240984064858828E-4</v>
      </c>
      <c r="N114" s="162">
        <f t="shared" si="49"/>
        <v>3.8578138104556893E-4</v>
      </c>
      <c r="O114" s="162">
        <f t="shared" si="50"/>
        <v>2.2687684135825039E-4</v>
      </c>
      <c r="P114" s="161">
        <f t="shared" si="51"/>
        <v>1.5332336938990559E-4</v>
      </c>
      <c r="Q114" s="159">
        <v>0</v>
      </c>
      <c r="R114" s="163" t="s">
        <v>142</v>
      </c>
    </row>
    <row r="115" spans="1:18" s="135" customFormat="1" ht="16.5" customHeight="1" x14ac:dyDescent="0.35">
      <c r="A115" s="417" t="s">
        <v>759</v>
      </c>
      <c r="B115" s="173" t="s">
        <v>134</v>
      </c>
      <c r="C115" s="165" t="s">
        <v>134</v>
      </c>
      <c r="D115" s="165" t="s">
        <v>137</v>
      </c>
      <c r="E115" s="166">
        <v>250</v>
      </c>
      <c r="F115" s="166">
        <v>223</v>
      </c>
      <c r="G115" s="168">
        <f>'Use of Laundry - Institutional'!C7</f>
        <v>1.6205271962147428E-2</v>
      </c>
      <c r="H115" s="168">
        <f>'Use of Laundry - Institutional'!C8</f>
        <v>4.4022655845120306E-3</v>
      </c>
      <c r="I115" s="168">
        <f>'Use of Laundry - Institutional'!D7</f>
        <v>1.6535991798109623E-2</v>
      </c>
      <c r="J115" s="168">
        <f>'Use of Laundry - Institutional'!D8</f>
        <v>4.4921077392979904E-3</v>
      </c>
      <c r="K115" s="185">
        <f>'Use of Laundry - Institutional'!E7</f>
        <v>1.2126393985280389E-2</v>
      </c>
      <c r="L115" s="168">
        <f>'Use of Laundry - Institutional'!E8</f>
        <v>3.2941086865275705E-3</v>
      </c>
      <c r="M115" s="186">
        <f>'Use of Laundry - Institutional'!F7</f>
        <v>9.5104425013040079E-3</v>
      </c>
      <c r="N115" s="168">
        <f>'Use of Laundry - Institutional'!F8</f>
        <v>2.4014468814277531E-3</v>
      </c>
      <c r="O115" s="168">
        <f>'Use of Laundry - Institutional'!G7</f>
        <v>3.7731614488469094E-3</v>
      </c>
      <c r="P115" s="167">
        <f>'Use of Laundry - Institutional'!G8</f>
        <v>9.0357979582870714E-4</v>
      </c>
      <c r="Q115" s="165">
        <v>0</v>
      </c>
      <c r="R115" s="170" t="s">
        <v>143</v>
      </c>
    </row>
    <row r="116" spans="1:18" s="135" customFormat="1" ht="15" customHeight="1" x14ac:dyDescent="0.35">
      <c r="A116" s="418"/>
      <c r="B116" s="174" t="s">
        <v>63</v>
      </c>
      <c r="C116" s="149" t="s">
        <v>63</v>
      </c>
      <c r="D116" s="149" t="s">
        <v>137</v>
      </c>
      <c r="E116" s="150">
        <v>250</v>
      </c>
      <c r="F116" s="150">
        <v>223</v>
      </c>
      <c r="G116" s="152">
        <f>'Use of Laundry - Institutional'!C8</f>
        <v>4.4022655845120306E-3</v>
      </c>
      <c r="H116" s="152">
        <f>'Use of Laundry - Institutional'!C8</f>
        <v>4.4022655845120306E-3</v>
      </c>
      <c r="I116" s="152">
        <f>'Use of Laundry - Institutional'!D8</f>
        <v>4.4921077392979904E-3</v>
      </c>
      <c r="J116" s="152">
        <f>'Use of Laundry - Institutional'!D8</f>
        <v>4.4921077392979904E-3</v>
      </c>
      <c r="K116" s="152">
        <f>'Use of Laundry - Institutional'!E8</f>
        <v>3.2941086865275705E-3</v>
      </c>
      <c r="L116" s="145">
        <f>'Use of Laundry - Institutional'!E8</f>
        <v>3.2941086865275705E-3</v>
      </c>
      <c r="M116" s="152">
        <f>'Use of Laundry - Institutional'!F8</f>
        <v>2.4014468814277531E-3</v>
      </c>
      <c r="N116" s="152">
        <f>'Use of Laundry - Institutional'!F8</f>
        <v>2.4014468814277531E-3</v>
      </c>
      <c r="O116" s="152">
        <f>'Use of Laundry - Institutional'!G8</f>
        <v>9.0357979582870714E-4</v>
      </c>
      <c r="P116" s="151">
        <f>'Use of Laundry - Institutional'!G8</f>
        <v>9.0357979582870714E-4</v>
      </c>
      <c r="Q116" s="149">
        <v>0</v>
      </c>
      <c r="R116" s="154" t="s">
        <v>142</v>
      </c>
    </row>
    <row r="117" spans="1:18" s="135" customFormat="1" x14ac:dyDescent="0.35">
      <c r="A117" s="418" t="s">
        <v>760</v>
      </c>
      <c r="B117" s="174" t="s">
        <v>134</v>
      </c>
      <c r="C117" s="149" t="s">
        <v>134</v>
      </c>
      <c r="D117" s="149" t="s">
        <v>137</v>
      </c>
      <c r="E117" s="150">
        <v>250</v>
      </c>
      <c r="F117" s="150">
        <v>223</v>
      </c>
      <c r="G117" s="152">
        <f>'Use of Laundry - Industrial'!C7</f>
        <v>1.6225680289999635E-2</v>
      </c>
      <c r="H117" s="152">
        <f>'Use of Laundry - Industrial'!C8</f>
        <v>4.4044676160041414E-3</v>
      </c>
      <c r="I117" s="152">
        <f>'Use of Laundry - Industrial'!D7</f>
        <v>1.6556816622448605E-2</v>
      </c>
      <c r="J117" s="152">
        <f>'Use of Laundry - Industrial'!D8</f>
        <v>4.494354710208307E-3</v>
      </c>
      <c r="K117" s="152">
        <f>'Use of Laundry - Industrial'!E7</f>
        <v>1.2141665523128979E-2</v>
      </c>
      <c r="L117" s="152">
        <f>'Use of Laundry - Industrial'!E8</f>
        <v>3.2958601208194255E-3</v>
      </c>
      <c r="M117" s="152">
        <f>'Use of Laundry - Industrial'!F7</f>
        <v>9.4802045360139354E-3</v>
      </c>
      <c r="N117" s="152">
        <f>'Use of Laundry - Industrial'!F8</f>
        <v>2.4036996917824812E-3</v>
      </c>
      <c r="O117" s="152">
        <f>'Use of Laundry - Industrial'!G7</f>
        <v>3.7745713659602122E-3</v>
      </c>
      <c r="P117" s="151">
        <f>'Use of Laundry - Industrial'!G8</f>
        <v>9.0619182353785996E-4</v>
      </c>
      <c r="Q117" s="149">
        <v>0</v>
      </c>
      <c r="R117" s="154" t="s">
        <v>143</v>
      </c>
    </row>
    <row r="118" spans="1:18" s="135" customFormat="1" ht="15" customHeight="1" thickBot="1" x14ac:dyDescent="0.4">
      <c r="A118" s="419"/>
      <c r="B118" s="175" t="s">
        <v>63</v>
      </c>
      <c r="C118" s="159" t="s">
        <v>63</v>
      </c>
      <c r="D118" s="159" t="s">
        <v>137</v>
      </c>
      <c r="E118" s="160">
        <v>250</v>
      </c>
      <c r="F118" s="160">
        <v>223</v>
      </c>
      <c r="G118" s="162">
        <f>'Use of Laundry - Industrial'!C8</f>
        <v>4.4044676160041414E-3</v>
      </c>
      <c r="H118" s="162">
        <f>'Use of Laundry - Industrial'!C8</f>
        <v>4.4044676160041414E-3</v>
      </c>
      <c r="I118" s="162">
        <f>'Use of Laundry - Industrial'!D8</f>
        <v>4.494354710208307E-3</v>
      </c>
      <c r="J118" s="162">
        <f>'Use of Laundry - Industrial'!D8</f>
        <v>4.494354710208307E-3</v>
      </c>
      <c r="K118" s="162">
        <f>'Use of Laundry - Industrial'!E8</f>
        <v>3.2958601208194255E-3</v>
      </c>
      <c r="L118" s="162">
        <f>'Use of Laundry - Industrial'!E8</f>
        <v>3.2958601208194255E-3</v>
      </c>
      <c r="M118" s="162">
        <f>'Use of Laundry - Industrial'!F8</f>
        <v>2.4036996917824812E-3</v>
      </c>
      <c r="N118" s="162">
        <f>'Use of Laundry - Industrial'!F8</f>
        <v>2.4036996917824812E-3</v>
      </c>
      <c r="O118" s="162">
        <f>'Use of Laundry - Industrial'!G8</f>
        <v>9.0619182353785996E-4</v>
      </c>
      <c r="P118" s="161">
        <f>'Use of Laundry - Industrial'!G8</f>
        <v>9.0619182353785996E-4</v>
      </c>
      <c r="Q118" s="159">
        <v>0</v>
      </c>
      <c r="R118" s="163" t="s">
        <v>142</v>
      </c>
    </row>
    <row r="119" spans="1:18" s="135" customFormat="1" ht="31" x14ac:dyDescent="0.35">
      <c r="A119" s="417" t="s">
        <v>761</v>
      </c>
      <c r="B119" s="172" t="s">
        <v>417</v>
      </c>
      <c r="C119" s="165" t="s">
        <v>134</v>
      </c>
      <c r="D119" s="165" t="s">
        <v>132</v>
      </c>
      <c r="E119" s="166">
        <v>250</v>
      </c>
      <c r="F119" s="166">
        <v>235</v>
      </c>
      <c r="G119" s="167">
        <f>'OES with Consortium Data_Calcs'!E5</f>
        <v>46.705460122699385</v>
      </c>
      <c r="H119" s="167">
        <f>'OES with Consortium Data_Calcs'!F5</f>
        <v>0.24262576687116569</v>
      </c>
      <c r="I119" s="168">
        <f t="shared" ref="I119:I122" si="52">IFERROR(G119*ED_8*BR/AT_AC, "N/A")</f>
        <v>31.772421852176453</v>
      </c>
      <c r="J119" s="168">
        <f t="shared" ref="J119:J122" si="53">IFERROR(H119*ED_8*BR/AT_AC, "N/A")</f>
        <v>0.16505154208922837</v>
      </c>
      <c r="K119" s="168">
        <f t="shared" ref="K119:K122" si="54">IFERROR(G119*ED_8*IF(E119&gt;22,22,E119)*BR/(ED_intermediate*EF_intermediate),"N/A")</f>
        <v>23.2997760249294</v>
      </c>
      <c r="L119" s="168">
        <f t="shared" ref="L119:L122" si="55">IFERROR(H119*ED_8*IF(F119&gt;22,22,F119)*BR/(ED_intermediate*EF_intermediate),"N/A")</f>
        <v>0.1210377975321008</v>
      </c>
      <c r="M119" s="168">
        <f t="shared" ref="M119:M122" si="56">IFERROR(G119*ED_8*E119*WY_95th*BR/AT_95th_non_cancer, "N/A")</f>
        <v>21.761932775463325</v>
      </c>
      <c r="N119" s="168">
        <f t="shared" ref="N119:N122" si="57">IFERROR(H119*ED_8*F119*WY_50th*BR/AT_50th_non_cancer, "N/A")</f>
        <v>0.10626606134511964</v>
      </c>
      <c r="O119" s="168">
        <f t="shared" ref="O119:O122" si="58">IFERROR(G119*ED_8*E119*WY_95th*BR/AT_cancer, "N/A")</f>
        <v>11.159965525878627</v>
      </c>
      <c r="P119" s="167">
        <f t="shared" ref="P119:P122" si="59">IFERROR(H119*ED_8*F119*WY_50th*BR/AT_cancer, "N/A")</f>
        <v>4.2233947457675752E-2</v>
      </c>
      <c r="Q119" s="166">
        <v>3</v>
      </c>
      <c r="R119" s="170" t="s">
        <v>764</v>
      </c>
    </row>
    <row r="120" spans="1:18" s="135" customFormat="1" ht="16" thickBot="1" x14ac:dyDescent="0.4">
      <c r="A120" s="419"/>
      <c r="B120" s="175" t="s">
        <v>63</v>
      </c>
      <c r="C120" s="159" t="s">
        <v>63</v>
      </c>
      <c r="D120" s="159" t="s">
        <v>132</v>
      </c>
      <c r="E120" s="160">
        <v>250</v>
      </c>
      <c r="F120" s="160">
        <v>235</v>
      </c>
      <c r="G120" s="162">
        <f>H119</f>
        <v>0.24262576687116569</v>
      </c>
      <c r="H120" s="162">
        <f>H119</f>
        <v>0.24262576687116569</v>
      </c>
      <c r="I120" s="162">
        <f t="shared" si="52"/>
        <v>0.16505154208922837</v>
      </c>
      <c r="J120" s="162">
        <f t="shared" si="53"/>
        <v>0.16505154208922837</v>
      </c>
      <c r="K120" s="162">
        <f t="shared" si="54"/>
        <v>0.1210377975321008</v>
      </c>
      <c r="L120" s="162">
        <f t="shared" si="55"/>
        <v>0.1210377975321008</v>
      </c>
      <c r="M120" s="162">
        <f t="shared" si="56"/>
        <v>0.11304900143097833</v>
      </c>
      <c r="N120" s="162">
        <f t="shared" si="57"/>
        <v>0.10626606134511964</v>
      </c>
      <c r="O120" s="162">
        <f t="shared" si="58"/>
        <v>5.7973846887681202E-2</v>
      </c>
      <c r="P120" s="161">
        <f t="shared" si="59"/>
        <v>4.2233947457675752E-2</v>
      </c>
      <c r="Q120" s="159">
        <v>0</v>
      </c>
      <c r="R120" s="163" t="s">
        <v>142</v>
      </c>
    </row>
    <row r="121" spans="1:18" s="135" customFormat="1" x14ac:dyDescent="0.35">
      <c r="A121" s="417" t="s">
        <v>29</v>
      </c>
      <c r="B121" s="173" t="s">
        <v>134</v>
      </c>
      <c r="C121" s="165" t="s">
        <v>134</v>
      </c>
      <c r="D121" s="165" t="s">
        <v>132</v>
      </c>
      <c r="E121" s="166" t="s">
        <v>144</v>
      </c>
      <c r="F121" s="166" t="s">
        <v>144</v>
      </c>
      <c r="G121" s="166" t="s">
        <v>144</v>
      </c>
      <c r="H121" s="166" t="s">
        <v>144</v>
      </c>
      <c r="I121" s="168" t="str">
        <f t="shared" si="52"/>
        <v>N/A</v>
      </c>
      <c r="J121" s="168" t="str">
        <f t="shared" si="53"/>
        <v>N/A</v>
      </c>
      <c r="K121" s="168" t="str">
        <f t="shared" si="54"/>
        <v>N/A</v>
      </c>
      <c r="L121" s="168" t="str">
        <f t="shared" si="55"/>
        <v>N/A</v>
      </c>
      <c r="M121" s="168" t="str">
        <f t="shared" si="56"/>
        <v>N/A</v>
      </c>
      <c r="N121" s="168" t="str">
        <f t="shared" si="57"/>
        <v>N/A</v>
      </c>
      <c r="O121" s="168" t="str">
        <f t="shared" si="58"/>
        <v>N/A</v>
      </c>
      <c r="P121" s="167" t="str">
        <f t="shared" si="59"/>
        <v>N/A</v>
      </c>
      <c r="Q121" s="166" t="s">
        <v>144</v>
      </c>
      <c r="R121" s="170" t="s">
        <v>148</v>
      </c>
    </row>
    <row r="122" spans="1:18" s="135" customFormat="1" ht="16" thickBot="1" x14ac:dyDescent="0.4">
      <c r="A122" s="419"/>
      <c r="B122" s="175" t="s">
        <v>63</v>
      </c>
      <c r="C122" s="159" t="s">
        <v>63</v>
      </c>
      <c r="D122" s="159" t="s">
        <v>132</v>
      </c>
      <c r="E122" s="160" t="s">
        <v>144</v>
      </c>
      <c r="F122" s="160" t="s">
        <v>144</v>
      </c>
      <c r="G122" s="160" t="s">
        <v>144</v>
      </c>
      <c r="H122" s="160" t="s">
        <v>144</v>
      </c>
      <c r="I122" s="162" t="str">
        <f t="shared" si="52"/>
        <v>N/A</v>
      </c>
      <c r="J122" s="162" t="str">
        <f t="shared" si="53"/>
        <v>N/A</v>
      </c>
      <c r="K122" s="162" t="str">
        <f t="shared" si="54"/>
        <v>N/A</v>
      </c>
      <c r="L122" s="162" t="str">
        <f t="shared" si="55"/>
        <v>N/A</v>
      </c>
      <c r="M122" s="162" t="str">
        <f t="shared" si="56"/>
        <v>N/A</v>
      </c>
      <c r="N122" s="162" t="str">
        <f t="shared" si="57"/>
        <v>N/A</v>
      </c>
      <c r="O122" s="162" t="str">
        <f t="shared" si="58"/>
        <v>N/A</v>
      </c>
      <c r="P122" s="161" t="str">
        <f t="shared" si="59"/>
        <v>N/A</v>
      </c>
      <c r="Q122" s="160" t="s">
        <v>144</v>
      </c>
      <c r="R122" s="163" t="s">
        <v>148</v>
      </c>
    </row>
    <row r="123" spans="1:18" x14ac:dyDescent="0.35">
      <c r="A123" s="187"/>
      <c r="B123" s="188"/>
    </row>
  </sheetData>
  <sheetProtection sheet="1" objects="1" scenarios="1" formatCells="0" formatColumns="0" formatRows="0"/>
  <autoFilter ref="A5:T122" xr:uid="{2B98C72F-6932-4AF1-8348-9CC1626896D8}"/>
  <mergeCells count="46">
    <mergeCell ref="A1:B2"/>
    <mergeCell ref="A121:A122"/>
    <mergeCell ref="A97:A98"/>
    <mergeCell ref="A117:A118"/>
    <mergeCell ref="A119:A120"/>
    <mergeCell ref="A3:A5"/>
    <mergeCell ref="A31:A38"/>
    <mergeCell ref="A45:A52"/>
    <mergeCell ref="A53:A60"/>
    <mergeCell ref="A63:A70"/>
    <mergeCell ref="A71:A78"/>
    <mergeCell ref="A61:A62"/>
    <mergeCell ref="A39:A40"/>
    <mergeCell ref="A41:A42"/>
    <mergeCell ref="A43:A44"/>
    <mergeCell ref="G4:H4"/>
    <mergeCell ref="I4:J4"/>
    <mergeCell ref="A101:A108"/>
    <mergeCell ref="A115:A116"/>
    <mergeCell ref="A109:A110"/>
    <mergeCell ref="A113:A114"/>
    <mergeCell ref="A111:A112"/>
    <mergeCell ref="A99:A100"/>
    <mergeCell ref="A81:A88"/>
    <mergeCell ref="A89:A96"/>
    <mergeCell ref="B3:B5"/>
    <mergeCell ref="A6:A13"/>
    <mergeCell ref="A22:A30"/>
    <mergeCell ref="A14:A21"/>
    <mergeCell ref="A79:A80"/>
    <mergeCell ref="C1:N2"/>
    <mergeCell ref="O1:R2"/>
    <mergeCell ref="K3:L3"/>
    <mergeCell ref="K4:L4"/>
    <mergeCell ref="R3:R5"/>
    <mergeCell ref="Q3:Q5"/>
    <mergeCell ref="M4:N4"/>
    <mergeCell ref="O4:P4"/>
    <mergeCell ref="M3:N3"/>
    <mergeCell ref="O3:P3"/>
    <mergeCell ref="C3:C5"/>
    <mergeCell ref="E3:F3"/>
    <mergeCell ref="E4:F4"/>
    <mergeCell ref="G3:H3"/>
    <mergeCell ref="D3:D5"/>
    <mergeCell ref="I3:J3"/>
  </mergeCells>
  <conditionalFormatting sqref="G6:H78 I6:P122 G81:H120">
    <cfRule type="cellIs" dxfId="4" priority="1" operator="lessThan">
      <formula>0.1</formula>
    </cfRule>
    <cfRule type="cellIs" dxfId="3" priority="4" operator="between">
      <formula>0.1</formula>
      <formula>0.999</formula>
    </cfRule>
    <cfRule type="cellIs" dxfId="2" priority="5" operator="between">
      <formula>1</formula>
      <formula>9.999</formula>
    </cfRule>
    <cfRule type="cellIs" dxfId="1" priority="7" operator="between">
      <formula>10</formula>
      <formula>9999.999</formula>
    </cfRule>
    <cfRule type="cellIs" dxfId="0" priority="9" operator="greaterThanOrEqual">
      <formula>10000</formula>
    </cfRule>
  </conditionalFormatting>
  <pageMargins left="0.7" right="0.7" top="0.75" bottom="0.75" header="0.3" footer="0.3"/>
  <pageSetup scale="32" orientation="portrait" r:id="rId1"/>
  <colBreaks count="1" manualBreakCount="1">
    <brk id="16" min="1" max="8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E6C2C-6156-49CC-859A-FD9ACA1981A8}">
  <sheetPr codeName="Sheet13"/>
  <dimension ref="A1:D32"/>
  <sheetViews>
    <sheetView zoomScale="90" zoomScaleNormal="90" workbookViewId="0">
      <selection activeCell="F7" sqref="F7"/>
    </sheetView>
  </sheetViews>
  <sheetFormatPr defaultColWidth="8.90625" defaultRowHeight="14" x14ac:dyDescent="0.3"/>
  <cols>
    <col min="1" max="1" width="51.54296875" style="100" bestFit="1" customWidth="1"/>
    <col min="2" max="2" width="26.453125" style="100" customWidth="1"/>
    <col min="3" max="3" width="8.90625" style="109"/>
    <col min="4" max="4" width="11.453125" style="109" customWidth="1"/>
    <col min="5" max="6" width="8.90625" style="100"/>
    <col min="7" max="7" width="15.54296875" style="100" bestFit="1" customWidth="1"/>
    <col min="8" max="8" width="13.54296875" style="100" bestFit="1" customWidth="1"/>
    <col min="9" max="16384" width="8.90625" style="100"/>
  </cols>
  <sheetData>
    <row r="1" spans="1:4" x14ac:dyDescent="0.3">
      <c r="A1" s="427" t="s">
        <v>149</v>
      </c>
      <c r="B1" s="427"/>
      <c r="C1" s="427"/>
      <c r="D1" s="427"/>
    </row>
    <row r="2" spans="1:4" x14ac:dyDescent="0.3">
      <c r="A2" s="428"/>
      <c r="B2" s="428"/>
      <c r="C2" s="428"/>
      <c r="D2" s="428"/>
    </row>
    <row r="3" spans="1:4" ht="14.5" thickBot="1" x14ac:dyDescent="0.35">
      <c r="A3" s="117" t="s">
        <v>150</v>
      </c>
      <c r="B3" s="117" t="s">
        <v>151</v>
      </c>
      <c r="C3" s="117" t="s">
        <v>152</v>
      </c>
      <c r="D3" s="117" t="s">
        <v>153</v>
      </c>
    </row>
    <row r="4" spans="1:4" ht="17.5" thickTop="1" x14ac:dyDescent="0.3">
      <c r="A4" s="116" t="s">
        <v>791</v>
      </c>
      <c r="B4" s="116" t="s">
        <v>771</v>
      </c>
      <c r="C4" s="119">
        <v>8</v>
      </c>
      <c r="D4" s="119" t="s">
        <v>154</v>
      </c>
    </row>
    <row r="5" spans="1:4" ht="17" x14ac:dyDescent="0.3">
      <c r="A5" s="113" t="s">
        <v>793</v>
      </c>
      <c r="B5" s="113" t="s">
        <v>772</v>
      </c>
      <c r="C5" s="120">
        <v>10</v>
      </c>
      <c r="D5" s="120" t="s">
        <v>154</v>
      </c>
    </row>
    <row r="6" spans="1:4" ht="17" x14ac:dyDescent="0.3">
      <c r="A6" s="113" t="s">
        <v>792</v>
      </c>
      <c r="B6" s="113" t="s">
        <v>773</v>
      </c>
      <c r="C6" s="120">
        <v>12</v>
      </c>
      <c r="D6" s="120" t="s">
        <v>154</v>
      </c>
    </row>
    <row r="7" spans="1:4" ht="17" x14ac:dyDescent="0.3">
      <c r="A7" s="113" t="s">
        <v>790</v>
      </c>
      <c r="B7" s="113" t="s">
        <v>774</v>
      </c>
      <c r="C7" s="120">
        <v>24</v>
      </c>
      <c r="D7" s="120" t="s">
        <v>154</v>
      </c>
    </row>
    <row r="8" spans="1:4" ht="17" x14ac:dyDescent="0.3">
      <c r="A8" s="113" t="s">
        <v>788</v>
      </c>
      <c r="B8" s="113" t="s">
        <v>775</v>
      </c>
      <c r="C8" s="120">
        <v>250</v>
      </c>
      <c r="D8" s="120" t="s">
        <v>155</v>
      </c>
    </row>
    <row r="9" spans="1:4" ht="17" x14ac:dyDescent="0.3">
      <c r="A9" s="113" t="s">
        <v>787</v>
      </c>
      <c r="B9" s="113" t="s">
        <v>775</v>
      </c>
      <c r="C9" s="120">
        <f>+ROUND(AWD*8/10,0)</f>
        <v>200</v>
      </c>
      <c r="D9" s="120" t="s">
        <v>155</v>
      </c>
    </row>
    <row r="10" spans="1:4" ht="17" x14ac:dyDescent="0.3">
      <c r="A10" s="113" t="s">
        <v>789</v>
      </c>
      <c r="B10" s="113" t="s">
        <v>776</v>
      </c>
      <c r="C10" s="120">
        <f>+ROUND(AWD*8/12,0)</f>
        <v>167</v>
      </c>
      <c r="D10" s="120" t="s">
        <v>155</v>
      </c>
    </row>
    <row r="11" spans="1:4" ht="17" x14ac:dyDescent="0.3">
      <c r="A11" s="114" t="s">
        <v>785</v>
      </c>
      <c r="B11" s="114" t="s">
        <v>777</v>
      </c>
      <c r="C11" s="121">
        <v>24</v>
      </c>
      <c r="D11" s="121" t="s">
        <v>154</v>
      </c>
    </row>
    <row r="12" spans="1:4" ht="17" x14ac:dyDescent="0.3">
      <c r="A12" s="114" t="s">
        <v>786</v>
      </c>
      <c r="B12" s="114" t="s">
        <v>778</v>
      </c>
      <c r="C12" s="121">
        <v>30</v>
      </c>
      <c r="D12" s="121" t="s">
        <v>155</v>
      </c>
    </row>
    <row r="13" spans="1:4" ht="17" x14ac:dyDescent="0.3">
      <c r="A13" s="113" t="s">
        <v>794</v>
      </c>
      <c r="B13" s="113" t="s">
        <v>779</v>
      </c>
      <c r="C13" s="120">
        <v>40</v>
      </c>
      <c r="D13" s="120" t="s">
        <v>156</v>
      </c>
    </row>
    <row r="14" spans="1:4" ht="17" x14ac:dyDescent="0.3">
      <c r="A14" s="113" t="s">
        <v>795</v>
      </c>
      <c r="B14" s="113" t="s">
        <v>780</v>
      </c>
      <c r="C14" s="120">
        <v>31</v>
      </c>
      <c r="D14" s="120" t="s">
        <v>156</v>
      </c>
    </row>
    <row r="15" spans="1:4" ht="17" x14ac:dyDescent="0.3">
      <c r="A15" s="113" t="s">
        <v>157</v>
      </c>
      <c r="B15" s="113" t="s">
        <v>781</v>
      </c>
      <c r="C15" s="120">
        <v>78</v>
      </c>
      <c r="D15" s="120" t="s">
        <v>156</v>
      </c>
    </row>
    <row r="16" spans="1:4" ht="17" x14ac:dyDescent="0.3">
      <c r="A16" s="113" t="s">
        <v>798</v>
      </c>
      <c r="B16" s="113" t="s">
        <v>782</v>
      </c>
      <c r="C16" s="122">
        <f>+WY_95th*365*24</f>
        <v>350400</v>
      </c>
      <c r="D16" s="120" t="s">
        <v>158</v>
      </c>
    </row>
    <row r="17" spans="1:4" ht="17" x14ac:dyDescent="0.3">
      <c r="A17" s="113" t="s">
        <v>797</v>
      </c>
      <c r="B17" s="113" t="s">
        <v>783</v>
      </c>
      <c r="C17" s="122">
        <f>+WY_50th*365*24</f>
        <v>271560</v>
      </c>
      <c r="D17" s="120" t="s">
        <v>158</v>
      </c>
    </row>
    <row r="18" spans="1:4" ht="17" x14ac:dyDescent="0.3">
      <c r="A18" s="113" t="s">
        <v>796</v>
      </c>
      <c r="B18" s="113" t="s">
        <v>784</v>
      </c>
      <c r="C18" s="122">
        <f>+LT_cancer*365*24</f>
        <v>683280</v>
      </c>
      <c r="D18" s="120" t="s">
        <v>158</v>
      </c>
    </row>
    <row r="19" spans="1:4" x14ac:dyDescent="0.3">
      <c r="A19" s="113" t="s">
        <v>799</v>
      </c>
      <c r="B19" s="113" t="s">
        <v>159</v>
      </c>
      <c r="C19" s="125">
        <f>1.25/0.6125</f>
        <v>2.0408163265306123</v>
      </c>
      <c r="D19" s="105" t="s">
        <v>160</v>
      </c>
    </row>
    <row r="20" spans="1:4" x14ac:dyDescent="0.3">
      <c r="A20" s="113" t="s">
        <v>800</v>
      </c>
      <c r="B20" s="113" t="s">
        <v>161</v>
      </c>
      <c r="C20" s="125">
        <v>296.61</v>
      </c>
      <c r="D20" s="105" t="s">
        <v>162</v>
      </c>
    </row>
    <row r="21" spans="1:4" x14ac:dyDescent="0.3">
      <c r="A21" s="108"/>
      <c r="B21" s="108"/>
      <c r="C21" s="108"/>
      <c r="D21" s="108"/>
    </row>
    <row r="22" spans="1:4" x14ac:dyDescent="0.3">
      <c r="A22" s="115"/>
      <c r="B22" s="115"/>
      <c r="C22" s="123"/>
      <c r="D22" s="123"/>
    </row>
    <row r="23" spans="1:4" x14ac:dyDescent="0.3">
      <c r="A23" s="115"/>
      <c r="B23" s="115"/>
      <c r="C23" s="123"/>
      <c r="D23" s="123"/>
    </row>
    <row r="24" spans="1:4" x14ac:dyDescent="0.3">
      <c r="A24" s="115"/>
      <c r="B24" s="115"/>
      <c r="C24" s="123"/>
      <c r="D24" s="123"/>
    </row>
    <row r="25" spans="1:4" x14ac:dyDescent="0.3">
      <c r="A25" s="115"/>
      <c r="B25" s="115"/>
      <c r="C25" s="123"/>
      <c r="D25" s="123"/>
    </row>
    <row r="26" spans="1:4" x14ac:dyDescent="0.3">
      <c r="A26" s="115"/>
      <c r="B26" s="115"/>
      <c r="C26" s="123"/>
      <c r="D26" s="123"/>
    </row>
    <row r="27" spans="1:4" x14ac:dyDescent="0.3">
      <c r="A27" s="115"/>
      <c r="B27" s="115"/>
      <c r="C27" s="123"/>
      <c r="D27" s="123"/>
    </row>
    <row r="28" spans="1:4" x14ac:dyDescent="0.3">
      <c r="A28" s="115"/>
      <c r="B28" s="115"/>
      <c r="C28" s="123"/>
      <c r="D28" s="123"/>
    </row>
    <row r="29" spans="1:4" x14ac:dyDescent="0.3">
      <c r="A29" s="115"/>
      <c r="B29" s="115"/>
      <c r="C29" s="123"/>
      <c r="D29" s="123"/>
    </row>
    <row r="30" spans="1:4" x14ac:dyDescent="0.3">
      <c r="C30" s="124"/>
    </row>
    <row r="31" spans="1:4" x14ac:dyDescent="0.3">
      <c r="C31" s="124"/>
    </row>
    <row r="32" spans="1:4" x14ac:dyDescent="0.3">
      <c r="C32" s="124"/>
    </row>
  </sheetData>
  <sheetProtection sheet="1" objects="1" scenarios="1" formatCells="0" formatColumns="0" formatRows="0"/>
  <mergeCells count="1">
    <mergeCell ref="A1:D2"/>
  </mergeCells>
  <pageMargins left="0.7" right="0.7" top="0.75" bottom="0.75" header="0.3" footer="0.3"/>
  <pageSetup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E88E-10E9-4609-A587-60918D98E5A6}">
  <dimension ref="A1:C38"/>
  <sheetViews>
    <sheetView zoomScale="80" zoomScaleNormal="80" workbookViewId="0">
      <selection activeCell="H6" sqref="H6"/>
    </sheetView>
  </sheetViews>
  <sheetFormatPr defaultColWidth="8.90625" defaultRowHeight="14" x14ac:dyDescent="0.3"/>
  <cols>
    <col min="1" max="1" width="20.453125" style="102" customWidth="1"/>
    <col min="2" max="2" width="44.453125" style="102" customWidth="1"/>
    <col min="3" max="3" width="79.453125" style="128" customWidth="1"/>
    <col min="4" max="16384" width="8.90625" style="100"/>
  </cols>
  <sheetData>
    <row r="1" spans="1:3" ht="29.25" customHeight="1" x14ac:dyDescent="0.3">
      <c r="A1" s="429" t="s">
        <v>163</v>
      </c>
      <c r="B1" s="429"/>
      <c r="C1" s="429"/>
    </row>
    <row r="2" spans="1:3" ht="14.5" thickBot="1" x14ac:dyDescent="0.35">
      <c r="A2" s="433" t="s">
        <v>164</v>
      </c>
      <c r="B2" s="434"/>
      <c r="C2" s="253" t="s">
        <v>101</v>
      </c>
    </row>
    <row r="3" spans="1:3" s="106" customFormat="1" ht="14.9" customHeight="1" thickTop="1" x14ac:dyDescent="0.3">
      <c r="A3" s="432"/>
      <c r="B3" s="381" t="s">
        <v>5</v>
      </c>
      <c r="C3" s="381" t="s">
        <v>165</v>
      </c>
    </row>
    <row r="4" spans="1:3" s="106" customFormat="1" ht="154" x14ac:dyDescent="0.3">
      <c r="A4" s="431"/>
      <c r="B4" s="126" t="s">
        <v>166</v>
      </c>
      <c r="C4" s="126" t="s">
        <v>167</v>
      </c>
    </row>
    <row r="5" spans="1:3" s="106" customFormat="1" ht="14.9" customHeight="1" x14ac:dyDescent="0.3">
      <c r="A5" s="431"/>
      <c r="B5" s="126" t="s">
        <v>168</v>
      </c>
      <c r="C5" s="126" t="s">
        <v>169</v>
      </c>
    </row>
    <row r="6" spans="1:3" s="106" customFormat="1" ht="14.9" customHeight="1" x14ac:dyDescent="0.3">
      <c r="A6" s="431"/>
      <c r="B6" s="126" t="s">
        <v>170</v>
      </c>
      <c r="C6" s="126" t="s">
        <v>171</v>
      </c>
    </row>
    <row r="7" spans="1:3" s="106" customFormat="1" ht="14.9" customHeight="1" x14ac:dyDescent="0.3">
      <c r="A7" s="431"/>
      <c r="B7" s="126" t="s">
        <v>172</v>
      </c>
      <c r="C7" s="126" t="s">
        <v>173</v>
      </c>
    </row>
    <row r="8" spans="1:3" s="106" customFormat="1" ht="14.9" customHeight="1" x14ac:dyDescent="0.3">
      <c r="A8" s="431"/>
      <c r="B8" s="126" t="s">
        <v>174</v>
      </c>
      <c r="C8" s="126" t="s">
        <v>175</v>
      </c>
    </row>
    <row r="9" spans="1:3" s="106" customFormat="1" ht="28" x14ac:dyDescent="0.3">
      <c r="A9" s="431"/>
      <c r="B9" s="127" t="s">
        <v>176</v>
      </c>
      <c r="C9" s="126" t="s">
        <v>177</v>
      </c>
    </row>
    <row r="10" spans="1:3" s="106" customFormat="1" ht="14.9" customHeight="1" x14ac:dyDescent="0.3">
      <c r="A10" s="431"/>
      <c r="B10" s="126" t="s">
        <v>178</v>
      </c>
      <c r="C10" s="126" t="s">
        <v>179</v>
      </c>
    </row>
    <row r="11" spans="1:3" s="106" customFormat="1" ht="59.4" customHeight="1" x14ac:dyDescent="0.3">
      <c r="A11" s="431"/>
      <c r="B11" s="127" t="s">
        <v>180</v>
      </c>
      <c r="C11" s="126" t="s">
        <v>181</v>
      </c>
    </row>
    <row r="12" spans="1:3" s="106" customFormat="1" ht="42.65" customHeight="1" x14ac:dyDescent="0.3">
      <c r="A12" s="431"/>
      <c r="B12" s="127" t="s">
        <v>182</v>
      </c>
      <c r="C12" s="126" t="s">
        <v>183</v>
      </c>
    </row>
    <row r="13" spans="1:3" s="106" customFormat="1" ht="42" x14ac:dyDescent="0.3">
      <c r="A13" s="431"/>
      <c r="B13" s="127" t="s">
        <v>184</v>
      </c>
      <c r="C13" s="126" t="s">
        <v>185</v>
      </c>
    </row>
    <row r="14" spans="1:3" s="106" customFormat="1" ht="14.9" customHeight="1" x14ac:dyDescent="0.3">
      <c r="A14" s="431"/>
      <c r="B14" s="126" t="s">
        <v>186</v>
      </c>
      <c r="C14" s="126" t="s">
        <v>187</v>
      </c>
    </row>
    <row r="15" spans="1:3" s="106" customFormat="1" ht="14.9" customHeight="1" x14ac:dyDescent="0.3">
      <c r="A15" s="431"/>
      <c r="B15" s="126" t="s">
        <v>188</v>
      </c>
      <c r="C15" s="126" t="s">
        <v>189</v>
      </c>
    </row>
    <row r="16" spans="1:3" s="106" customFormat="1" ht="14.9" customHeight="1" x14ac:dyDescent="0.3">
      <c r="A16" s="431"/>
      <c r="B16" s="126" t="s">
        <v>190</v>
      </c>
      <c r="C16" s="126" t="s">
        <v>191</v>
      </c>
    </row>
    <row r="17" spans="1:3" s="106" customFormat="1" ht="14.9" customHeight="1" x14ac:dyDescent="0.3">
      <c r="A17" s="435" t="s">
        <v>809</v>
      </c>
      <c r="B17" s="126" t="s">
        <v>193</v>
      </c>
      <c r="C17" s="126" t="s">
        <v>194</v>
      </c>
    </row>
    <row r="18" spans="1:3" s="106" customFormat="1" ht="14.9" customHeight="1" x14ac:dyDescent="0.3">
      <c r="A18" s="436"/>
      <c r="B18" s="126" t="s">
        <v>195</v>
      </c>
      <c r="C18" s="126" t="s">
        <v>196</v>
      </c>
    </row>
    <row r="19" spans="1:3" s="106" customFormat="1" ht="14.9" customHeight="1" x14ac:dyDescent="0.3">
      <c r="A19" s="436"/>
      <c r="B19" s="126" t="s">
        <v>197</v>
      </c>
      <c r="C19" s="126" t="s">
        <v>198</v>
      </c>
    </row>
    <row r="20" spans="1:3" s="106" customFormat="1" ht="28" x14ac:dyDescent="0.3">
      <c r="A20" s="436"/>
      <c r="B20" s="126" t="s">
        <v>199</v>
      </c>
      <c r="C20" s="126" t="s">
        <v>200</v>
      </c>
    </row>
    <row r="21" spans="1:3" s="106" customFormat="1" ht="14.9" customHeight="1" x14ac:dyDescent="0.3">
      <c r="A21" s="436"/>
      <c r="B21" s="126" t="s">
        <v>201</v>
      </c>
      <c r="C21" s="126" t="s">
        <v>202</v>
      </c>
    </row>
    <row r="22" spans="1:3" s="106" customFormat="1" ht="14.9" customHeight="1" x14ac:dyDescent="0.3">
      <c r="A22" s="436"/>
      <c r="B22" s="126" t="s">
        <v>203</v>
      </c>
      <c r="C22" s="126" t="s">
        <v>204</v>
      </c>
    </row>
    <row r="23" spans="1:3" s="106" customFormat="1" ht="14.9" customHeight="1" x14ac:dyDescent="0.3">
      <c r="A23" s="436"/>
      <c r="B23" s="126" t="s">
        <v>205</v>
      </c>
      <c r="C23" s="126" t="s">
        <v>206</v>
      </c>
    </row>
    <row r="24" spans="1:3" s="106" customFormat="1" ht="14.9" customHeight="1" x14ac:dyDescent="0.3">
      <c r="A24" s="436"/>
      <c r="B24" s="126" t="s">
        <v>207</v>
      </c>
      <c r="C24" s="126" t="s">
        <v>208</v>
      </c>
    </row>
    <row r="25" spans="1:3" s="106" customFormat="1" ht="28" x14ac:dyDescent="0.3">
      <c r="A25" s="437"/>
      <c r="B25" s="126" t="s">
        <v>209</v>
      </c>
      <c r="C25" s="126" t="s">
        <v>210</v>
      </c>
    </row>
    <row r="26" spans="1:3" s="106" customFormat="1" ht="14.9" customHeight="1" x14ac:dyDescent="0.3">
      <c r="A26" s="435" t="s">
        <v>801</v>
      </c>
      <c r="B26" s="126" t="s">
        <v>212</v>
      </c>
      <c r="C26" s="126" t="s">
        <v>213</v>
      </c>
    </row>
    <row r="27" spans="1:3" s="106" customFormat="1" ht="14.9" customHeight="1" x14ac:dyDescent="0.3">
      <c r="A27" s="436"/>
      <c r="B27" s="126" t="s">
        <v>214</v>
      </c>
      <c r="C27" s="126" t="s">
        <v>215</v>
      </c>
    </row>
    <row r="28" spans="1:3" s="106" customFormat="1" ht="14.9" customHeight="1" x14ac:dyDescent="0.3">
      <c r="A28" s="435" t="s">
        <v>802</v>
      </c>
      <c r="B28" s="126" t="s">
        <v>212</v>
      </c>
      <c r="C28" s="126" t="s">
        <v>217</v>
      </c>
    </row>
    <row r="29" spans="1:3" s="106" customFormat="1" ht="14.9" customHeight="1" x14ac:dyDescent="0.3">
      <c r="A29" s="436"/>
      <c r="B29" s="126" t="s">
        <v>214</v>
      </c>
      <c r="C29" s="126" t="s">
        <v>218</v>
      </c>
    </row>
    <row r="30" spans="1:3" s="106" customFormat="1" ht="14.9" customHeight="1" x14ac:dyDescent="0.3">
      <c r="A30" s="435" t="s">
        <v>803</v>
      </c>
      <c r="B30" s="126" t="s">
        <v>212</v>
      </c>
      <c r="C30" s="126" t="s">
        <v>220</v>
      </c>
    </row>
    <row r="31" spans="1:3" s="106" customFormat="1" ht="14.9" customHeight="1" x14ac:dyDescent="0.3">
      <c r="A31" s="436"/>
      <c r="B31" s="126" t="s">
        <v>214</v>
      </c>
      <c r="C31" s="126" t="s">
        <v>221</v>
      </c>
    </row>
    <row r="32" spans="1:3" s="106" customFormat="1" ht="14.9" customHeight="1" x14ac:dyDescent="0.3">
      <c r="A32" s="430" t="s">
        <v>804</v>
      </c>
      <c r="B32" s="126" t="s">
        <v>212</v>
      </c>
      <c r="C32" s="126" t="s">
        <v>223</v>
      </c>
    </row>
    <row r="33" spans="1:3" s="106" customFormat="1" ht="14.9" customHeight="1" x14ac:dyDescent="0.3">
      <c r="A33" s="430"/>
      <c r="B33" s="126" t="s">
        <v>214</v>
      </c>
      <c r="C33" s="126" t="s">
        <v>224</v>
      </c>
    </row>
    <row r="34" spans="1:3" x14ac:dyDescent="0.3">
      <c r="A34" s="431" t="s">
        <v>126</v>
      </c>
      <c r="B34" s="107" t="s">
        <v>225</v>
      </c>
      <c r="C34" s="107" t="s">
        <v>226</v>
      </c>
    </row>
    <row r="35" spans="1:3" x14ac:dyDescent="0.3">
      <c r="A35" s="431"/>
      <c r="B35" s="107" t="s">
        <v>227</v>
      </c>
      <c r="C35" s="107" t="s">
        <v>228</v>
      </c>
    </row>
    <row r="36" spans="1:3" x14ac:dyDescent="0.3">
      <c r="A36" s="431"/>
      <c r="B36" s="107" t="s">
        <v>229</v>
      </c>
      <c r="C36" s="107" t="s">
        <v>230</v>
      </c>
    </row>
    <row r="37" spans="1:3" x14ac:dyDescent="0.3">
      <c r="A37" s="431"/>
      <c r="B37" s="107" t="s">
        <v>231</v>
      </c>
      <c r="C37" s="107" t="s">
        <v>232</v>
      </c>
    </row>
    <row r="38" spans="1:3" x14ac:dyDescent="0.3">
      <c r="A38" s="431"/>
      <c r="B38" s="107" t="s">
        <v>233</v>
      </c>
      <c r="C38" s="107" t="s">
        <v>234</v>
      </c>
    </row>
  </sheetData>
  <sheetProtection sheet="1" objects="1" scenarios="1" formatCells="0" formatColumns="0" formatRows="0"/>
  <mergeCells count="9">
    <mergeCell ref="A1:C1"/>
    <mergeCell ref="A32:A33"/>
    <mergeCell ref="A34:A38"/>
    <mergeCell ref="A3:A16"/>
    <mergeCell ref="A2:B2"/>
    <mergeCell ref="A26:A27"/>
    <mergeCell ref="A28:A29"/>
    <mergeCell ref="A30:A31"/>
    <mergeCell ref="A17:A25"/>
  </mergeCells>
  <pageMargins left="0.7" right="0.7" top="0.75" bottom="0.75" header="0.3" footer="0.3"/>
  <pageSetup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978B-043A-4B3C-B10C-A2EEF4595497}">
  <sheetPr>
    <tabColor rgb="FF00B050"/>
  </sheetPr>
  <dimension ref="A1:K12"/>
  <sheetViews>
    <sheetView zoomScale="80" zoomScaleNormal="80" workbookViewId="0">
      <selection activeCell="E18" sqref="E18"/>
    </sheetView>
  </sheetViews>
  <sheetFormatPr defaultColWidth="8.90625" defaultRowHeight="15.5" x14ac:dyDescent="0.35"/>
  <cols>
    <col min="1" max="1" width="24.90625" style="136" customWidth="1"/>
    <col min="2" max="2" width="14" style="196" customWidth="1"/>
    <col min="3" max="3" width="13.54296875" style="196" customWidth="1"/>
    <col min="4" max="4" width="38.1796875" style="136" customWidth="1"/>
    <col min="5" max="10" width="12" style="136" customWidth="1"/>
    <col min="11" max="16384" width="8.90625" style="136"/>
  </cols>
  <sheetData>
    <row r="1" spans="1:11" ht="43.4" customHeight="1" x14ac:dyDescent="0.35">
      <c r="A1" s="438" t="s">
        <v>235</v>
      </c>
      <c r="B1" s="438" t="s">
        <v>805</v>
      </c>
      <c r="C1" s="438" t="s">
        <v>855</v>
      </c>
      <c r="D1" s="438" t="s">
        <v>236</v>
      </c>
      <c r="E1" s="440" t="s">
        <v>852</v>
      </c>
      <c r="F1" s="441"/>
      <c r="G1" s="442" t="s">
        <v>853</v>
      </c>
      <c r="H1" s="442"/>
      <c r="I1" s="442" t="s">
        <v>854</v>
      </c>
      <c r="J1" s="442"/>
    </row>
    <row r="2" spans="1:11" x14ac:dyDescent="0.35">
      <c r="A2" s="439"/>
      <c r="B2" s="439"/>
      <c r="C2" s="439"/>
      <c r="D2" s="439"/>
      <c r="E2" s="190" t="s">
        <v>237</v>
      </c>
      <c r="F2" s="190" t="s">
        <v>238</v>
      </c>
      <c r="G2" s="190" t="s">
        <v>237</v>
      </c>
      <c r="H2" s="190" t="s">
        <v>238</v>
      </c>
      <c r="I2" s="190" t="s">
        <v>237</v>
      </c>
      <c r="J2" s="190" t="s">
        <v>238</v>
      </c>
    </row>
    <row r="3" spans="1:11" x14ac:dyDescent="0.35">
      <c r="A3" s="191" t="s">
        <v>131</v>
      </c>
      <c r="B3" s="153" t="s">
        <v>239</v>
      </c>
      <c r="C3" s="153">
        <v>1</v>
      </c>
      <c r="D3" s="192" t="s">
        <v>982</v>
      </c>
      <c r="E3" s="153">
        <f>F3</f>
        <v>0.30328220858895705</v>
      </c>
      <c r="F3" s="153">
        <f>'OES with Consortium Data_Raw'!Y19</f>
        <v>0.30328220858895705</v>
      </c>
      <c r="G3" s="150"/>
      <c r="H3" s="150"/>
      <c r="I3" s="150"/>
      <c r="J3" s="150"/>
    </row>
    <row r="4" spans="1:11" x14ac:dyDescent="0.35">
      <c r="A4" s="191" t="s">
        <v>739</v>
      </c>
      <c r="B4" s="153" t="s">
        <v>239</v>
      </c>
      <c r="C4" s="153">
        <v>17</v>
      </c>
      <c r="D4" s="192" t="s">
        <v>240</v>
      </c>
      <c r="E4" s="153">
        <v>9.705030674846622</v>
      </c>
      <c r="F4" s="153">
        <v>2.9115092024539879</v>
      </c>
      <c r="G4" s="150"/>
      <c r="H4" s="150"/>
      <c r="I4" s="150"/>
      <c r="J4" s="150"/>
    </row>
    <row r="5" spans="1:11" x14ac:dyDescent="0.35">
      <c r="A5" s="192" t="s">
        <v>135</v>
      </c>
      <c r="B5" s="153" t="s">
        <v>241</v>
      </c>
      <c r="C5" s="153">
        <v>3</v>
      </c>
      <c r="D5" s="192" t="s">
        <v>242</v>
      </c>
      <c r="E5" s="153">
        <v>46.705460122699385</v>
      </c>
      <c r="F5" s="153">
        <v>0.24262576687116569</v>
      </c>
      <c r="G5" s="150"/>
      <c r="H5" s="150"/>
      <c r="I5" s="150"/>
      <c r="J5" s="150"/>
    </row>
    <row r="6" spans="1:11" x14ac:dyDescent="0.35">
      <c r="A6" s="191" t="s">
        <v>136</v>
      </c>
      <c r="B6" s="153" t="s">
        <v>239</v>
      </c>
      <c r="C6" s="153">
        <v>11</v>
      </c>
      <c r="D6" s="192" t="s">
        <v>240</v>
      </c>
      <c r="E6" s="153"/>
      <c r="F6" s="153"/>
      <c r="G6" s="150"/>
      <c r="H6" s="150"/>
      <c r="I6" s="150">
        <v>3.42361806066803</v>
      </c>
      <c r="J6" s="150">
        <v>0.33305441206543968</v>
      </c>
    </row>
    <row r="7" spans="1:11" x14ac:dyDescent="0.35">
      <c r="A7" s="191" t="s">
        <v>737</v>
      </c>
      <c r="B7" s="153" t="s">
        <v>239</v>
      </c>
      <c r="C7" s="153">
        <v>1</v>
      </c>
      <c r="D7" s="192" t="s">
        <v>982</v>
      </c>
      <c r="E7" s="153">
        <v>0.15770674846625768</v>
      </c>
      <c r="F7" s="153">
        <v>0.15770674846625768</v>
      </c>
      <c r="G7" s="150"/>
      <c r="H7" s="150"/>
      <c r="I7" s="150"/>
      <c r="J7" s="150"/>
    </row>
    <row r="8" spans="1:11" x14ac:dyDescent="0.35">
      <c r="A8" s="192" t="s">
        <v>740</v>
      </c>
      <c r="B8" s="153" t="s">
        <v>239</v>
      </c>
      <c r="C8" s="153">
        <v>24</v>
      </c>
      <c r="D8" s="192" t="s">
        <v>240</v>
      </c>
      <c r="E8" s="153">
        <v>8.0491603629856723</v>
      </c>
      <c r="F8" s="153">
        <v>0.51065141871165642</v>
      </c>
      <c r="G8" s="150"/>
      <c r="H8" s="189"/>
      <c r="I8" s="150"/>
      <c r="J8" s="150"/>
    </row>
    <row r="9" spans="1:11" x14ac:dyDescent="0.35">
      <c r="A9" s="192" t="s">
        <v>740</v>
      </c>
      <c r="B9" s="153" t="s">
        <v>239</v>
      </c>
      <c r="C9" s="153">
        <v>5</v>
      </c>
      <c r="D9" s="192" t="s">
        <v>242</v>
      </c>
      <c r="E9" s="153"/>
      <c r="F9" s="153"/>
      <c r="G9" s="150">
        <v>2.1351067484662578</v>
      </c>
      <c r="H9" s="150">
        <v>0.91227288343558299</v>
      </c>
      <c r="I9" s="150"/>
      <c r="J9" s="150"/>
    </row>
    <row r="10" spans="1:11" x14ac:dyDescent="0.35">
      <c r="A10" s="192" t="s">
        <v>740</v>
      </c>
      <c r="B10" s="153" t="s">
        <v>239</v>
      </c>
      <c r="C10" s="153">
        <v>8</v>
      </c>
      <c r="D10" s="192" t="s">
        <v>240</v>
      </c>
      <c r="E10" s="153"/>
      <c r="F10" s="153"/>
      <c r="G10" s="150"/>
      <c r="H10" s="150"/>
      <c r="I10" s="150">
        <v>1.8801003278800263</v>
      </c>
      <c r="J10" s="150">
        <v>0.18459777096114521</v>
      </c>
    </row>
    <row r="11" spans="1:11" x14ac:dyDescent="0.35">
      <c r="A11" s="193" t="s">
        <v>740</v>
      </c>
      <c r="B11" s="194" t="s">
        <v>241</v>
      </c>
      <c r="C11" s="194">
        <v>34</v>
      </c>
      <c r="D11" s="193" t="s">
        <v>240</v>
      </c>
      <c r="E11" s="194">
        <v>52.990352057770821</v>
      </c>
      <c r="F11" s="194">
        <v>1.2131288343558284</v>
      </c>
      <c r="G11" s="195"/>
      <c r="H11" s="195"/>
      <c r="I11" s="195"/>
      <c r="J11" s="195"/>
      <c r="K11" s="136" t="s">
        <v>243</v>
      </c>
    </row>
    <row r="12" spans="1:11" x14ac:dyDescent="0.35">
      <c r="A12" s="193" t="s">
        <v>740</v>
      </c>
      <c r="B12" s="194" t="s">
        <v>241</v>
      </c>
      <c r="C12" s="194">
        <v>1</v>
      </c>
      <c r="D12" s="193" t="s">
        <v>982</v>
      </c>
      <c r="E12" s="194"/>
      <c r="F12" s="194"/>
      <c r="G12" s="195"/>
      <c r="H12" s="195"/>
      <c r="I12" s="195">
        <v>0.78853374233128837</v>
      </c>
      <c r="J12" s="195">
        <v>0.78853374233128837</v>
      </c>
      <c r="K12" s="136" t="s">
        <v>243</v>
      </c>
    </row>
  </sheetData>
  <sheetProtection sheet="1" objects="1" scenarios="1" formatCells="0" formatColumns="0" formatRows="0"/>
  <sortState xmlns:xlrd2="http://schemas.microsoft.com/office/spreadsheetml/2017/richdata2" ref="A1:B11">
    <sortCondition ref="A3:A11"/>
  </sortState>
  <mergeCells count="7">
    <mergeCell ref="A1:A2"/>
    <mergeCell ref="E1:F1"/>
    <mergeCell ref="G1:H1"/>
    <mergeCell ref="I1:J1"/>
    <mergeCell ref="D1:D2"/>
    <mergeCell ref="C1:C2"/>
    <mergeCell ref="B1:B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2AEF2-C122-49AD-AF82-68FDB2B672A6}">
  <sheetPr filterMode="1">
    <tabColor rgb="FF00B050"/>
  </sheetPr>
  <dimension ref="A1:AE139"/>
  <sheetViews>
    <sheetView zoomScale="80" zoomScaleNormal="80" workbookViewId="0">
      <pane ySplit="1" topLeftCell="A2" activePane="bottomLeft" state="frozen"/>
      <selection pane="bottomLeft" activeCell="G4" sqref="G4"/>
    </sheetView>
  </sheetViews>
  <sheetFormatPr defaultColWidth="8.90625" defaultRowHeight="14" x14ac:dyDescent="0.3"/>
  <cols>
    <col min="1" max="1" width="18.90625" style="118" bestFit="1" customWidth="1"/>
    <col min="2" max="2" width="23.453125" style="118" customWidth="1"/>
    <col min="3" max="5" width="15.90625" style="101" customWidth="1"/>
    <col min="6" max="6" width="21.1796875" style="133" customWidth="1"/>
    <col min="7" max="10" width="15.90625" style="101" customWidth="1"/>
    <col min="11" max="11" width="16.90625" style="101" customWidth="1"/>
    <col min="12" max="12" width="17" style="101" customWidth="1"/>
    <col min="13" max="13" width="15.90625" style="101" customWidth="1"/>
    <col min="14" max="14" width="20.90625" style="133" customWidth="1"/>
    <col min="15" max="15" width="20.54296875" style="133" customWidth="1"/>
    <col min="16" max="23" width="15.90625" style="101" customWidth="1"/>
    <col min="24" max="27" width="18" style="101" customWidth="1"/>
    <col min="28" max="28" width="15.90625" style="101" customWidth="1"/>
    <col min="29" max="29" width="23.81640625" style="133" customWidth="1"/>
    <col min="30" max="30" width="24.453125" style="101" customWidth="1"/>
    <col min="31" max="31" width="24.08984375" style="101" customWidth="1"/>
    <col min="32" max="16384" width="8.90625" style="100"/>
  </cols>
  <sheetData>
    <row r="1" spans="1:31" s="131" customFormat="1" ht="98.5" thickBot="1" x14ac:dyDescent="0.4">
      <c r="A1" s="112" t="s">
        <v>244</v>
      </c>
      <c r="B1" s="112" t="s">
        <v>235</v>
      </c>
      <c r="C1" s="112" t="s">
        <v>843</v>
      </c>
      <c r="D1" s="112" t="s">
        <v>245</v>
      </c>
      <c r="E1" s="112" t="s">
        <v>845</v>
      </c>
      <c r="F1" s="112" t="s">
        <v>830</v>
      </c>
      <c r="G1" s="112" t="s">
        <v>246</v>
      </c>
      <c r="H1" s="112" t="s">
        <v>842</v>
      </c>
      <c r="I1" s="112" t="s">
        <v>247</v>
      </c>
      <c r="J1" s="112" t="s">
        <v>248</v>
      </c>
      <c r="K1" s="112" t="s">
        <v>810</v>
      </c>
      <c r="L1" s="112" t="s">
        <v>811</v>
      </c>
      <c r="M1" s="112" t="s">
        <v>812</v>
      </c>
      <c r="N1" s="112" t="s">
        <v>249</v>
      </c>
      <c r="O1" s="112" t="s">
        <v>250</v>
      </c>
      <c r="P1" s="112" t="s">
        <v>251</v>
      </c>
      <c r="Q1" s="112" t="s">
        <v>252</v>
      </c>
      <c r="R1" s="112" t="s">
        <v>844</v>
      </c>
      <c r="S1" s="130" t="s">
        <v>253</v>
      </c>
      <c r="T1" s="130" t="s">
        <v>254</v>
      </c>
      <c r="U1" s="130" t="s">
        <v>255</v>
      </c>
      <c r="V1" s="130" t="s">
        <v>256</v>
      </c>
      <c r="W1" s="130" t="s">
        <v>846</v>
      </c>
      <c r="X1" s="130" t="s">
        <v>257</v>
      </c>
      <c r="Y1" s="130" t="s">
        <v>806</v>
      </c>
      <c r="Z1" s="130" t="s">
        <v>808</v>
      </c>
      <c r="AA1" s="130" t="s">
        <v>807</v>
      </c>
      <c r="AB1" s="130" t="s">
        <v>258</v>
      </c>
      <c r="AC1" s="130" t="s">
        <v>126</v>
      </c>
      <c r="AD1" s="112" t="s">
        <v>835</v>
      </c>
      <c r="AE1" s="112" t="s">
        <v>259</v>
      </c>
    </row>
    <row r="2" spans="1:31" s="102" customFormat="1" ht="56.5" thickTop="1" x14ac:dyDescent="0.35">
      <c r="A2" s="109" t="s">
        <v>260</v>
      </c>
      <c r="B2" s="131" t="s">
        <v>841</v>
      </c>
      <c r="C2" s="131" t="s">
        <v>260</v>
      </c>
      <c r="D2" s="131" t="s">
        <v>261</v>
      </c>
      <c r="E2" s="131" t="s">
        <v>262</v>
      </c>
      <c r="F2" s="128" t="s">
        <v>823</v>
      </c>
      <c r="G2" s="131" t="s">
        <v>260</v>
      </c>
      <c r="H2" s="131" t="s">
        <v>260</v>
      </c>
      <c r="I2" s="131" t="s">
        <v>260</v>
      </c>
      <c r="J2" s="131" t="s">
        <v>263</v>
      </c>
      <c r="K2" s="131" t="s">
        <v>260</v>
      </c>
      <c r="L2" s="131" t="s">
        <v>260</v>
      </c>
      <c r="M2" s="131" t="s">
        <v>260</v>
      </c>
      <c r="N2" s="128" t="s">
        <v>816</v>
      </c>
      <c r="O2" s="128" t="s">
        <v>817</v>
      </c>
      <c r="P2" s="131" t="s">
        <v>264</v>
      </c>
      <c r="Q2" s="131" t="s">
        <v>260</v>
      </c>
      <c r="R2" s="131" t="s">
        <v>260</v>
      </c>
      <c r="S2" s="131" t="s">
        <v>239</v>
      </c>
      <c r="T2" s="131" t="s">
        <v>10</v>
      </c>
      <c r="U2" s="131" t="s">
        <v>834</v>
      </c>
      <c r="V2" s="131" t="s">
        <v>834</v>
      </c>
      <c r="W2" s="131">
        <f>P2*MW/24.45</f>
        <v>14.55754601226994</v>
      </c>
      <c r="X2" s="131" t="str">
        <f>E2</f>
        <v>480</v>
      </c>
      <c r="Y2" s="131">
        <f>W2</f>
        <v>14.55754601226994</v>
      </c>
      <c r="Z2" s="109" t="s">
        <v>260</v>
      </c>
      <c r="AA2" s="109" t="s">
        <v>260</v>
      </c>
      <c r="AB2" s="131" t="s">
        <v>15</v>
      </c>
      <c r="AC2" s="128" t="s">
        <v>266</v>
      </c>
      <c r="AD2" s="131" t="s">
        <v>260</v>
      </c>
      <c r="AE2" s="131" t="s">
        <v>260</v>
      </c>
    </row>
    <row r="3" spans="1:31" s="102" customFormat="1" ht="56" x14ac:dyDescent="0.35">
      <c r="A3" s="109" t="s">
        <v>260</v>
      </c>
      <c r="B3" s="131" t="s">
        <v>841</v>
      </c>
      <c r="C3" s="131" t="s">
        <v>260</v>
      </c>
      <c r="D3" s="131" t="s">
        <v>261</v>
      </c>
      <c r="E3" s="131" t="s">
        <v>262</v>
      </c>
      <c r="F3" s="128" t="s">
        <v>824</v>
      </c>
      <c r="G3" s="131" t="s">
        <v>260</v>
      </c>
      <c r="H3" s="131" t="s">
        <v>260</v>
      </c>
      <c r="I3" s="131" t="s">
        <v>260</v>
      </c>
      <c r="J3" s="131" t="s">
        <v>267</v>
      </c>
      <c r="K3" s="131" t="s">
        <v>260</v>
      </c>
      <c r="L3" s="131" t="s">
        <v>260</v>
      </c>
      <c r="M3" s="131" t="s">
        <v>260</v>
      </c>
      <c r="N3" s="128" t="s">
        <v>815</v>
      </c>
      <c r="O3" s="128" t="s">
        <v>818</v>
      </c>
      <c r="P3" s="131" t="s">
        <v>269</v>
      </c>
      <c r="Q3" s="131" t="s">
        <v>260</v>
      </c>
      <c r="R3" s="131" t="s">
        <v>260</v>
      </c>
      <c r="S3" s="131" t="s">
        <v>239</v>
      </c>
      <c r="T3" s="131" t="s">
        <v>10</v>
      </c>
      <c r="U3" s="131" t="s">
        <v>834</v>
      </c>
      <c r="V3" s="131" t="s">
        <v>834</v>
      </c>
      <c r="W3" s="131">
        <f>P3*MW/24.45</f>
        <v>8.4919018404907973</v>
      </c>
      <c r="X3" s="131" t="str">
        <f>E3</f>
        <v>480</v>
      </c>
      <c r="Y3" s="131">
        <f>W3</f>
        <v>8.4919018404907973</v>
      </c>
      <c r="Z3" s="109" t="s">
        <v>260</v>
      </c>
      <c r="AA3" s="109" t="s">
        <v>260</v>
      </c>
      <c r="AB3" s="131" t="s">
        <v>15</v>
      </c>
      <c r="AC3" s="128" t="s">
        <v>266</v>
      </c>
      <c r="AD3" s="131" t="s">
        <v>260</v>
      </c>
      <c r="AE3" s="131" t="s">
        <v>260</v>
      </c>
    </row>
    <row r="4" spans="1:31" s="102" customFormat="1" ht="70" x14ac:dyDescent="0.35">
      <c r="A4" s="109" t="s">
        <v>270</v>
      </c>
      <c r="B4" s="131" t="s">
        <v>841</v>
      </c>
      <c r="C4" s="131" t="s">
        <v>260</v>
      </c>
      <c r="D4" s="131" t="s">
        <v>271</v>
      </c>
      <c r="E4" s="131" t="s">
        <v>262</v>
      </c>
      <c r="F4" s="128" t="s">
        <v>260</v>
      </c>
      <c r="G4" s="131" t="s">
        <v>260</v>
      </c>
      <c r="H4" s="131" t="s">
        <v>260</v>
      </c>
      <c r="I4" s="131" t="s">
        <v>260</v>
      </c>
      <c r="J4" s="131" t="s">
        <v>260</v>
      </c>
      <c r="K4" s="131" t="s">
        <v>260</v>
      </c>
      <c r="L4" s="131" t="s">
        <v>260</v>
      </c>
      <c r="M4" s="131" t="s">
        <v>260</v>
      </c>
      <c r="N4" s="128" t="s">
        <v>814</v>
      </c>
      <c r="O4" s="128" t="s">
        <v>813</v>
      </c>
      <c r="P4" s="131" t="s">
        <v>272</v>
      </c>
      <c r="Q4" s="131" t="s">
        <v>260</v>
      </c>
      <c r="R4" s="131" t="s">
        <v>262</v>
      </c>
      <c r="S4" s="131" t="s">
        <v>239</v>
      </c>
      <c r="T4" s="131" t="s">
        <v>10</v>
      </c>
      <c r="U4" s="131" t="s">
        <v>834</v>
      </c>
      <c r="V4" s="131" t="s">
        <v>834</v>
      </c>
      <c r="W4" s="131">
        <f>P4*MW/24.45</f>
        <v>8.127963190184051</v>
      </c>
      <c r="X4" s="131" t="str">
        <f>R4</f>
        <v>480</v>
      </c>
      <c r="Y4" s="131">
        <f>W4*X4/E4</f>
        <v>8.127963190184051</v>
      </c>
      <c r="Z4" s="109" t="s">
        <v>260</v>
      </c>
      <c r="AA4" s="109" t="s">
        <v>260</v>
      </c>
      <c r="AB4" s="131" t="s">
        <v>15</v>
      </c>
      <c r="AC4" s="128" t="s">
        <v>273</v>
      </c>
      <c r="AD4" s="131" t="s">
        <v>260</v>
      </c>
      <c r="AE4" s="132" t="s">
        <v>274</v>
      </c>
    </row>
    <row r="5" spans="1:31" s="102" customFormat="1" ht="56" x14ac:dyDescent="0.35">
      <c r="A5" s="109" t="s">
        <v>260</v>
      </c>
      <c r="B5" s="131" t="s">
        <v>841</v>
      </c>
      <c r="C5" s="131" t="s">
        <v>260</v>
      </c>
      <c r="D5" s="131" t="s">
        <v>261</v>
      </c>
      <c r="E5" s="131" t="s">
        <v>262</v>
      </c>
      <c r="F5" s="128" t="s">
        <v>275</v>
      </c>
      <c r="G5" s="131" t="s">
        <v>260</v>
      </c>
      <c r="H5" s="131" t="s">
        <v>260</v>
      </c>
      <c r="I5" s="131" t="s">
        <v>260</v>
      </c>
      <c r="J5" s="131" t="s">
        <v>276</v>
      </c>
      <c r="K5" s="131" t="s">
        <v>260</v>
      </c>
      <c r="L5" s="131" t="s">
        <v>260</v>
      </c>
      <c r="M5" s="131" t="s">
        <v>260</v>
      </c>
      <c r="N5" s="128" t="s">
        <v>815</v>
      </c>
      <c r="O5" s="128" t="s">
        <v>819</v>
      </c>
      <c r="P5" s="131" t="s">
        <v>277</v>
      </c>
      <c r="Q5" s="131" t="s">
        <v>260</v>
      </c>
      <c r="R5" s="131" t="s">
        <v>260</v>
      </c>
      <c r="S5" s="131" t="s">
        <v>239</v>
      </c>
      <c r="T5" s="131" t="s">
        <v>10</v>
      </c>
      <c r="U5" s="131" t="s">
        <v>834</v>
      </c>
      <c r="V5" s="131" t="s">
        <v>834</v>
      </c>
      <c r="W5" s="131">
        <f>P5*MW/24.45</f>
        <v>5.4590797546012277</v>
      </c>
      <c r="X5" s="131" t="str">
        <f>E5</f>
        <v>480</v>
      </c>
      <c r="Y5" s="131">
        <f>W5</f>
        <v>5.4590797546012277</v>
      </c>
      <c r="Z5" s="109" t="s">
        <v>260</v>
      </c>
      <c r="AA5" s="109" t="s">
        <v>260</v>
      </c>
      <c r="AB5" s="131" t="s">
        <v>15</v>
      </c>
      <c r="AC5" s="128" t="s">
        <v>266</v>
      </c>
      <c r="AD5" s="131" t="s">
        <v>260</v>
      </c>
      <c r="AE5" s="131" t="s">
        <v>260</v>
      </c>
    </row>
    <row r="6" spans="1:31" s="102" customFormat="1" ht="56" x14ac:dyDescent="0.35">
      <c r="A6" s="109" t="s">
        <v>260</v>
      </c>
      <c r="B6" s="131" t="s">
        <v>841</v>
      </c>
      <c r="C6" s="131" t="s">
        <v>260</v>
      </c>
      <c r="D6" s="131" t="s">
        <v>261</v>
      </c>
      <c r="E6" s="131" t="s">
        <v>262</v>
      </c>
      <c r="F6" s="128" t="s">
        <v>275</v>
      </c>
      <c r="G6" s="131" t="s">
        <v>260</v>
      </c>
      <c r="H6" s="131" t="s">
        <v>260</v>
      </c>
      <c r="I6" s="131" t="s">
        <v>260</v>
      </c>
      <c r="J6" s="131" t="s">
        <v>276</v>
      </c>
      <c r="K6" s="131" t="s">
        <v>260</v>
      </c>
      <c r="L6" s="131" t="s">
        <v>260</v>
      </c>
      <c r="M6" s="131" t="s">
        <v>260</v>
      </c>
      <c r="N6" s="128" t="s">
        <v>815</v>
      </c>
      <c r="O6" s="128" t="s">
        <v>819</v>
      </c>
      <c r="P6" s="131" t="s">
        <v>277</v>
      </c>
      <c r="Q6" s="131" t="s">
        <v>260</v>
      </c>
      <c r="R6" s="131" t="s">
        <v>260</v>
      </c>
      <c r="S6" s="131" t="s">
        <v>239</v>
      </c>
      <c r="T6" s="131" t="s">
        <v>10</v>
      </c>
      <c r="U6" s="131" t="s">
        <v>834</v>
      </c>
      <c r="V6" s="131" t="s">
        <v>834</v>
      </c>
      <c r="W6" s="131">
        <f>P6*MW/24.45</f>
        <v>5.4590797546012277</v>
      </c>
      <c r="X6" s="131" t="str">
        <f>E6</f>
        <v>480</v>
      </c>
      <c r="Y6" s="131">
        <f>W6</f>
        <v>5.4590797546012277</v>
      </c>
      <c r="Z6" s="109" t="s">
        <v>260</v>
      </c>
      <c r="AA6" s="109" t="s">
        <v>260</v>
      </c>
      <c r="AB6" s="131" t="s">
        <v>15</v>
      </c>
      <c r="AC6" s="128" t="s">
        <v>266</v>
      </c>
      <c r="AD6" s="131" t="s">
        <v>260</v>
      </c>
      <c r="AE6" s="131" t="s">
        <v>260</v>
      </c>
    </row>
    <row r="7" spans="1:31" customFormat="1" ht="130.5" hidden="1" x14ac:dyDescent="0.35">
      <c r="A7" s="83" t="s">
        <v>278</v>
      </c>
      <c r="B7" s="4" t="s">
        <v>279</v>
      </c>
      <c r="C7" s="4" t="s">
        <v>280</v>
      </c>
      <c r="D7" s="4" t="s">
        <v>281</v>
      </c>
      <c r="E7" s="4" t="s">
        <v>262</v>
      </c>
      <c r="F7" s="4" t="s">
        <v>282</v>
      </c>
      <c r="G7" s="4" t="s">
        <v>283</v>
      </c>
      <c r="H7" s="4" t="s">
        <v>281</v>
      </c>
      <c r="I7" s="4" t="s">
        <v>284</v>
      </c>
      <c r="J7" s="4" t="s">
        <v>262</v>
      </c>
      <c r="K7" s="4" t="s">
        <v>15</v>
      </c>
      <c r="L7" s="4" t="s">
        <v>15</v>
      </c>
      <c r="M7" s="4" t="s">
        <v>285</v>
      </c>
      <c r="N7" s="4" t="s">
        <v>286</v>
      </c>
      <c r="O7" s="4" t="s">
        <v>287</v>
      </c>
      <c r="P7" s="4" t="s">
        <v>288</v>
      </c>
      <c r="Q7" s="4" t="s">
        <v>289</v>
      </c>
      <c r="R7" s="4" t="s">
        <v>262</v>
      </c>
      <c r="S7" s="4" t="s">
        <v>239</v>
      </c>
      <c r="T7" s="4" t="s">
        <v>10</v>
      </c>
      <c r="U7" s="4" t="s">
        <v>265</v>
      </c>
      <c r="V7" s="4" t="s">
        <v>265</v>
      </c>
      <c r="W7" s="4">
        <f>(RIGHT(P7, LEN(P7) - 1))*MW/24.45</f>
        <v>0.15770674846625768</v>
      </c>
      <c r="X7" s="82" t="str">
        <f>R7</f>
        <v>480</v>
      </c>
      <c r="Y7" s="4">
        <f>W7*X7/J7</f>
        <v>0.15770674846625768</v>
      </c>
      <c r="Z7" s="83" t="s">
        <v>260</v>
      </c>
      <c r="AA7" s="83" t="s">
        <v>260</v>
      </c>
      <c r="AB7" s="4" t="s">
        <v>15</v>
      </c>
      <c r="AC7" s="4" t="s">
        <v>273</v>
      </c>
      <c r="AD7" s="4" t="s">
        <v>290</v>
      </c>
      <c r="AE7" s="4" t="s">
        <v>291</v>
      </c>
    </row>
    <row r="8" spans="1:31" s="102" customFormat="1" ht="56" x14ac:dyDescent="0.35">
      <c r="A8" s="109" t="s">
        <v>260</v>
      </c>
      <c r="B8" s="131" t="s">
        <v>841</v>
      </c>
      <c r="C8" s="131" t="s">
        <v>260</v>
      </c>
      <c r="D8" s="131" t="s">
        <v>261</v>
      </c>
      <c r="E8" s="131" t="s">
        <v>262</v>
      </c>
      <c r="F8" s="128" t="s">
        <v>292</v>
      </c>
      <c r="G8" s="131" t="s">
        <v>260</v>
      </c>
      <c r="H8" s="131" t="s">
        <v>260</v>
      </c>
      <c r="I8" s="131" t="s">
        <v>260</v>
      </c>
      <c r="J8" s="131" t="s">
        <v>293</v>
      </c>
      <c r="K8" s="131" t="s">
        <v>260</v>
      </c>
      <c r="L8" s="131" t="s">
        <v>260</v>
      </c>
      <c r="M8" s="131" t="s">
        <v>260</v>
      </c>
      <c r="N8" s="128" t="s">
        <v>815</v>
      </c>
      <c r="O8" s="128" t="s">
        <v>820</v>
      </c>
      <c r="P8" s="131" t="s">
        <v>294</v>
      </c>
      <c r="Q8" s="131" t="s">
        <v>260</v>
      </c>
      <c r="R8" s="131" t="s">
        <v>260</v>
      </c>
      <c r="S8" s="131" t="s">
        <v>239</v>
      </c>
      <c r="T8" s="131" t="s">
        <v>10</v>
      </c>
      <c r="U8" s="131" t="s">
        <v>834</v>
      </c>
      <c r="V8" s="131" t="s">
        <v>834</v>
      </c>
      <c r="W8" s="131">
        <f t="shared" ref="W8:W13" si="0">P8*MW/24.45</f>
        <v>4.4885766871165647</v>
      </c>
      <c r="X8" s="131" t="str">
        <f>E8</f>
        <v>480</v>
      </c>
      <c r="Y8" s="131">
        <f>W8</f>
        <v>4.4885766871165647</v>
      </c>
      <c r="Z8" s="109" t="s">
        <v>260</v>
      </c>
      <c r="AA8" s="109" t="s">
        <v>260</v>
      </c>
      <c r="AB8" s="131" t="s">
        <v>15</v>
      </c>
      <c r="AC8" s="128" t="s">
        <v>266</v>
      </c>
      <c r="AD8" s="131" t="s">
        <v>260</v>
      </c>
      <c r="AE8" s="131" t="s">
        <v>260</v>
      </c>
    </row>
    <row r="9" spans="1:31" s="102" customFormat="1" ht="84" x14ac:dyDescent="0.35">
      <c r="A9" s="109" t="s">
        <v>260</v>
      </c>
      <c r="B9" s="131" t="s">
        <v>841</v>
      </c>
      <c r="C9" s="131" t="s">
        <v>260</v>
      </c>
      <c r="D9" s="131" t="s">
        <v>261</v>
      </c>
      <c r="E9" s="131" t="s">
        <v>262</v>
      </c>
      <c r="F9" s="128" t="s">
        <v>825</v>
      </c>
      <c r="G9" s="131" t="s">
        <v>260</v>
      </c>
      <c r="H9" s="131" t="s">
        <v>260</v>
      </c>
      <c r="I9" s="131" t="s">
        <v>260</v>
      </c>
      <c r="J9" s="131" t="s">
        <v>295</v>
      </c>
      <c r="K9" s="131" t="s">
        <v>260</v>
      </c>
      <c r="L9" s="131" t="s">
        <v>260</v>
      </c>
      <c r="M9" s="131" t="s">
        <v>260</v>
      </c>
      <c r="N9" s="128" t="s">
        <v>268</v>
      </c>
      <c r="O9" s="128" t="s">
        <v>840</v>
      </c>
      <c r="P9" s="131" t="s">
        <v>296</v>
      </c>
      <c r="Q9" s="131" t="s">
        <v>260</v>
      </c>
      <c r="R9" s="131" t="s">
        <v>260</v>
      </c>
      <c r="S9" s="131" t="s">
        <v>239</v>
      </c>
      <c r="T9" s="131" t="s">
        <v>10</v>
      </c>
      <c r="U9" s="131" t="s">
        <v>834</v>
      </c>
      <c r="V9" s="131" t="s">
        <v>834</v>
      </c>
      <c r="W9" s="131">
        <f t="shared" si="0"/>
        <v>3.882012269938651</v>
      </c>
      <c r="X9" s="131" t="str">
        <f>E9</f>
        <v>480</v>
      </c>
      <c r="Y9" s="131">
        <f>W9</f>
        <v>3.882012269938651</v>
      </c>
      <c r="Z9" s="109" t="s">
        <v>260</v>
      </c>
      <c r="AA9" s="109" t="s">
        <v>260</v>
      </c>
      <c r="AB9" s="131" t="s">
        <v>15</v>
      </c>
      <c r="AC9" s="128" t="s">
        <v>266</v>
      </c>
      <c r="AD9" s="131" t="s">
        <v>260</v>
      </c>
      <c r="AE9" s="131" t="s">
        <v>260</v>
      </c>
    </row>
    <row r="10" spans="1:31" s="102" customFormat="1" ht="84" x14ac:dyDescent="0.35">
      <c r="A10" s="109" t="s">
        <v>260</v>
      </c>
      <c r="B10" s="131" t="s">
        <v>841</v>
      </c>
      <c r="C10" s="131" t="s">
        <v>260</v>
      </c>
      <c r="D10" s="131" t="s">
        <v>261</v>
      </c>
      <c r="E10" s="131" t="s">
        <v>262</v>
      </c>
      <c r="F10" s="128" t="s">
        <v>824</v>
      </c>
      <c r="G10" s="131" t="s">
        <v>260</v>
      </c>
      <c r="H10" s="131" t="s">
        <v>260</v>
      </c>
      <c r="I10" s="131" t="s">
        <v>260</v>
      </c>
      <c r="J10" s="131" t="s">
        <v>297</v>
      </c>
      <c r="K10" s="131" t="s">
        <v>260</v>
      </c>
      <c r="L10" s="131" t="s">
        <v>260</v>
      </c>
      <c r="M10" s="131" t="s">
        <v>260</v>
      </c>
      <c r="N10" s="128" t="s">
        <v>268</v>
      </c>
      <c r="O10" s="128" t="s">
        <v>818</v>
      </c>
      <c r="P10" s="131" t="s">
        <v>298</v>
      </c>
      <c r="Q10" s="131" t="s">
        <v>260</v>
      </c>
      <c r="R10" s="131" t="s">
        <v>260</v>
      </c>
      <c r="S10" s="131" t="s">
        <v>239</v>
      </c>
      <c r="T10" s="131" t="s">
        <v>10</v>
      </c>
      <c r="U10" s="131" t="s">
        <v>834</v>
      </c>
      <c r="V10" s="131" t="s">
        <v>834</v>
      </c>
      <c r="W10" s="131">
        <f t="shared" si="0"/>
        <v>3.1541349693251535</v>
      </c>
      <c r="X10" s="131" t="str">
        <f>E10</f>
        <v>480</v>
      </c>
      <c r="Y10" s="131">
        <f>W10</f>
        <v>3.1541349693251535</v>
      </c>
      <c r="Z10" s="109" t="s">
        <v>260</v>
      </c>
      <c r="AA10" s="109" t="s">
        <v>260</v>
      </c>
      <c r="AB10" s="131" t="s">
        <v>15</v>
      </c>
      <c r="AC10" s="128" t="s">
        <v>266</v>
      </c>
      <c r="AD10" s="131" t="s">
        <v>260</v>
      </c>
      <c r="AE10" s="131" t="s">
        <v>260</v>
      </c>
    </row>
    <row r="11" spans="1:31" s="102" customFormat="1" ht="84" x14ac:dyDescent="0.35">
      <c r="A11" s="109" t="s">
        <v>260</v>
      </c>
      <c r="B11" s="131" t="s">
        <v>841</v>
      </c>
      <c r="C11" s="131" t="s">
        <v>260</v>
      </c>
      <c r="D11" s="131" t="s">
        <v>261</v>
      </c>
      <c r="E11" s="131" t="s">
        <v>262</v>
      </c>
      <c r="F11" s="128" t="s">
        <v>826</v>
      </c>
      <c r="G11" s="131" t="s">
        <v>260</v>
      </c>
      <c r="H11" s="131" t="s">
        <v>260</v>
      </c>
      <c r="I11" s="131" t="s">
        <v>260</v>
      </c>
      <c r="J11" s="131" t="s">
        <v>299</v>
      </c>
      <c r="K11" s="131" t="s">
        <v>260</v>
      </c>
      <c r="L11" s="131" t="s">
        <v>260</v>
      </c>
      <c r="M11" s="131" t="s">
        <v>260</v>
      </c>
      <c r="N11" s="128" t="s">
        <v>268</v>
      </c>
      <c r="O11" s="128" t="s">
        <v>840</v>
      </c>
      <c r="P11" s="131" t="s">
        <v>300</v>
      </c>
      <c r="Q11" s="131" t="s">
        <v>260</v>
      </c>
      <c r="R11" s="131" t="s">
        <v>260</v>
      </c>
      <c r="S11" s="131" t="s">
        <v>239</v>
      </c>
      <c r="T11" s="131" t="s">
        <v>10</v>
      </c>
      <c r="U11" s="131" t="s">
        <v>834</v>
      </c>
      <c r="V11" s="131" t="s">
        <v>834</v>
      </c>
      <c r="W11" s="131">
        <f t="shared" si="0"/>
        <v>2.9115092024539879</v>
      </c>
      <c r="X11" s="131" t="str">
        <f>E11</f>
        <v>480</v>
      </c>
      <c r="Y11" s="131">
        <f>W11</f>
        <v>2.9115092024539879</v>
      </c>
      <c r="Z11" s="109" t="s">
        <v>260</v>
      </c>
      <c r="AA11" s="109" t="s">
        <v>260</v>
      </c>
      <c r="AB11" s="131" t="s">
        <v>15</v>
      </c>
      <c r="AC11" s="128" t="s">
        <v>266</v>
      </c>
      <c r="AD11" s="131" t="s">
        <v>260</v>
      </c>
      <c r="AE11" s="131" t="s">
        <v>260</v>
      </c>
    </row>
    <row r="12" spans="1:31" s="102" customFormat="1" ht="84" x14ac:dyDescent="0.35">
      <c r="A12" s="109" t="s">
        <v>260</v>
      </c>
      <c r="B12" s="131" t="s">
        <v>841</v>
      </c>
      <c r="C12" s="131" t="s">
        <v>260</v>
      </c>
      <c r="D12" s="131" t="s">
        <v>261</v>
      </c>
      <c r="E12" s="131" t="s">
        <v>262</v>
      </c>
      <c r="F12" s="128" t="s">
        <v>824</v>
      </c>
      <c r="G12" s="131" t="s">
        <v>260</v>
      </c>
      <c r="H12" s="131" t="s">
        <v>260</v>
      </c>
      <c r="I12" s="131" t="s">
        <v>260</v>
      </c>
      <c r="J12" s="131" t="s">
        <v>301</v>
      </c>
      <c r="K12" s="131" t="s">
        <v>260</v>
      </c>
      <c r="L12" s="131" t="s">
        <v>260</v>
      </c>
      <c r="M12" s="131" t="s">
        <v>260</v>
      </c>
      <c r="N12" s="128" t="s">
        <v>821</v>
      </c>
      <c r="O12" s="128" t="s">
        <v>818</v>
      </c>
      <c r="P12" s="131" t="s">
        <v>302</v>
      </c>
      <c r="Q12" s="131" t="s">
        <v>260</v>
      </c>
      <c r="R12" s="131" t="s">
        <v>260</v>
      </c>
      <c r="S12" s="131" t="s">
        <v>239</v>
      </c>
      <c r="T12" s="131" t="s">
        <v>10</v>
      </c>
      <c r="U12" s="131" t="s">
        <v>834</v>
      </c>
      <c r="V12" s="131" t="s">
        <v>834</v>
      </c>
      <c r="W12" s="131">
        <f t="shared" si="0"/>
        <v>1.9410061349693255</v>
      </c>
      <c r="X12" s="131" t="str">
        <f>E12</f>
        <v>480</v>
      </c>
      <c r="Y12" s="131">
        <f>W12</f>
        <v>1.9410061349693255</v>
      </c>
      <c r="Z12" s="109" t="s">
        <v>260</v>
      </c>
      <c r="AA12" s="109" t="s">
        <v>260</v>
      </c>
      <c r="AB12" s="131" t="s">
        <v>15</v>
      </c>
      <c r="AC12" s="128" t="s">
        <v>266</v>
      </c>
      <c r="AD12" s="131" t="s">
        <v>260</v>
      </c>
      <c r="AE12" s="131" t="s">
        <v>260</v>
      </c>
    </row>
    <row r="13" spans="1:31" s="102" customFormat="1" ht="70" x14ac:dyDescent="0.35">
      <c r="A13" s="109" t="s">
        <v>270</v>
      </c>
      <c r="B13" s="131" t="s">
        <v>841</v>
      </c>
      <c r="C13" s="131" t="s">
        <v>260</v>
      </c>
      <c r="D13" s="131" t="s">
        <v>271</v>
      </c>
      <c r="E13" s="131" t="s">
        <v>262</v>
      </c>
      <c r="F13" s="128" t="s">
        <v>260</v>
      </c>
      <c r="G13" s="131" t="s">
        <v>260</v>
      </c>
      <c r="H13" s="131" t="s">
        <v>260</v>
      </c>
      <c r="I13" s="131" t="s">
        <v>260</v>
      </c>
      <c r="J13" s="131" t="s">
        <v>260</v>
      </c>
      <c r="K13" s="131" t="s">
        <v>260</v>
      </c>
      <c r="L13" s="131" t="s">
        <v>260</v>
      </c>
      <c r="M13" s="131" t="s">
        <v>260</v>
      </c>
      <c r="N13" s="128" t="s">
        <v>814</v>
      </c>
      <c r="O13" s="128" t="s">
        <v>813</v>
      </c>
      <c r="P13" s="131" t="s">
        <v>303</v>
      </c>
      <c r="Q13" s="131" t="s">
        <v>260</v>
      </c>
      <c r="R13" s="131" t="s">
        <v>304</v>
      </c>
      <c r="S13" s="131" t="s">
        <v>239</v>
      </c>
      <c r="T13" s="131" t="s">
        <v>10</v>
      </c>
      <c r="U13" s="131" t="s">
        <v>834</v>
      </c>
      <c r="V13" s="131" t="s">
        <v>834</v>
      </c>
      <c r="W13" s="131">
        <f t="shared" si="0"/>
        <v>0.81279631901840499</v>
      </c>
      <c r="X13" s="131" t="str">
        <f>R13</f>
        <v>478</v>
      </c>
      <c r="Y13" s="131">
        <f>W13*X13/E13</f>
        <v>0.80940966768916167</v>
      </c>
      <c r="Z13" s="109" t="s">
        <v>260</v>
      </c>
      <c r="AA13" s="109" t="s">
        <v>260</v>
      </c>
      <c r="AB13" s="131" t="s">
        <v>15</v>
      </c>
      <c r="AC13" s="128" t="s">
        <v>273</v>
      </c>
      <c r="AD13" s="131" t="s">
        <v>305</v>
      </c>
      <c r="AE13" s="131" t="s">
        <v>260</v>
      </c>
    </row>
    <row r="14" spans="1:31" s="102" customFormat="1" ht="42" x14ac:dyDescent="0.35">
      <c r="A14" s="109" t="s">
        <v>260</v>
      </c>
      <c r="B14" s="131" t="s">
        <v>841</v>
      </c>
      <c r="C14" s="131" t="s">
        <v>260</v>
      </c>
      <c r="D14" s="131" t="s">
        <v>261</v>
      </c>
      <c r="E14" s="131" t="s">
        <v>262</v>
      </c>
      <c r="F14" s="128" t="s">
        <v>827</v>
      </c>
      <c r="G14" s="131" t="s">
        <v>260</v>
      </c>
      <c r="H14" s="131" t="s">
        <v>260</v>
      </c>
      <c r="I14" s="131" t="s">
        <v>260</v>
      </c>
      <c r="J14" s="131" t="s">
        <v>306</v>
      </c>
      <c r="K14" s="131" t="s">
        <v>260</v>
      </c>
      <c r="L14" s="131" t="s">
        <v>260</v>
      </c>
      <c r="M14" s="131" t="s">
        <v>260</v>
      </c>
      <c r="N14" s="128" t="s">
        <v>260</v>
      </c>
      <c r="O14" s="128" t="s">
        <v>260</v>
      </c>
      <c r="P14" s="131" t="s">
        <v>307</v>
      </c>
      <c r="Q14" s="131" t="s">
        <v>260</v>
      </c>
      <c r="R14" s="131" t="s">
        <v>260</v>
      </c>
      <c r="S14" s="131" t="s">
        <v>239</v>
      </c>
      <c r="T14" s="131" t="s">
        <v>10</v>
      </c>
      <c r="U14" s="131" t="s">
        <v>834</v>
      </c>
      <c r="V14" s="131" t="s">
        <v>834</v>
      </c>
      <c r="W14" s="131">
        <f>(RIGHT(P14, LEN(P14) - 1))*MW/24.45</f>
        <v>0.60656441717791421</v>
      </c>
      <c r="X14" s="131" t="str">
        <f>E14</f>
        <v>480</v>
      </c>
      <c r="Y14" s="131">
        <f>W14</f>
        <v>0.60656441717791421</v>
      </c>
      <c r="Z14" s="109" t="s">
        <v>260</v>
      </c>
      <c r="AA14" s="109" t="s">
        <v>260</v>
      </c>
      <c r="AB14" s="131" t="s">
        <v>15</v>
      </c>
      <c r="AC14" s="128" t="s">
        <v>266</v>
      </c>
      <c r="AD14" s="131" t="s">
        <v>260</v>
      </c>
      <c r="AE14" s="131" t="s">
        <v>260</v>
      </c>
    </row>
    <row r="15" spans="1:31" s="102" customFormat="1" ht="42" x14ac:dyDescent="0.35">
      <c r="A15" s="109" t="s">
        <v>260</v>
      </c>
      <c r="B15" s="131" t="s">
        <v>841</v>
      </c>
      <c r="C15" s="131" t="s">
        <v>260</v>
      </c>
      <c r="D15" s="131" t="s">
        <v>261</v>
      </c>
      <c r="E15" s="131" t="s">
        <v>262</v>
      </c>
      <c r="F15" s="128" t="s">
        <v>827</v>
      </c>
      <c r="G15" s="131" t="s">
        <v>260</v>
      </c>
      <c r="H15" s="131" t="s">
        <v>260</v>
      </c>
      <c r="I15" s="131" t="s">
        <v>260</v>
      </c>
      <c r="J15" s="131" t="s">
        <v>308</v>
      </c>
      <c r="K15" s="131" t="s">
        <v>260</v>
      </c>
      <c r="L15" s="131" t="s">
        <v>260</v>
      </c>
      <c r="M15" s="131" t="s">
        <v>260</v>
      </c>
      <c r="N15" s="128" t="s">
        <v>260</v>
      </c>
      <c r="O15" s="128" t="s">
        <v>260</v>
      </c>
      <c r="P15" s="131" t="s">
        <v>309</v>
      </c>
      <c r="Q15" s="131" t="s">
        <v>260</v>
      </c>
      <c r="R15" s="131" t="s">
        <v>260</v>
      </c>
      <c r="S15" s="131" t="s">
        <v>239</v>
      </c>
      <c r="T15" s="131" t="s">
        <v>10</v>
      </c>
      <c r="U15" s="131" t="s">
        <v>834</v>
      </c>
      <c r="V15" s="131" t="s">
        <v>834</v>
      </c>
      <c r="W15" s="131">
        <f>(RIGHT(P15, LEN(P15) - 1))*MW/24.45</f>
        <v>0.48525153374233138</v>
      </c>
      <c r="X15" s="131" t="str">
        <f>E15</f>
        <v>480</v>
      </c>
      <c r="Y15" s="131">
        <f>W15</f>
        <v>0.48525153374233138</v>
      </c>
      <c r="Z15" s="109" t="s">
        <v>260</v>
      </c>
      <c r="AA15" s="109" t="s">
        <v>260</v>
      </c>
      <c r="AB15" s="131" t="s">
        <v>15</v>
      </c>
      <c r="AC15" s="128" t="s">
        <v>266</v>
      </c>
      <c r="AD15" s="131" t="s">
        <v>260</v>
      </c>
      <c r="AE15" s="131" t="s">
        <v>260</v>
      </c>
    </row>
    <row r="16" spans="1:31" s="102" customFormat="1" ht="56" x14ac:dyDescent="0.35">
      <c r="A16" s="109" t="s">
        <v>260</v>
      </c>
      <c r="B16" s="131" t="s">
        <v>841</v>
      </c>
      <c r="C16" s="131" t="s">
        <v>260</v>
      </c>
      <c r="D16" s="131" t="s">
        <v>261</v>
      </c>
      <c r="E16" s="131" t="s">
        <v>262</v>
      </c>
      <c r="F16" s="128" t="s">
        <v>824</v>
      </c>
      <c r="G16" s="131" t="s">
        <v>260</v>
      </c>
      <c r="H16" s="131" t="s">
        <v>260</v>
      </c>
      <c r="I16" s="131" t="s">
        <v>260</v>
      </c>
      <c r="J16" s="131" t="s">
        <v>310</v>
      </c>
      <c r="K16" s="131" t="s">
        <v>260</v>
      </c>
      <c r="L16" s="131" t="s">
        <v>260</v>
      </c>
      <c r="M16" s="131" t="s">
        <v>260</v>
      </c>
      <c r="N16" s="128" t="s">
        <v>260</v>
      </c>
      <c r="O16" s="128" t="s">
        <v>818</v>
      </c>
      <c r="P16" s="131" t="s">
        <v>311</v>
      </c>
      <c r="Q16" s="131" t="s">
        <v>260</v>
      </c>
      <c r="R16" s="131" t="s">
        <v>260</v>
      </c>
      <c r="S16" s="131" t="s">
        <v>239</v>
      </c>
      <c r="T16" s="131" t="s">
        <v>10</v>
      </c>
      <c r="U16" s="131" t="s">
        <v>834</v>
      </c>
      <c r="V16" s="131" t="s">
        <v>834</v>
      </c>
      <c r="W16" s="131">
        <f t="shared" ref="W16:W21" si="1">P16*MW/24.45</f>
        <v>0.40033251533742337</v>
      </c>
      <c r="X16" s="131" t="str">
        <f>E16</f>
        <v>480</v>
      </c>
      <c r="Y16" s="131">
        <f>W16</f>
        <v>0.40033251533742337</v>
      </c>
      <c r="Z16" s="109" t="s">
        <v>260</v>
      </c>
      <c r="AA16" s="109" t="s">
        <v>260</v>
      </c>
      <c r="AB16" s="131" t="s">
        <v>15</v>
      </c>
      <c r="AC16" s="128" t="s">
        <v>266</v>
      </c>
      <c r="AD16" s="131" t="s">
        <v>260</v>
      </c>
      <c r="AE16" s="131" t="s">
        <v>260</v>
      </c>
    </row>
    <row r="17" spans="1:31" s="102" customFormat="1" ht="70" x14ac:dyDescent="0.35">
      <c r="A17" s="109" t="s">
        <v>270</v>
      </c>
      <c r="B17" s="131" t="s">
        <v>841</v>
      </c>
      <c r="C17" s="131" t="s">
        <v>260</v>
      </c>
      <c r="D17" s="131" t="s">
        <v>271</v>
      </c>
      <c r="E17" s="131" t="s">
        <v>262</v>
      </c>
      <c r="F17" s="128" t="s">
        <v>260</v>
      </c>
      <c r="G17" s="131" t="s">
        <v>260</v>
      </c>
      <c r="H17" s="131" t="s">
        <v>260</v>
      </c>
      <c r="I17" s="131" t="s">
        <v>260</v>
      </c>
      <c r="J17" s="131" t="s">
        <v>260</v>
      </c>
      <c r="K17" s="131" t="s">
        <v>260</v>
      </c>
      <c r="L17" s="131" t="s">
        <v>260</v>
      </c>
      <c r="M17" s="131" t="s">
        <v>260</v>
      </c>
      <c r="N17" s="128" t="s">
        <v>814</v>
      </c>
      <c r="O17" s="128" t="s">
        <v>813</v>
      </c>
      <c r="P17" s="131" t="s">
        <v>312</v>
      </c>
      <c r="Q17" s="131" t="s">
        <v>260</v>
      </c>
      <c r="R17" s="131" t="s">
        <v>262</v>
      </c>
      <c r="S17" s="131" t="s">
        <v>239</v>
      </c>
      <c r="T17" s="131" t="s">
        <v>10</v>
      </c>
      <c r="U17" s="131" t="s">
        <v>834</v>
      </c>
      <c r="V17" s="131" t="s">
        <v>834</v>
      </c>
      <c r="W17" s="131">
        <f t="shared" si="1"/>
        <v>0.36393865030674849</v>
      </c>
      <c r="X17" s="131" t="str">
        <f>R17</f>
        <v>480</v>
      </c>
      <c r="Y17" s="131">
        <f>W17*X17/E17</f>
        <v>0.36393865030674849</v>
      </c>
      <c r="Z17" s="109" t="s">
        <v>260</v>
      </c>
      <c r="AA17" s="109" t="s">
        <v>260</v>
      </c>
      <c r="AB17" s="131" t="s">
        <v>15</v>
      </c>
      <c r="AC17" s="128" t="s">
        <v>273</v>
      </c>
      <c r="AD17" s="131" t="s">
        <v>305</v>
      </c>
      <c r="AE17" s="131" t="s">
        <v>260</v>
      </c>
    </row>
    <row r="18" spans="1:31" s="102" customFormat="1" ht="84" x14ac:dyDescent="0.35">
      <c r="A18" s="109" t="s">
        <v>260</v>
      </c>
      <c r="B18" s="131" t="s">
        <v>841</v>
      </c>
      <c r="C18" s="131" t="s">
        <v>260</v>
      </c>
      <c r="D18" s="131" t="s">
        <v>261</v>
      </c>
      <c r="E18" s="131" t="s">
        <v>262</v>
      </c>
      <c r="F18" s="128" t="s">
        <v>825</v>
      </c>
      <c r="G18" s="131" t="s">
        <v>260</v>
      </c>
      <c r="H18" s="131" t="s">
        <v>260</v>
      </c>
      <c r="I18" s="131" t="s">
        <v>260</v>
      </c>
      <c r="J18" s="131" t="s">
        <v>313</v>
      </c>
      <c r="K18" s="131" t="s">
        <v>260</v>
      </c>
      <c r="L18" s="131" t="s">
        <v>260</v>
      </c>
      <c r="M18" s="131" t="s">
        <v>260</v>
      </c>
      <c r="N18" s="128" t="s">
        <v>268</v>
      </c>
      <c r="O18" s="128" t="s">
        <v>840</v>
      </c>
      <c r="P18" s="131" t="s">
        <v>314</v>
      </c>
      <c r="Q18" s="131" t="s">
        <v>260</v>
      </c>
      <c r="R18" s="131" t="s">
        <v>260</v>
      </c>
      <c r="S18" s="131" t="s">
        <v>239</v>
      </c>
      <c r="T18" s="131" t="s">
        <v>10</v>
      </c>
      <c r="U18" s="131" t="s">
        <v>834</v>
      </c>
      <c r="V18" s="131" t="s">
        <v>834</v>
      </c>
      <c r="W18" s="131">
        <f t="shared" si="1"/>
        <v>0.29115092024539879</v>
      </c>
      <c r="X18" s="131" t="str">
        <f>E18</f>
        <v>480</v>
      </c>
      <c r="Y18" s="131">
        <f>W18</f>
        <v>0.29115092024539879</v>
      </c>
      <c r="Z18" s="109" t="s">
        <v>260</v>
      </c>
      <c r="AA18" s="109" t="s">
        <v>260</v>
      </c>
      <c r="AB18" s="131" t="s">
        <v>15</v>
      </c>
      <c r="AC18" s="128" t="s">
        <v>266</v>
      </c>
      <c r="AD18" s="131" t="s">
        <v>260</v>
      </c>
      <c r="AE18" s="131" t="s">
        <v>260</v>
      </c>
    </row>
    <row r="19" spans="1:31" customFormat="1" ht="43.5" hidden="1" x14ac:dyDescent="0.35">
      <c r="A19" s="83" t="s">
        <v>315</v>
      </c>
      <c r="B19" s="4" t="s">
        <v>316</v>
      </c>
      <c r="C19" s="4" t="s">
        <v>317</v>
      </c>
      <c r="D19" s="4" t="s">
        <v>318</v>
      </c>
      <c r="E19" s="4" t="s">
        <v>262</v>
      </c>
      <c r="F19" s="4" t="s">
        <v>319</v>
      </c>
      <c r="G19" s="4" t="s">
        <v>320</v>
      </c>
      <c r="H19" s="4" t="s">
        <v>321</v>
      </c>
      <c r="I19" s="4" t="s">
        <v>322</v>
      </c>
      <c r="J19" s="4" t="s">
        <v>262</v>
      </c>
      <c r="K19" s="4" t="s">
        <v>15</v>
      </c>
      <c r="L19" s="4" t="s">
        <v>15</v>
      </c>
      <c r="M19" s="4" t="s">
        <v>323</v>
      </c>
      <c r="N19" s="4" t="s">
        <v>260</v>
      </c>
      <c r="O19" s="4" t="s">
        <v>324</v>
      </c>
      <c r="P19" s="4" t="s">
        <v>325</v>
      </c>
      <c r="Q19" s="4" t="s">
        <v>326</v>
      </c>
      <c r="R19" s="4" t="s">
        <v>327</v>
      </c>
      <c r="S19" s="4" t="s">
        <v>239</v>
      </c>
      <c r="T19" s="4" t="s">
        <v>10</v>
      </c>
      <c r="U19" s="4" t="s">
        <v>265</v>
      </c>
      <c r="V19" s="4" t="s">
        <v>265</v>
      </c>
      <c r="W19" s="4">
        <f t="shared" si="1"/>
        <v>1.455754601226994</v>
      </c>
      <c r="X19" s="82" t="str">
        <f>R19</f>
        <v>100</v>
      </c>
      <c r="Y19" s="4">
        <f>W19*X19/J19</f>
        <v>0.30328220858895705</v>
      </c>
      <c r="Z19" s="83" t="s">
        <v>260</v>
      </c>
      <c r="AA19" s="83" t="s">
        <v>260</v>
      </c>
      <c r="AB19" s="4" t="s">
        <v>15</v>
      </c>
      <c r="AC19" s="4" t="s">
        <v>273</v>
      </c>
      <c r="AD19" s="4" t="s">
        <v>328</v>
      </c>
      <c r="AE19" s="4" t="s">
        <v>329</v>
      </c>
    </row>
    <row r="20" spans="1:31" s="102" customFormat="1" ht="70" x14ac:dyDescent="0.35">
      <c r="A20" s="109" t="s">
        <v>260</v>
      </c>
      <c r="B20" s="131" t="s">
        <v>841</v>
      </c>
      <c r="C20" s="131" t="s">
        <v>260</v>
      </c>
      <c r="D20" s="131" t="s">
        <v>261</v>
      </c>
      <c r="E20" s="131" t="s">
        <v>262</v>
      </c>
      <c r="F20" s="128" t="s">
        <v>825</v>
      </c>
      <c r="G20" s="131" t="s">
        <v>260</v>
      </c>
      <c r="H20" s="131" t="s">
        <v>260</v>
      </c>
      <c r="I20" s="131" t="s">
        <v>260</v>
      </c>
      <c r="J20" s="131" t="s">
        <v>313</v>
      </c>
      <c r="K20" s="131" t="s">
        <v>260</v>
      </c>
      <c r="L20" s="131" t="s">
        <v>260</v>
      </c>
      <c r="M20" s="131" t="s">
        <v>260</v>
      </c>
      <c r="N20" s="128" t="s">
        <v>815</v>
      </c>
      <c r="O20" s="128" t="s">
        <v>840</v>
      </c>
      <c r="P20" s="131" t="s">
        <v>314</v>
      </c>
      <c r="Q20" s="131" t="s">
        <v>260</v>
      </c>
      <c r="R20" s="131" t="s">
        <v>260</v>
      </c>
      <c r="S20" s="131" t="s">
        <v>239</v>
      </c>
      <c r="T20" s="131" t="s">
        <v>10</v>
      </c>
      <c r="U20" s="131" t="s">
        <v>834</v>
      </c>
      <c r="V20" s="131" t="s">
        <v>834</v>
      </c>
      <c r="W20" s="131">
        <f t="shared" si="1"/>
        <v>0.29115092024539879</v>
      </c>
      <c r="X20" s="131" t="str">
        <f>E20</f>
        <v>480</v>
      </c>
      <c r="Y20" s="131">
        <f>W20</f>
        <v>0.29115092024539879</v>
      </c>
      <c r="Z20" s="109" t="s">
        <v>260</v>
      </c>
      <c r="AA20" s="109" t="s">
        <v>260</v>
      </c>
      <c r="AB20" s="131" t="s">
        <v>15</v>
      </c>
      <c r="AC20" s="128" t="s">
        <v>266</v>
      </c>
      <c r="AD20" s="131" t="s">
        <v>260</v>
      </c>
      <c r="AE20" s="131" t="s">
        <v>260</v>
      </c>
    </row>
    <row r="21" spans="1:31" s="102" customFormat="1" ht="42" x14ac:dyDescent="0.35">
      <c r="A21" s="109" t="s">
        <v>315</v>
      </c>
      <c r="B21" s="109" t="s">
        <v>740</v>
      </c>
      <c r="C21" s="131" t="s">
        <v>317</v>
      </c>
      <c r="D21" s="131" t="s">
        <v>318</v>
      </c>
      <c r="E21" s="131" t="s">
        <v>262</v>
      </c>
      <c r="F21" s="128" t="s">
        <v>831</v>
      </c>
      <c r="G21" s="131" t="s">
        <v>260</v>
      </c>
      <c r="H21" s="131" t="s">
        <v>330</v>
      </c>
      <c r="I21" s="131" t="s">
        <v>322</v>
      </c>
      <c r="J21" s="131" t="s">
        <v>262</v>
      </c>
      <c r="K21" s="131" t="s">
        <v>15</v>
      </c>
      <c r="L21" s="131" t="s">
        <v>15</v>
      </c>
      <c r="M21" s="131" t="s">
        <v>323</v>
      </c>
      <c r="N21" s="128" t="s">
        <v>822</v>
      </c>
      <c r="O21" s="128" t="s">
        <v>324</v>
      </c>
      <c r="P21" s="131" t="s">
        <v>331</v>
      </c>
      <c r="Q21" s="131" t="s">
        <v>326</v>
      </c>
      <c r="R21" s="131" t="s">
        <v>332</v>
      </c>
      <c r="S21" s="131" t="s">
        <v>239</v>
      </c>
      <c r="T21" s="131" t="s">
        <v>10</v>
      </c>
      <c r="U21" s="131" t="s">
        <v>834</v>
      </c>
      <c r="V21" s="131" t="s">
        <v>834</v>
      </c>
      <c r="W21" s="131">
        <f t="shared" si="1"/>
        <v>30.81347239263804</v>
      </c>
      <c r="X21" s="131" t="str">
        <f>R21</f>
        <v>142</v>
      </c>
      <c r="Y21" s="131">
        <f>W21*X21/J21</f>
        <v>9.115652249488754</v>
      </c>
      <c r="Z21" s="109" t="s">
        <v>260</v>
      </c>
      <c r="AA21" s="109" t="s">
        <v>260</v>
      </c>
      <c r="AB21" s="131" t="s">
        <v>15</v>
      </c>
      <c r="AC21" s="128" t="s">
        <v>273</v>
      </c>
      <c r="AD21" s="131" t="s">
        <v>328</v>
      </c>
      <c r="AE21" s="132" t="s">
        <v>838</v>
      </c>
    </row>
    <row r="22" spans="1:31" s="102" customFormat="1" ht="42" x14ac:dyDescent="0.35">
      <c r="A22" s="109" t="s">
        <v>315</v>
      </c>
      <c r="B22" s="109" t="s">
        <v>740</v>
      </c>
      <c r="C22" s="131" t="s">
        <v>260</v>
      </c>
      <c r="D22" s="131" t="s">
        <v>260</v>
      </c>
      <c r="E22" s="131" t="s">
        <v>262</v>
      </c>
      <c r="F22" s="128" t="s">
        <v>829</v>
      </c>
      <c r="G22" s="131" t="s">
        <v>333</v>
      </c>
      <c r="H22" s="131" t="s">
        <v>260</v>
      </c>
      <c r="I22" s="131" t="s">
        <v>260</v>
      </c>
      <c r="J22" s="131" t="s">
        <v>260</v>
      </c>
      <c r="K22" s="131" t="s">
        <v>15</v>
      </c>
      <c r="L22" s="131" t="s">
        <v>15</v>
      </c>
      <c r="M22" s="131" t="s">
        <v>323</v>
      </c>
      <c r="N22" s="128" t="s">
        <v>334</v>
      </c>
      <c r="O22" s="128" t="s">
        <v>335</v>
      </c>
      <c r="P22" s="131" t="s">
        <v>336</v>
      </c>
      <c r="Q22" s="131" t="s">
        <v>326</v>
      </c>
      <c r="R22" s="131" t="s">
        <v>260</v>
      </c>
      <c r="S22" s="131" t="s">
        <v>239</v>
      </c>
      <c r="T22" s="131" t="s">
        <v>15</v>
      </c>
      <c r="U22" s="131">
        <v>0.18</v>
      </c>
      <c r="V22" s="131">
        <f>U22/2</f>
        <v>0.09</v>
      </c>
      <c r="W22" s="131">
        <f>V22*MW/24.45</f>
        <v>1.0918159509202454</v>
      </c>
      <c r="X22" s="131" t="str">
        <f>E22</f>
        <v>480</v>
      </c>
      <c r="Y22" s="131">
        <f>W22*X22/480</f>
        <v>1.0918159509202454</v>
      </c>
      <c r="Z22" s="109" t="s">
        <v>260</v>
      </c>
      <c r="AA22" s="109" t="s">
        <v>260</v>
      </c>
      <c r="AB22" s="131" t="s">
        <v>15</v>
      </c>
      <c r="AC22" s="128" t="s">
        <v>266</v>
      </c>
      <c r="AD22" s="131" t="s">
        <v>328</v>
      </c>
      <c r="AE22" s="132" t="s">
        <v>839</v>
      </c>
    </row>
    <row r="23" spans="1:31" s="102" customFormat="1" ht="42" x14ac:dyDescent="0.35">
      <c r="A23" s="109" t="s">
        <v>315</v>
      </c>
      <c r="B23" s="109" t="s">
        <v>740</v>
      </c>
      <c r="C23" s="131" t="s">
        <v>260</v>
      </c>
      <c r="D23" s="131" t="s">
        <v>260</v>
      </c>
      <c r="E23" s="131" t="s">
        <v>262</v>
      </c>
      <c r="F23" s="128" t="s">
        <v>829</v>
      </c>
      <c r="G23" s="131" t="s">
        <v>333</v>
      </c>
      <c r="H23" s="131" t="s">
        <v>260</v>
      </c>
      <c r="I23" s="131" t="s">
        <v>260</v>
      </c>
      <c r="J23" s="131" t="s">
        <v>260</v>
      </c>
      <c r="K23" s="131" t="s">
        <v>15</v>
      </c>
      <c r="L23" s="131" t="s">
        <v>15</v>
      </c>
      <c r="M23" s="131" t="s">
        <v>323</v>
      </c>
      <c r="N23" s="128" t="s">
        <v>334</v>
      </c>
      <c r="O23" s="128" t="s">
        <v>335</v>
      </c>
      <c r="P23" s="131" t="s">
        <v>337</v>
      </c>
      <c r="Q23" s="131" t="s">
        <v>326</v>
      </c>
      <c r="R23" s="131" t="s">
        <v>260</v>
      </c>
      <c r="S23" s="131" t="s">
        <v>239</v>
      </c>
      <c r="T23" s="131" t="s">
        <v>15</v>
      </c>
      <c r="U23" s="131">
        <v>0.17</v>
      </c>
      <c r="V23" s="131">
        <f>U23/2</f>
        <v>8.5000000000000006E-2</v>
      </c>
      <c r="W23" s="131">
        <f>V23*MW/24.45</f>
        <v>1.0311595092024541</v>
      </c>
      <c r="X23" s="131" t="str">
        <f>E23</f>
        <v>480</v>
      </c>
      <c r="Y23" s="131">
        <f>W23*X23/480</f>
        <v>1.0311595092024541</v>
      </c>
      <c r="Z23" s="109" t="s">
        <v>260</v>
      </c>
      <c r="AA23" s="109" t="s">
        <v>260</v>
      </c>
      <c r="AB23" s="131" t="s">
        <v>15</v>
      </c>
      <c r="AC23" s="128" t="s">
        <v>266</v>
      </c>
      <c r="AD23" s="131" t="s">
        <v>328</v>
      </c>
      <c r="AE23" s="132" t="s">
        <v>839</v>
      </c>
    </row>
    <row r="24" spans="1:31" s="102" customFormat="1" ht="42" x14ac:dyDescent="0.35">
      <c r="A24" s="109" t="s">
        <v>315</v>
      </c>
      <c r="B24" s="109" t="s">
        <v>740</v>
      </c>
      <c r="C24" s="131" t="s">
        <v>338</v>
      </c>
      <c r="D24" s="131" t="s">
        <v>260</v>
      </c>
      <c r="E24" s="131" t="s">
        <v>262</v>
      </c>
      <c r="F24" s="128" t="s">
        <v>828</v>
      </c>
      <c r="G24" s="131" t="s">
        <v>340</v>
      </c>
      <c r="H24" s="131" t="s">
        <v>260</v>
      </c>
      <c r="I24" s="131" t="s">
        <v>260</v>
      </c>
      <c r="J24" s="131" t="s">
        <v>260</v>
      </c>
      <c r="K24" s="131" t="s">
        <v>15</v>
      </c>
      <c r="L24" s="131" t="s">
        <v>15</v>
      </c>
      <c r="M24" s="131" t="s">
        <v>323</v>
      </c>
      <c r="N24" s="128" t="s">
        <v>260</v>
      </c>
      <c r="O24" s="128" t="s">
        <v>260</v>
      </c>
      <c r="P24" s="131" t="s">
        <v>341</v>
      </c>
      <c r="Q24" s="131" t="s">
        <v>326</v>
      </c>
      <c r="R24" s="131" t="s">
        <v>342</v>
      </c>
      <c r="S24" s="131" t="s">
        <v>239</v>
      </c>
      <c r="T24" s="131" t="s">
        <v>10</v>
      </c>
      <c r="U24" s="131" t="s">
        <v>834</v>
      </c>
      <c r="V24" s="131" t="s">
        <v>834</v>
      </c>
      <c r="W24" s="131">
        <f>P24*MW/24.45</f>
        <v>2.1836319018404908</v>
      </c>
      <c r="X24" s="131" t="str">
        <f t="shared" ref="X24:X56" si="2">R24</f>
        <v>429</v>
      </c>
      <c r="Y24" s="131">
        <f>W24*X24/E24</f>
        <v>1.9516210122699387</v>
      </c>
      <c r="Z24" s="109" t="s">
        <v>260</v>
      </c>
      <c r="AA24" s="109" t="s">
        <v>260</v>
      </c>
      <c r="AB24" s="131" t="s">
        <v>15</v>
      </c>
      <c r="AC24" s="128" t="s">
        <v>273</v>
      </c>
      <c r="AD24" s="131" t="s">
        <v>328</v>
      </c>
      <c r="AE24" s="132" t="s">
        <v>838</v>
      </c>
    </row>
    <row r="25" spans="1:31" customFormat="1" ht="43.5" hidden="1" x14ac:dyDescent="0.35">
      <c r="A25" s="83" t="s">
        <v>315</v>
      </c>
      <c r="B25" s="83" t="s">
        <v>138</v>
      </c>
      <c r="C25" s="4" t="s">
        <v>260</v>
      </c>
      <c r="D25" s="4" t="s">
        <v>260</v>
      </c>
      <c r="E25" s="4" t="s">
        <v>343</v>
      </c>
      <c r="F25" s="4" t="s">
        <v>344</v>
      </c>
      <c r="G25" s="4" t="s">
        <v>345</v>
      </c>
      <c r="H25" s="4" t="s">
        <v>321</v>
      </c>
      <c r="I25" s="4" t="s">
        <v>260</v>
      </c>
      <c r="J25" s="4" t="s">
        <v>260</v>
      </c>
      <c r="K25" s="4" t="s">
        <v>15</v>
      </c>
      <c r="L25" s="4" t="s">
        <v>15</v>
      </c>
      <c r="M25" s="4" t="s">
        <v>346</v>
      </c>
      <c r="N25" s="4" t="s">
        <v>347</v>
      </c>
      <c r="O25" s="4" t="s">
        <v>260</v>
      </c>
      <c r="P25" s="4" t="s">
        <v>348</v>
      </c>
      <c r="Q25" s="4" t="s">
        <v>326</v>
      </c>
      <c r="R25" s="4" t="s">
        <v>349</v>
      </c>
      <c r="S25" s="4" t="s">
        <v>239</v>
      </c>
      <c r="T25" s="4" t="s">
        <v>10</v>
      </c>
      <c r="U25" s="4" t="s">
        <v>265</v>
      </c>
      <c r="V25" s="4" t="s">
        <v>265</v>
      </c>
      <c r="W25" s="4">
        <f>P25*MW/24.45</f>
        <v>0.58230184049079758</v>
      </c>
      <c r="X25" s="82" t="str">
        <f t="shared" si="2"/>
        <v>664</v>
      </c>
      <c r="Y25" s="4" t="s">
        <v>260</v>
      </c>
      <c r="Z25" s="83" t="s">
        <v>260</v>
      </c>
      <c r="AA25" s="4">
        <f>W25*X25/E25</f>
        <v>0.53701169734151333</v>
      </c>
      <c r="AB25" s="4" t="s">
        <v>15</v>
      </c>
      <c r="AC25" s="4" t="s">
        <v>350</v>
      </c>
      <c r="AD25" s="4" t="s">
        <v>351</v>
      </c>
      <c r="AE25" s="4" t="s">
        <v>329</v>
      </c>
    </row>
    <row r="26" spans="1:31" s="102" customFormat="1" ht="42" x14ac:dyDescent="0.35">
      <c r="A26" s="109" t="s">
        <v>315</v>
      </c>
      <c r="B26" s="109" t="s">
        <v>740</v>
      </c>
      <c r="C26" s="131" t="s">
        <v>338</v>
      </c>
      <c r="D26" s="131" t="s">
        <v>260</v>
      </c>
      <c r="E26" s="131" t="s">
        <v>262</v>
      </c>
      <c r="F26" s="128" t="s">
        <v>828</v>
      </c>
      <c r="G26" s="131" t="s">
        <v>340</v>
      </c>
      <c r="H26" s="131" t="s">
        <v>260</v>
      </c>
      <c r="I26" s="131" t="s">
        <v>260</v>
      </c>
      <c r="J26" s="131" t="s">
        <v>260</v>
      </c>
      <c r="K26" s="131" t="s">
        <v>15</v>
      </c>
      <c r="L26" s="131" t="s">
        <v>15</v>
      </c>
      <c r="M26" s="131" t="s">
        <v>346</v>
      </c>
      <c r="N26" s="128" t="s">
        <v>260</v>
      </c>
      <c r="O26" s="128" t="s">
        <v>260</v>
      </c>
      <c r="P26" s="131" t="s">
        <v>352</v>
      </c>
      <c r="Q26" s="131" t="s">
        <v>326</v>
      </c>
      <c r="R26" s="131" t="s">
        <v>342</v>
      </c>
      <c r="S26" s="131" t="s">
        <v>239</v>
      </c>
      <c r="T26" s="131" t="s">
        <v>10</v>
      </c>
      <c r="U26" s="131" t="s">
        <v>834</v>
      </c>
      <c r="V26" s="131" t="s">
        <v>834</v>
      </c>
      <c r="W26" s="131">
        <f>P26*MW/24.45</f>
        <v>1.1039472392638039</v>
      </c>
      <c r="X26" s="131" t="str">
        <f t="shared" si="2"/>
        <v>429</v>
      </c>
      <c r="Y26" s="131">
        <f>W26*X26/E26</f>
        <v>0.98665284509202467</v>
      </c>
      <c r="Z26" s="109" t="s">
        <v>260</v>
      </c>
      <c r="AA26" s="109" t="s">
        <v>260</v>
      </c>
      <c r="AB26" s="131" t="s">
        <v>15</v>
      </c>
      <c r="AC26" s="128" t="s">
        <v>273</v>
      </c>
      <c r="AD26" s="131" t="s">
        <v>328</v>
      </c>
      <c r="AE26" s="132" t="s">
        <v>838</v>
      </c>
    </row>
    <row r="27" spans="1:31" s="102" customFormat="1" ht="42" x14ac:dyDescent="0.35">
      <c r="A27" s="109" t="s">
        <v>315</v>
      </c>
      <c r="B27" s="109" t="s">
        <v>740</v>
      </c>
      <c r="C27" s="131" t="s">
        <v>317</v>
      </c>
      <c r="D27" s="131" t="s">
        <v>318</v>
      </c>
      <c r="E27" s="131" t="s">
        <v>262</v>
      </c>
      <c r="F27" s="128" t="s">
        <v>828</v>
      </c>
      <c r="G27" s="131" t="s">
        <v>353</v>
      </c>
      <c r="H27" s="131" t="s">
        <v>321</v>
      </c>
      <c r="I27" s="131" t="s">
        <v>322</v>
      </c>
      <c r="J27" s="131" t="s">
        <v>262</v>
      </c>
      <c r="K27" s="131" t="s">
        <v>15</v>
      </c>
      <c r="L27" s="131" t="s">
        <v>15</v>
      </c>
      <c r="M27" s="131" t="s">
        <v>323</v>
      </c>
      <c r="N27" s="128" t="s">
        <v>354</v>
      </c>
      <c r="O27" s="128" t="s">
        <v>324</v>
      </c>
      <c r="P27" s="131" t="s">
        <v>355</v>
      </c>
      <c r="Q27" s="131" t="s">
        <v>326</v>
      </c>
      <c r="R27" s="131" t="s">
        <v>356</v>
      </c>
      <c r="S27" s="131" t="s">
        <v>239</v>
      </c>
      <c r="T27" s="131" t="s">
        <v>10</v>
      </c>
      <c r="U27" s="131" t="s">
        <v>834</v>
      </c>
      <c r="V27" s="131" t="s">
        <v>834</v>
      </c>
      <c r="W27" s="131">
        <f>(RIGHT(P27, LEN(P27) - 1))*MW/24.45</f>
        <v>0.92197791411042951</v>
      </c>
      <c r="X27" s="131" t="str">
        <f t="shared" si="2"/>
        <v>104</v>
      </c>
      <c r="Y27" s="131">
        <f>W27*X27/J27</f>
        <v>0.19976188139059306</v>
      </c>
      <c r="Z27" s="109" t="s">
        <v>260</v>
      </c>
      <c r="AA27" s="109" t="s">
        <v>260</v>
      </c>
      <c r="AB27" s="131" t="s">
        <v>15</v>
      </c>
      <c r="AC27" s="128" t="s">
        <v>273</v>
      </c>
      <c r="AD27" s="131" t="s">
        <v>328</v>
      </c>
      <c r="AE27" s="132" t="s">
        <v>838</v>
      </c>
    </row>
    <row r="28" spans="1:31" s="102" customFormat="1" ht="42" x14ac:dyDescent="0.35">
      <c r="A28" s="109" t="s">
        <v>315</v>
      </c>
      <c r="B28" s="109" t="s">
        <v>740</v>
      </c>
      <c r="C28" s="131" t="s">
        <v>317</v>
      </c>
      <c r="D28" s="131" t="s">
        <v>318</v>
      </c>
      <c r="E28" s="131" t="s">
        <v>262</v>
      </c>
      <c r="F28" s="128" t="s">
        <v>828</v>
      </c>
      <c r="G28" s="131" t="s">
        <v>353</v>
      </c>
      <c r="H28" s="131" t="s">
        <v>321</v>
      </c>
      <c r="I28" s="131" t="s">
        <v>357</v>
      </c>
      <c r="J28" s="131" t="s">
        <v>262</v>
      </c>
      <c r="K28" s="131" t="s">
        <v>15</v>
      </c>
      <c r="L28" s="131" t="s">
        <v>15</v>
      </c>
      <c r="M28" s="131" t="s">
        <v>323</v>
      </c>
      <c r="N28" s="128" t="s">
        <v>354</v>
      </c>
      <c r="O28" s="128" t="s">
        <v>324</v>
      </c>
      <c r="P28" s="131" t="s">
        <v>358</v>
      </c>
      <c r="Q28" s="131" t="s">
        <v>326</v>
      </c>
      <c r="R28" s="131" t="s">
        <v>359</v>
      </c>
      <c r="S28" s="131" t="s">
        <v>239</v>
      </c>
      <c r="T28" s="131" t="s">
        <v>10</v>
      </c>
      <c r="U28" s="131" t="s">
        <v>834</v>
      </c>
      <c r="V28" s="131" t="s">
        <v>834</v>
      </c>
      <c r="W28" s="131">
        <f>P28*MW/24.45</f>
        <v>0.25475705521472397</v>
      </c>
      <c r="X28" s="131" t="str">
        <f t="shared" si="2"/>
        <v>455</v>
      </c>
      <c r="Y28" s="131">
        <f>W28*X28/J28</f>
        <v>0.24148845858895709</v>
      </c>
      <c r="Z28" s="109" t="s">
        <v>260</v>
      </c>
      <c r="AA28" s="109" t="s">
        <v>260</v>
      </c>
      <c r="AB28" s="131" t="s">
        <v>15</v>
      </c>
      <c r="AC28" s="128" t="s">
        <v>273</v>
      </c>
      <c r="AD28" s="131" t="s">
        <v>328</v>
      </c>
      <c r="AE28" s="132" t="s">
        <v>838</v>
      </c>
    </row>
    <row r="29" spans="1:31" customFormat="1" ht="130.5" hidden="1" x14ac:dyDescent="0.35">
      <c r="A29" s="83" t="s">
        <v>315</v>
      </c>
      <c r="B29" s="83" t="s">
        <v>138</v>
      </c>
      <c r="C29" s="4" t="s">
        <v>360</v>
      </c>
      <c r="D29" s="4" t="s">
        <v>361</v>
      </c>
      <c r="E29" s="4" t="s">
        <v>362</v>
      </c>
      <c r="F29" s="4" t="s">
        <v>339</v>
      </c>
      <c r="G29" s="4" t="s">
        <v>363</v>
      </c>
      <c r="H29" s="4" t="s">
        <v>361</v>
      </c>
      <c r="I29" s="4" t="s">
        <v>364</v>
      </c>
      <c r="J29" s="4" t="s">
        <v>362</v>
      </c>
      <c r="K29" s="4" t="s">
        <v>15</v>
      </c>
      <c r="L29" s="4" t="s">
        <v>15</v>
      </c>
      <c r="M29" s="4" t="s">
        <v>285</v>
      </c>
      <c r="N29" s="4" t="s">
        <v>286</v>
      </c>
      <c r="O29" s="4" t="s">
        <v>287</v>
      </c>
      <c r="P29" s="4" t="s">
        <v>365</v>
      </c>
      <c r="Q29" s="4" t="s">
        <v>289</v>
      </c>
      <c r="R29" s="4" t="s">
        <v>262</v>
      </c>
      <c r="S29" s="4" t="s">
        <v>239</v>
      </c>
      <c r="T29" s="4" t="s">
        <v>10</v>
      </c>
      <c r="U29" s="4" t="s">
        <v>265</v>
      </c>
      <c r="V29" s="4" t="s">
        <v>265</v>
      </c>
      <c r="W29" s="4">
        <f>P29*MW/24.45</f>
        <v>2.6688834355828219</v>
      </c>
      <c r="X29" s="82" t="str">
        <f t="shared" si="2"/>
        <v>480</v>
      </c>
      <c r="Y29" s="83" t="s">
        <v>260</v>
      </c>
      <c r="Z29" s="4">
        <f>W29*X29/E29</f>
        <v>2.1351067484662578</v>
      </c>
      <c r="AA29" s="83" t="s">
        <v>260</v>
      </c>
      <c r="AB29" s="4" t="s">
        <v>15</v>
      </c>
      <c r="AC29" s="4" t="s">
        <v>366</v>
      </c>
      <c r="AD29" s="4" t="s">
        <v>290</v>
      </c>
      <c r="AE29" s="4" t="s">
        <v>291</v>
      </c>
    </row>
    <row r="30" spans="1:31" s="102" customFormat="1" ht="42" x14ac:dyDescent="0.35">
      <c r="A30" s="109" t="s">
        <v>315</v>
      </c>
      <c r="B30" s="109" t="s">
        <v>740</v>
      </c>
      <c r="C30" s="131" t="s">
        <v>317</v>
      </c>
      <c r="D30" s="131" t="s">
        <v>318</v>
      </c>
      <c r="E30" s="131" t="s">
        <v>262</v>
      </c>
      <c r="F30" s="128" t="s">
        <v>828</v>
      </c>
      <c r="G30" s="131" t="s">
        <v>353</v>
      </c>
      <c r="H30" s="131" t="s">
        <v>321</v>
      </c>
      <c r="I30" s="131" t="s">
        <v>322</v>
      </c>
      <c r="J30" s="131" t="s">
        <v>262</v>
      </c>
      <c r="K30" s="131" t="s">
        <v>15</v>
      </c>
      <c r="L30" s="131" t="s">
        <v>15</v>
      </c>
      <c r="M30" s="131" t="s">
        <v>323</v>
      </c>
      <c r="N30" s="128" t="s">
        <v>260</v>
      </c>
      <c r="O30" s="128" t="s">
        <v>324</v>
      </c>
      <c r="P30" s="131" t="s">
        <v>367</v>
      </c>
      <c r="Q30" s="131" t="s">
        <v>326</v>
      </c>
      <c r="R30" s="131" t="s">
        <v>368</v>
      </c>
      <c r="S30" s="131" t="s">
        <v>239</v>
      </c>
      <c r="T30" s="131" t="s">
        <v>10</v>
      </c>
      <c r="U30" s="131" t="s">
        <v>834</v>
      </c>
      <c r="V30" s="131" t="s">
        <v>834</v>
      </c>
      <c r="W30" s="131">
        <f>(RIGHT(P30, LEN(P30) - 1))*MW/24.45</f>
        <v>3.7606993865030676</v>
      </c>
      <c r="X30" s="131" t="str">
        <f t="shared" si="2"/>
        <v>256</v>
      </c>
      <c r="Y30" s="131">
        <f>W30*X30/J30</f>
        <v>2.0057063394683028</v>
      </c>
      <c r="Z30" s="109" t="s">
        <v>260</v>
      </c>
      <c r="AA30" s="109" t="s">
        <v>260</v>
      </c>
      <c r="AB30" s="131" t="s">
        <v>15</v>
      </c>
      <c r="AC30" s="128" t="s">
        <v>273</v>
      </c>
      <c r="AD30" s="131" t="s">
        <v>328</v>
      </c>
      <c r="AE30" s="132" t="s">
        <v>838</v>
      </c>
    </row>
    <row r="31" spans="1:31" s="102" customFormat="1" ht="42" x14ac:dyDescent="0.35">
      <c r="A31" s="109" t="s">
        <v>315</v>
      </c>
      <c r="B31" s="109" t="s">
        <v>740</v>
      </c>
      <c r="C31" s="131" t="s">
        <v>317</v>
      </c>
      <c r="D31" s="131" t="s">
        <v>318</v>
      </c>
      <c r="E31" s="131" t="s">
        <v>262</v>
      </c>
      <c r="F31" s="128" t="s">
        <v>828</v>
      </c>
      <c r="G31" s="131" t="s">
        <v>353</v>
      </c>
      <c r="H31" s="131" t="s">
        <v>321</v>
      </c>
      <c r="I31" s="131" t="s">
        <v>322</v>
      </c>
      <c r="J31" s="131" t="s">
        <v>262</v>
      </c>
      <c r="K31" s="131" t="s">
        <v>15</v>
      </c>
      <c r="L31" s="131" t="s">
        <v>15</v>
      </c>
      <c r="M31" s="131" t="s">
        <v>323</v>
      </c>
      <c r="N31" s="128" t="s">
        <v>260</v>
      </c>
      <c r="O31" s="128" t="s">
        <v>369</v>
      </c>
      <c r="P31" s="131" t="s">
        <v>370</v>
      </c>
      <c r="Q31" s="131" t="s">
        <v>326</v>
      </c>
      <c r="R31" s="131" t="s">
        <v>359</v>
      </c>
      <c r="S31" s="131" t="s">
        <v>239</v>
      </c>
      <c r="T31" s="131" t="s">
        <v>10</v>
      </c>
      <c r="U31" s="131" t="s">
        <v>834</v>
      </c>
      <c r="V31" s="131" t="s">
        <v>834</v>
      </c>
      <c r="W31" s="131">
        <f>P31*MW/24.45</f>
        <v>10.190282208588958</v>
      </c>
      <c r="X31" s="131" t="str">
        <f t="shared" si="2"/>
        <v>455</v>
      </c>
      <c r="Y31" s="131">
        <f>W31*X31/J31</f>
        <v>9.6595383435582836</v>
      </c>
      <c r="Z31" s="109" t="s">
        <v>260</v>
      </c>
      <c r="AA31" s="109" t="s">
        <v>260</v>
      </c>
      <c r="AB31" s="131" t="s">
        <v>15</v>
      </c>
      <c r="AC31" s="128" t="s">
        <v>273</v>
      </c>
      <c r="AD31" s="131" t="s">
        <v>328</v>
      </c>
      <c r="AE31" s="132" t="s">
        <v>838</v>
      </c>
    </row>
    <row r="32" spans="1:31" s="102" customFormat="1" ht="42" x14ac:dyDescent="0.35">
      <c r="A32" s="109" t="s">
        <v>315</v>
      </c>
      <c r="B32" s="109" t="s">
        <v>740</v>
      </c>
      <c r="C32" s="131" t="s">
        <v>317</v>
      </c>
      <c r="D32" s="131" t="s">
        <v>318</v>
      </c>
      <c r="E32" s="131" t="s">
        <v>262</v>
      </c>
      <c r="F32" s="128" t="s">
        <v>828</v>
      </c>
      <c r="G32" s="131" t="s">
        <v>353</v>
      </c>
      <c r="H32" s="131" t="s">
        <v>321</v>
      </c>
      <c r="I32" s="131" t="s">
        <v>322</v>
      </c>
      <c r="J32" s="131" t="s">
        <v>262</v>
      </c>
      <c r="K32" s="131" t="s">
        <v>15</v>
      </c>
      <c r="L32" s="131" t="s">
        <v>15</v>
      </c>
      <c r="M32" s="131" t="s">
        <v>323</v>
      </c>
      <c r="N32" s="128" t="s">
        <v>260</v>
      </c>
      <c r="O32" s="128" t="s">
        <v>324</v>
      </c>
      <c r="P32" s="131" t="s">
        <v>371</v>
      </c>
      <c r="Q32" s="131" t="s">
        <v>326</v>
      </c>
      <c r="R32" s="131" t="s">
        <v>372</v>
      </c>
      <c r="S32" s="131" t="s">
        <v>239</v>
      </c>
      <c r="T32" s="131" t="s">
        <v>10</v>
      </c>
      <c r="U32" s="131" t="s">
        <v>834</v>
      </c>
      <c r="V32" s="131" t="s">
        <v>834</v>
      </c>
      <c r="W32" s="131">
        <f>(RIGHT(P32, LEN(P32) - 1))*MW/24.45</f>
        <v>0.49738282208588963</v>
      </c>
      <c r="X32" s="131" t="str">
        <f t="shared" si="2"/>
        <v>205</v>
      </c>
      <c r="Y32" s="131">
        <f>W32*X32/J32</f>
        <v>0.21242391359918203</v>
      </c>
      <c r="Z32" s="109" t="s">
        <v>260</v>
      </c>
      <c r="AA32" s="109" t="s">
        <v>260</v>
      </c>
      <c r="AB32" s="131" t="s">
        <v>15</v>
      </c>
      <c r="AC32" s="128" t="s">
        <v>273</v>
      </c>
      <c r="AD32" s="131" t="s">
        <v>328</v>
      </c>
      <c r="AE32" s="132" t="s">
        <v>838</v>
      </c>
    </row>
    <row r="33" spans="1:31" s="102" customFormat="1" ht="42" x14ac:dyDescent="0.35">
      <c r="A33" s="109" t="s">
        <v>315</v>
      </c>
      <c r="B33" s="109" t="s">
        <v>740</v>
      </c>
      <c r="C33" s="131" t="s">
        <v>260</v>
      </c>
      <c r="D33" s="131" t="s">
        <v>260</v>
      </c>
      <c r="E33" s="131" t="s">
        <v>262</v>
      </c>
      <c r="F33" s="128" t="s">
        <v>373</v>
      </c>
      <c r="G33" s="131" t="s">
        <v>340</v>
      </c>
      <c r="H33" s="131" t="s">
        <v>321</v>
      </c>
      <c r="I33" s="131" t="s">
        <v>260</v>
      </c>
      <c r="J33" s="131" t="s">
        <v>260</v>
      </c>
      <c r="K33" s="131" t="s">
        <v>15</v>
      </c>
      <c r="L33" s="131" t="s">
        <v>15</v>
      </c>
      <c r="M33" s="131" t="s">
        <v>346</v>
      </c>
      <c r="N33" s="128" t="s">
        <v>374</v>
      </c>
      <c r="O33" s="128" t="s">
        <v>260</v>
      </c>
      <c r="P33" s="131" t="s">
        <v>375</v>
      </c>
      <c r="Q33" s="131" t="s">
        <v>326</v>
      </c>
      <c r="R33" s="131" t="s">
        <v>376</v>
      </c>
      <c r="S33" s="131" t="s">
        <v>239</v>
      </c>
      <c r="T33" s="131" t="s">
        <v>10</v>
      </c>
      <c r="U33" s="131" t="s">
        <v>834</v>
      </c>
      <c r="V33" s="131" t="s">
        <v>834</v>
      </c>
      <c r="W33" s="131">
        <f>P33*MW/24.45</f>
        <v>0.72787730061349698</v>
      </c>
      <c r="X33" s="131" t="str">
        <f t="shared" si="2"/>
        <v>410</v>
      </c>
      <c r="Y33" s="131">
        <f>W33*X33/E33</f>
        <v>0.62172852760736197</v>
      </c>
      <c r="Z33" s="109" t="s">
        <v>260</v>
      </c>
      <c r="AA33" s="109" t="s">
        <v>260</v>
      </c>
      <c r="AB33" s="131" t="s">
        <v>15</v>
      </c>
      <c r="AC33" s="128" t="s">
        <v>273</v>
      </c>
      <c r="AD33" s="131" t="s">
        <v>351</v>
      </c>
      <c r="AE33" s="132" t="s">
        <v>838</v>
      </c>
    </row>
    <row r="34" spans="1:31" s="102" customFormat="1" ht="42" x14ac:dyDescent="0.35">
      <c r="A34" s="109" t="s">
        <v>315</v>
      </c>
      <c r="B34" s="109" t="s">
        <v>740</v>
      </c>
      <c r="C34" s="131" t="s">
        <v>317</v>
      </c>
      <c r="D34" s="131" t="s">
        <v>318</v>
      </c>
      <c r="E34" s="131" t="s">
        <v>262</v>
      </c>
      <c r="F34" s="128" t="s">
        <v>828</v>
      </c>
      <c r="G34" s="131" t="s">
        <v>353</v>
      </c>
      <c r="H34" s="131" t="s">
        <v>321</v>
      </c>
      <c r="I34" s="131" t="s">
        <v>322</v>
      </c>
      <c r="J34" s="131" t="s">
        <v>262</v>
      </c>
      <c r="K34" s="131" t="s">
        <v>15</v>
      </c>
      <c r="L34" s="131" t="s">
        <v>15</v>
      </c>
      <c r="M34" s="131" t="s">
        <v>323</v>
      </c>
      <c r="N34" s="128" t="s">
        <v>260</v>
      </c>
      <c r="O34" s="128" t="s">
        <v>324</v>
      </c>
      <c r="P34" s="131" t="s">
        <v>377</v>
      </c>
      <c r="Q34" s="131" t="s">
        <v>326</v>
      </c>
      <c r="R34" s="131" t="s">
        <v>378</v>
      </c>
      <c r="S34" s="131" t="s">
        <v>239</v>
      </c>
      <c r="T34" s="131" t="s">
        <v>10</v>
      </c>
      <c r="U34" s="131" t="s">
        <v>834</v>
      </c>
      <c r="V34" s="131" t="s">
        <v>834</v>
      </c>
      <c r="W34" s="131">
        <f>(RIGHT(P34, LEN(P34) - 1))*MW/24.45</f>
        <v>0.21836319018404909</v>
      </c>
      <c r="X34" s="131" t="str">
        <f t="shared" si="2"/>
        <v>463</v>
      </c>
      <c r="Y34" s="131">
        <f>W34*X34/J34</f>
        <v>0.21062949386503069</v>
      </c>
      <c r="Z34" s="109" t="s">
        <v>260</v>
      </c>
      <c r="AA34" s="109" t="s">
        <v>260</v>
      </c>
      <c r="AB34" s="131" t="s">
        <v>15</v>
      </c>
      <c r="AC34" s="128" t="s">
        <v>273</v>
      </c>
      <c r="AD34" s="131" t="s">
        <v>328</v>
      </c>
      <c r="AE34" s="132" t="s">
        <v>838</v>
      </c>
    </row>
    <row r="35" spans="1:31" s="102" customFormat="1" ht="42" x14ac:dyDescent="0.35">
      <c r="A35" s="109" t="s">
        <v>315</v>
      </c>
      <c r="B35" s="109" t="s">
        <v>740</v>
      </c>
      <c r="C35" s="131" t="s">
        <v>317</v>
      </c>
      <c r="D35" s="131" t="s">
        <v>318</v>
      </c>
      <c r="E35" s="131" t="s">
        <v>262</v>
      </c>
      <c r="F35" s="128" t="s">
        <v>828</v>
      </c>
      <c r="G35" s="131" t="s">
        <v>353</v>
      </c>
      <c r="H35" s="131" t="s">
        <v>321</v>
      </c>
      <c r="I35" s="131" t="s">
        <v>322</v>
      </c>
      <c r="J35" s="131" t="s">
        <v>262</v>
      </c>
      <c r="K35" s="131" t="s">
        <v>15</v>
      </c>
      <c r="L35" s="131" t="s">
        <v>15</v>
      </c>
      <c r="M35" s="131" t="s">
        <v>323</v>
      </c>
      <c r="N35" s="128" t="s">
        <v>260</v>
      </c>
      <c r="O35" s="128" t="s">
        <v>324</v>
      </c>
      <c r="P35" s="131" t="s">
        <v>379</v>
      </c>
      <c r="Q35" s="131" t="s">
        <v>326</v>
      </c>
      <c r="R35" s="131" t="s">
        <v>356</v>
      </c>
      <c r="S35" s="131" t="s">
        <v>239</v>
      </c>
      <c r="T35" s="131" t="s">
        <v>10</v>
      </c>
      <c r="U35" s="131" t="s">
        <v>834</v>
      </c>
      <c r="V35" s="131" t="s">
        <v>834</v>
      </c>
      <c r="W35" s="131">
        <f>(RIGHT(P35, LEN(P35) - 1))*MW/24.45</f>
        <v>0.94624049079754613</v>
      </c>
      <c r="X35" s="131" t="str">
        <f t="shared" si="2"/>
        <v>104</v>
      </c>
      <c r="Y35" s="131">
        <f>W35*X35/J35</f>
        <v>0.205018773006135</v>
      </c>
      <c r="Z35" s="109" t="s">
        <v>260</v>
      </c>
      <c r="AA35" s="109" t="s">
        <v>260</v>
      </c>
      <c r="AB35" s="131" t="s">
        <v>15</v>
      </c>
      <c r="AC35" s="128" t="s">
        <v>273</v>
      </c>
      <c r="AD35" s="131" t="s">
        <v>328</v>
      </c>
      <c r="AE35" s="132" t="s">
        <v>838</v>
      </c>
    </row>
    <row r="36" spans="1:31" s="102" customFormat="1" ht="42" x14ac:dyDescent="0.35">
      <c r="A36" s="109" t="s">
        <v>315</v>
      </c>
      <c r="B36" s="109" t="s">
        <v>740</v>
      </c>
      <c r="C36" s="131" t="s">
        <v>317</v>
      </c>
      <c r="D36" s="131" t="s">
        <v>318</v>
      </c>
      <c r="E36" s="131" t="s">
        <v>262</v>
      </c>
      <c r="F36" s="128" t="s">
        <v>828</v>
      </c>
      <c r="G36" s="131" t="s">
        <v>353</v>
      </c>
      <c r="H36" s="131" t="s">
        <v>321</v>
      </c>
      <c r="I36" s="131" t="s">
        <v>322</v>
      </c>
      <c r="J36" s="131" t="s">
        <v>262</v>
      </c>
      <c r="K36" s="131" t="s">
        <v>15</v>
      </c>
      <c r="L36" s="131" t="s">
        <v>15</v>
      </c>
      <c r="M36" s="131" t="s">
        <v>323</v>
      </c>
      <c r="N36" s="128" t="s">
        <v>260</v>
      </c>
      <c r="O36" s="128" t="s">
        <v>324</v>
      </c>
      <c r="P36" s="131" t="s">
        <v>380</v>
      </c>
      <c r="Q36" s="131" t="s">
        <v>326</v>
      </c>
      <c r="R36" s="131" t="s">
        <v>381</v>
      </c>
      <c r="S36" s="131" t="s">
        <v>239</v>
      </c>
      <c r="T36" s="131" t="s">
        <v>10</v>
      </c>
      <c r="U36" s="131" t="s">
        <v>834</v>
      </c>
      <c r="V36" s="131" t="s">
        <v>834</v>
      </c>
      <c r="W36" s="131">
        <f t="shared" ref="W36:W55" si="3">P36*MW/24.45</f>
        <v>0.23049447852760738</v>
      </c>
      <c r="X36" s="131" t="str">
        <f t="shared" si="2"/>
        <v>468</v>
      </c>
      <c r="Y36" s="131">
        <f>W36*X36/J36</f>
        <v>0.22473211656441719</v>
      </c>
      <c r="Z36" s="109" t="s">
        <v>260</v>
      </c>
      <c r="AA36" s="109" t="s">
        <v>260</v>
      </c>
      <c r="AB36" s="131" t="s">
        <v>15</v>
      </c>
      <c r="AC36" s="128" t="s">
        <v>273</v>
      </c>
      <c r="AD36" s="131" t="s">
        <v>328</v>
      </c>
      <c r="AE36" s="132" t="s">
        <v>838</v>
      </c>
    </row>
    <row r="37" spans="1:31" s="102" customFormat="1" ht="42" x14ac:dyDescent="0.35">
      <c r="A37" s="109" t="s">
        <v>315</v>
      </c>
      <c r="B37" s="109" t="s">
        <v>740</v>
      </c>
      <c r="C37" s="131" t="s">
        <v>317</v>
      </c>
      <c r="D37" s="131" t="s">
        <v>318</v>
      </c>
      <c r="E37" s="131" t="s">
        <v>262</v>
      </c>
      <c r="F37" s="128" t="s">
        <v>828</v>
      </c>
      <c r="G37" s="131" t="s">
        <v>353</v>
      </c>
      <c r="H37" s="131" t="s">
        <v>321</v>
      </c>
      <c r="I37" s="131" t="s">
        <v>322</v>
      </c>
      <c r="J37" s="131" t="s">
        <v>262</v>
      </c>
      <c r="K37" s="131" t="s">
        <v>15</v>
      </c>
      <c r="L37" s="131" t="s">
        <v>15</v>
      </c>
      <c r="M37" s="131" t="s">
        <v>323</v>
      </c>
      <c r="N37" s="128" t="s">
        <v>260</v>
      </c>
      <c r="O37" s="128" t="s">
        <v>324</v>
      </c>
      <c r="P37" s="131" t="s">
        <v>382</v>
      </c>
      <c r="Q37" s="131" t="s">
        <v>326</v>
      </c>
      <c r="R37" s="131" t="s">
        <v>381</v>
      </c>
      <c r="S37" s="131" t="s">
        <v>239</v>
      </c>
      <c r="T37" s="131" t="s">
        <v>10</v>
      </c>
      <c r="U37" s="131" t="s">
        <v>834</v>
      </c>
      <c r="V37" s="131" t="s">
        <v>834</v>
      </c>
      <c r="W37" s="131">
        <f t="shared" si="3"/>
        <v>0.88558404907975452</v>
      </c>
      <c r="X37" s="131" t="str">
        <f t="shared" si="2"/>
        <v>468</v>
      </c>
      <c r="Y37" s="131">
        <f>W37*X37/J37</f>
        <v>0.86344444785276064</v>
      </c>
      <c r="Z37" s="109" t="s">
        <v>260</v>
      </c>
      <c r="AA37" s="109" t="s">
        <v>260</v>
      </c>
      <c r="AB37" s="131" t="s">
        <v>15</v>
      </c>
      <c r="AC37" s="128" t="s">
        <v>273</v>
      </c>
      <c r="AD37" s="131" t="s">
        <v>328</v>
      </c>
      <c r="AE37" s="132" t="s">
        <v>838</v>
      </c>
    </row>
    <row r="38" spans="1:31" s="102" customFormat="1" ht="42" x14ac:dyDescent="0.35">
      <c r="A38" s="109" t="s">
        <v>315</v>
      </c>
      <c r="B38" s="109" t="s">
        <v>740</v>
      </c>
      <c r="C38" s="131" t="s">
        <v>260</v>
      </c>
      <c r="D38" s="131" t="s">
        <v>260</v>
      </c>
      <c r="E38" s="131" t="s">
        <v>262</v>
      </c>
      <c r="F38" s="128" t="s">
        <v>828</v>
      </c>
      <c r="G38" s="131" t="s">
        <v>383</v>
      </c>
      <c r="H38" s="131" t="s">
        <v>321</v>
      </c>
      <c r="I38" s="131" t="s">
        <v>260</v>
      </c>
      <c r="J38" s="131" t="s">
        <v>260</v>
      </c>
      <c r="K38" s="131" t="s">
        <v>15</v>
      </c>
      <c r="L38" s="131" t="s">
        <v>15</v>
      </c>
      <c r="M38" s="131" t="s">
        <v>346</v>
      </c>
      <c r="N38" s="128" t="s">
        <v>374</v>
      </c>
      <c r="O38" s="128" t="s">
        <v>260</v>
      </c>
      <c r="P38" s="131" t="s">
        <v>384</v>
      </c>
      <c r="Q38" s="131" t="s">
        <v>326</v>
      </c>
      <c r="R38" s="131" t="s">
        <v>385</v>
      </c>
      <c r="S38" s="131" t="s">
        <v>239</v>
      </c>
      <c r="T38" s="131" t="s">
        <v>10</v>
      </c>
      <c r="U38" s="131" t="s">
        <v>834</v>
      </c>
      <c r="V38" s="131" t="s">
        <v>834</v>
      </c>
      <c r="W38" s="131">
        <f t="shared" si="3"/>
        <v>1.334441717791411</v>
      </c>
      <c r="X38" s="131" t="str">
        <f t="shared" si="2"/>
        <v>413</v>
      </c>
      <c r="Y38" s="131">
        <f>W38*X38/E38</f>
        <v>1.1481758946830267</v>
      </c>
      <c r="Z38" s="109" t="s">
        <v>260</v>
      </c>
      <c r="AA38" s="109" t="s">
        <v>260</v>
      </c>
      <c r="AB38" s="131" t="s">
        <v>15</v>
      </c>
      <c r="AC38" s="128" t="s">
        <v>273</v>
      </c>
      <c r="AD38" s="131" t="s">
        <v>351</v>
      </c>
      <c r="AE38" s="132" t="s">
        <v>838</v>
      </c>
    </row>
    <row r="39" spans="1:31" customFormat="1" ht="130.5" hidden="1" x14ac:dyDescent="0.35">
      <c r="A39" s="83" t="s">
        <v>315</v>
      </c>
      <c r="B39" s="83" t="s">
        <v>138</v>
      </c>
      <c r="C39" s="4" t="s">
        <v>317</v>
      </c>
      <c r="D39" s="4" t="s">
        <v>361</v>
      </c>
      <c r="E39" s="4" t="s">
        <v>362</v>
      </c>
      <c r="F39" s="4" t="s">
        <v>339</v>
      </c>
      <c r="G39" s="4" t="s">
        <v>340</v>
      </c>
      <c r="H39" s="4" t="s">
        <v>361</v>
      </c>
      <c r="I39" s="4" t="s">
        <v>364</v>
      </c>
      <c r="J39" s="4" t="s">
        <v>362</v>
      </c>
      <c r="K39" s="4" t="s">
        <v>15</v>
      </c>
      <c r="L39" s="4" t="s">
        <v>15</v>
      </c>
      <c r="M39" s="4" t="s">
        <v>285</v>
      </c>
      <c r="N39" s="4" t="s">
        <v>286</v>
      </c>
      <c r="O39" s="4" t="s">
        <v>287</v>
      </c>
      <c r="P39" s="4" t="s">
        <v>386</v>
      </c>
      <c r="Q39" s="4" t="s">
        <v>289</v>
      </c>
      <c r="R39" s="4" t="s">
        <v>262</v>
      </c>
      <c r="S39" s="4" t="s">
        <v>239</v>
      </c>
      <c r="T39" s="4" t="s">
        <v>10</v>
      </c>
      <c r="U39" s="4" t="s">
        <v>265</v>
      </c>
      <c r="V39" s="4" t="s">
        <v>265</v>
      </c>
      <c r="W39" s="4">
        <f t="shared" si="3"/>
        <v>0.99476564417177926</v>
      </c>
      <c r="X39" s="82" t="str">
        <f t="shared" si="2"/>
        <v>480</v>
      </c>
      <c r="Y39" s="83" t="s">
        <v>260</v>
      </c>
      <c r="Z39" s="4">
        <f>W39*X39/E39</f>
        <v>0.79581251533742337</v>
      </c>
      <c r="AA39" s="83" t="s">
        <v>260</v>
      </c>
      <c r="AB39" s="4" t="s">
        <v>15</v>
      </c>
      <c r="AC39" s="4" t="s">
        <v>366</v>
      </c>
      <c r="AD39" s="4" t="s">
        <v>290</v>
      </c>
      <c r="AE39" s="4" t="s">
        <v>291</v>
      </c>
    </row>
    <row r="40" spans="1:31" customFormat="1" ht="43.5" hidden="1" x14ac:dyDescent="0.35">
      <c r="A40" s="83" t="s">
        <v>315</v>
      </c>
      <c r="B40" s="4" t="s">
        <v>387</v>
      </c>
      <c r="C40" s="4" t="s">
        <v>260</v>
      </c>
      <c r="D40" s="4" t="s">
        <v>260</v>
      </c>
      <c r="E40" s="4" t="s">
        <v>343</v>
      </c>
      <c r="F40" s="4" t="s">
        <v>282</v>
      </c>
      <c r="G40" s="4" t="s">
        <v>260</v>
      </c>
      <c r="H40" s="4" t="s">
        <v>321</v>
      </c>
      <c r="I40" s="4" t="s">
        <v>260</v>
      </c>
      <c r="J40" s="4" t="s">
        <v>260</v>
      </c>
      <c r="K40" s="4" t="s">
        <v>15</v>
      </c>
      <c r="L40" s="4" t="s">
        <v>15</v>
      </c>
      <c r="M40" s="4" t="s">
        <v>323</v>
      </c>
      <c r="N40" s="4" t="s">
        <v>347</v>
      </c>
      <c r="O40" s="4" t="s">
        <v>260</v>
      </c>
      <c r="P40" s="4" t="s">
        <v>388</v>
      </c>
      <c r="Q40" s="4" t="s">
        <v>326</v>
      </c>
      <c r="R40" s="4" t="s">
        <v>389</v>
      </c>
      <c r="S40" s="4" t="s">
        <v>239</v>
      </c>
      <c r="T40" s="4" t="s">
        <v>10</v>
      </c>
      <c r="U40" s="4" t="s">
        <v>265</v>
      </c>
      <c r="V40" s="4" t="s">
        <v>265</v>
      </c>
      <c r="W40" s="4">
        <f t="shared" si="3"/>
        <v>3.17839754601227</v>
      </c>
      <c r="X40" s="82" t="str">
        <f t="shared" si="2"/>
        <v>576</v>
      </c>
      <c r="Y40" s="4" t="s">
        <v>260</v>
      </c>
      <c r="Z40" s="83" t="s">
        <v>260</v>
      </c>
      <c r="AA40" s="4">
        <f t="shared" ref="AA40:AA53" si="4">W40*X40/E40</f>
        <v>2.5427180368098159</v>
      </c>
      <c r="AB40" s="4" t="s">
        <v>15</v>
      </c>
      <c r="AC40" s="4" t="s">
        <v>350</v>
      </c>
      <c r="AD40" s="4" t="s">
        <v>390</v>
      </c>
      <c r="AE40" s="4" t="s">
        <v>391</v>
      </c>
    </row>
    <row r="41" spans="1:31" customFormat="1" ht="43.5" hidden="1" x14ac:dyDescent="0.35">
      <c r="A41" s="83" t="s">
        <v>315</v>
      </c>
      <c r="B41" s="83" t="s">
        <v>138</v>
      </c>
      <c r="C41" s="4" t="s">
        <v>260</v>
      </c>
      <c r="D41" s="4" t="s">
        <v>260</v>
      </c>
      <c r="E41" s="4" t="s">
        <v>343</v>
      </c>
      <c r="F41" s="4" t="s">
        <v>392</v>
      </c>
      <c r="G41" s="4" t="s">
        <v>353</v>
      </c>
      <c r="H41" s="4" t="s">
        <v>321</v>
      </c>
      <c r="I41" s="4" t="s">
        <v>260</v>
      </c>
      <c r="J41" s="4" t="s">
        <v>260</v>
      </c>
      <c r="K41" s="4" t="s">
        <v>15</v>
      </c>
      <c r="L41" s="4" t="s">
        <v>15</v>
      </c>
      <c r="M41" s="4" t="s">
        <v>346</v>
      </c>
      <c r="N41" s="4" t="s">
        <v>347</v>
      </c>
      <c r="O41" s="4" t="s">
        <v>260</v>
      </c>
      <c r="P41" s="4" t="s">
        <v>393</v>
      </c>
      <c r="Q41" s="4" t="s">
        <v>326</v>
      </c>
      <c r="R41" s="4" t="s">
        <v>349</v>
      </c>
      <c r="S41" s="4" t="s">
        <v>239</v>
      </c>
      <c r="T41" s="4" t="s">
        <v>10</v>
      </c>
      <c r="U41" s="4" t="s">
        <v>265</v>
      </c>
      <c r="V41" s="4" t="s">
        <v>265</v>
      </c>
      <c r="W41" s="4">
        <f t="shared" si="3"/>
        <v>2.7901963190184054</v>
      </c>
      <c r="X41" s="82" t="str">
        <f t="shared" si="2"/>
        <v>664</v>
      </c>
      <c r="Y41" s="4" t="s">
        <v>260</v>
      </c>
      <c r="Z41" s="83" t="s">
        <v>260</v>
      </c>
      <c r="AA41" s="4">
        <f t="shared" si="4"/>
        <v>2.573181049761418</v>
      </c>
      <c r="AB41" s="4" t="s">
        <v>15</v>
      </c>
      <c r="AC41" s="4" t="s">
        <v>350</v>
      </c>
      <c r="AD41" s="4" t="s">
        <v>351</v>
      </c>
      <c r="AE41" s="4" t="s">
        <v>329</v>
      </c>
    </row>
    <row r="42" spans="1:31" customFormat="1" ht="43.5" hidden="1" x14ac:dyDescent="0.35">
      <c r="A42" s="83" t="s">
        <v>315</v>
      </c>
      <c r="B42" s="4" t="s">
        <v>387</v>
      </c>
      <c r="C42" s="4" t="s">
        <v>260</v>
      </c>
      <c r="D42" s="4" t="s">
        <v>260</v>
      </c>
      <c r="E42" s="4" t="s">
        <v>343</v>
      </c>
      <c r="F42" s="4" t="s">
        <v>282</v>
      </c>
      <c r="G42" s="4" t="s">
        <v>260</v>
      </c>
      <c r="H42" s="4" t="s">
        <v>321</v>
      </c>
      <c r="I42" s="4" t="s">
        <v>260</v>
      </c>
      <c r="J42" s="4" t="s">
        <v>260</v>
      </c>
      <c r="K42" s="4" t="s">
        <v>15</v>
      </c>
      <c r="L42" s="4" t="s">
        <v>15</v>
      </c>
      <c r="M42" s="4" t="s">
        <v>323</v>
      </c>
      <c r="N42" s="4" t="s">
        <v>260</v>
      </c>
      <c r="O42" s="4" t="s">
        <v>260</v>
      </c>
      <c r="P42" s="4" t="s">
        <v>394</v>
      </c>
      <c r="Q42" s="4" t="s">
        <v>326</v>
      </c>
      <c r="R42" s="4" t="s">
        <v>395</v>
      </c>
      <c r="S42" s="4" t="s">
        <v>239</v>
      </c>
      <c r="T42" s="4" t="s">
        <v>10</v>
      </c>
      <c r="U42" s="4" t="s">
        <v>265</v>
      </c>
      <c r="V42" s="4" t="s">
        <v>265</v>
      </c>
      <c r="W42" s="4">
        <f t="shared" si="3"/>
        <v>5.3620294478527608</v>
      </c>
      <c r="X42" s="82" t="str">
        <f t="shared" si="2"/>
        <v>578</v>
      </c>
      <c r="Y42" s="4" t="s">
        <v>260</v>
      </c>
      <c r="Z42" s="83" t="s">
        <v>260</v>
      </c>
      <c r="AA42" s="4">
        <f t="shared" si="4"/>
        <v>4.3045180845262436</v>
      </c>
      <c r="AB42" s="4" t="s">
        <v>15</v>
      </c>
      <c r="AC42" s="4" t="s">
        <v>350</v>
      </c>
      <c r="AD42" s="4" t="s">
        <v>390</v>
      </c>
      <c r="AE42" s="4" t="s">
        <v>391</v>
      </c>
    </row>
    <row r="43" spans="1:31" customFormat="1" ht="43.5" hidden="1" x14ac:dyDescent="0.35">
      <c r="A43" s="83" t="s">
        <v>315</v>
      </c>
      <c r="B43" s="4" t="s">
        <v>387</v>
      </c>
      <c r="C43" s="4" t="s">
        <v>260</v>
      </c>
      <c r="D43" s="4" t="s">
        <v>260</v>
      </c>
      <c r="E43" s="4" t="s">
        <v>343</v>
      </c>
      <c r="F43" s="4" t="s">
        <v>282</v>
      </c>
      <c r="G43" s="4" t="s">
        <v>260</v>
      </c>
      <c r="H43" s="4" t="s">
        <v>321</v>
      </c>
      <c r="I43" s="4" t="s">
        <v>260</v>
      </c>
      <c r="J43" s="4" t="s">
        <v>260</v>
      </c>
      <c r="K43" s="4" t="s">
        <v>15</v>
      </c>
      <c r="L43" s="4" t="s">
        <v>15</v>
      </c>
      <c r="M43" s="4" t="s">
        <v>323</v>
      </c>
      <c r="N43" s="4" t="s">
        <v>260</v>
      </c>
      <c r="O43" s="4" t="s">
        <v>260</v>
      </c>
      <c r="P43" s="4" t="s">
        <v>396</v>
      </c>
      <c r="Q43" s="4" t="s">
        <v>326</v>
      </c>
      <c r="R43" s="4" t="s">
        <v>397</v>
      </c>
      <c r="S43" s="4" t="s">
        <v>239</v>
      </c>
      <c r="T43" s="4" t="s">
        <v>10</v>
      </c>
      <c r="U43" s="4" t="s">
        <v>265</v>
      </c>
      <c r="V43" s="4" t="s">
        <v>265</v>
      </c>
      <c r="W43" s="4">
        <f t="shared" si="3"/>
        <v>8.4919018404907981E-2</v>
      </c>
      <c r="X43" s="82" t="str">
        <f t="shared" si="2"/>
        <v>650</v>
      </c>
      <c r="Y43" s="4" t="s">
        <v>260</v>
      </c>
      <c r="Z43" s="83" t="s">
        <v>260</v>
      </c>
      <c r="AA43" s="4">
        <f t="shared" si="4"/>
        <v>7.6663002726653037E-2</v>
      </c>
      <c r="AB43" s="4" t="s">
        <v>15</v>
      </c>
      <c r="AC43" s="4" t="s">
        <v>350</v>
      </c>
      <c r="AD43" s="4" t="s">
        <v>390</v>
      </c>
      <c r="AE43" s="4" t="s">
        <v>391</v>
      </c>
    </row>
    <row r="44" spans="1:31" customFormat="1" ht="43.5" hidden="1" x14ac:dyDescent="0.35">
      <c r="A44" s="83" t="s">
        <v>315</v>
      </c>
      <c r="B44" s="83" t="s">
        <v>138</v>
      </c>
      <c r="C44" s="4" t="s">
        <v>260</v>
      </c>
      <c r="D44" s="4" t="s">
        <v>260</v>
      </c>
      <c r="E44" s="4" t="s">
        <v>343</v>
      </c>
      <c r="F44" s="4" t="s">
        <v>344</v>
      </c>
      <c r="G44" s="4" t="s">
        <v>345</v>
      </c>
      <c r="H44" s="4" t="s">
        <v>321</v>
      </c>
      <c r="I44" s="4" t="s">
        <v>260</v>
      </c>
      <c r="J44" s="4" t="s">
        <v>260</v>
      </c>
      <c r="K44" s="4" t="s">
        <v>15</v>
      </c>
      <c r="L44" s="4" t="s">
        <v>15</v>
      </c>
      <c r="M44" s="4" t="s">
        <v>346</v>
      </c>
      <c r="N44" s="4" t="s">
        <v>347</v>
      </c>
      <c r="O44" s="4" t="s">
        <v>260</v>
      </c>
      <c r="P44" s="4" t="s">
        <v>396</v>
      </c>
      <c r="Q44" s="4" t="s">
        <v>326</v>
      </c>
      <c r="R44" s="4" t="s">
        <v>349</v>
      </c>
      <c r="S44" s="4" t="s">
        <v>239</v>
      </c>
      <c r="T44" s="4" t="s">
        <v>10</v>
      </c>
      <c r="U44" s="4" t="s">
        <v>265</v>
      </c>
      <c r="V44" s="4" t="s">
        <v>265</v>
      </c>
      <c r="W44" s="4">
        <f t="shared" si="3"/>
        <v>8.4919018404907981E-2</v>
      </c>
      <c r="X44" s="82" t="str">
        <f t="shared" si="2"/>
        <v>664</v>
      </c>
      <c r="Y44" s="4" t="s">
        <v>260</v>
      </c>
      <c r="Z44" s="83" t="s">
        <v>260</v>
      </c>
      <c r="AA44" s="4">
        <f t="shared" si="4"/>
        <v>7.8314205862304018E-2</v>
      </c>
      <c r="AB44" s="4" t="s">
        <v>15</v>
      </c>
      <c r="AC44" s="4" t="s">
        <v>350</v>
      </c>
      <c r="AD44" s="4" t="s">
        <v>351</v>
      </c>
      <c r="AE44" s="4" t="s">
        <v>329</v>
      </c>
    </row>
    <row r="45" spans="1:31" customFormat="1" ht="43.5" hidden="1" x14ac:dyDescent="0.35">
      <c r="A45" s="83" t="s">
        <v>315</v>
      </c>
      <c r="B45" s="4" t="s">
        <v>387</v>
      </c>
      <c r="C45" s="4" t="s">
        <v>260</v>
      </c>
      <c r="D45" s="4" t="s">
        <v>260</v>
      </c>
      <c r="E45" s="4" t="s">
        <v>343</v>
      </c>
      <c r="F45" s="4" t="s">
        <v>282</v>
      </c>
      <c r="G45" s="4" t="s">
        <v>260</v>
      </c>
      <c r="H45" s="4" t="s">
        <v>321</v>
      </c>
      <c r="I45" s="4" t="s">
        <v>260</v>
      </c>
      <c r="J45" s="4" t="s">
        <v>260</v>
      </c>
      <c r="K45" s="4" t="s">
        <v>15</v>
      </c>
      <c r="L45" s="4" t="s">
        <v>15</v>
      </c>
      <c r="M45" s="4" t="s">
        <v>323</v>
      </c>
      <c r="N45" s="4" t="s">
        <v>260</v>
      </c>
      <c r="O45" s="4" t="s">
        <v>260</v>
      </c>
      <c r="P45" s="4" t="s">
        <v>311</v>
      </c>
      <c r="Q45" s="4" t="s">
        <v>326</v>
      </c>
      <c r="R45" s="4" t="s">
        <v>398</v>
      </c>
      <c r="S45" s="4" t="s">
        <v>239</v>
      </c>
      <c r="T45" s="4" t="s">
        <v>10</v>
      </c>
      <c r="U45" s="4" t="s">
        <v>265</v>
      </c>
      <c r="V45" s="4" t="s">
        <v>265</v>
      </c>
      <c r="W45" s="4">
        <f t="shared" si="3"/>
        <v>0.40033251533742337</v>
      </c>
      <c r="X45" s="82" t="str">
        <f t="shared" si="2"/>
        <v>599</v>
      </c>
      <c r="Y45" s="4" t="s">
        <v>260</v>
      </c>
      <c r="Z45" s="83" t="s">
        <v>260</v>
      </c>
      <c r="AA45" s="4">
        <f t="shared" si="4"/>
        <v>0.33305441206543968</v>
      </c>
      <c r="AB45" s="4" t="s">
        <v>15</v>
      </c>
      <c r="AC45" s="4" t="s">
        <v>350</v>
      </c>
      <c r="AD45" s="4" t="s">
        <v>390</v>
      </c>
      <c r="AE45" s="4" t="s">
        <v>391</v>
      </c>
    </row>
    <row r="46" spans="1:31" customFormat="1" ht="43.5" hidden="1" x14ac:dyDescent="0.35">
      <c r="A46" s="83" t="s">
        <v>315</v>
      </c>
      <c r="B46" s="4" t="s">
        <v>387</v>
      </c>
      <c r="C46" s="4" t="s">
        <v>260</v>
      </c>
      <c r="D46" s="4" t="s">
        <v>399</v>
      </c>
      <c r="E46" s="4" t="s">
        <v>343</v>
      </c>
      <c r="F46" s="4" t="s">
        <v>282</v>
      </c>
      <c r="G46" s="4" t="s">
        <v>260</v>
      </c>
      <c r="H46" s="4" t="s">
        <v>321</v>
      </c>
      <c r="I46" s="4" t="s">
        <v>260</v>
      </c>
      <c r="J46" s="4" t="s">
        <v>260</v>
      </c>
      <c r="K46" s="4" t="s">
        <v>15</v>
      </c>
      <c r="L46" s="4" t="s">
        <v>15</v>
      </c>
      <c r="M46" s="4" t="s">
        <v>323</v>
      </c>
      <c r="N46" s="4" t="s">
        <v>260</v>
      </c>
      <c r="O46" s="4" t="s">
        <v>260</v>
      </c>
      <c r="P46" s="4" t="s">
        <v>400</v>
      </c>
      <c r="Q46" s="4" t="s">
        <v>326</v>
      </c>
      <c r="R46" s="4" t="s">
        <v>401</v>
      </c>
      <c r="S46" s="4" t="s">
        <v>239</v>
      </c>
      <c r="T46" s="4" t="s">
        <v>10</v>
      </c>
      <c r="U46" s="4" t="s">
        <v>265</v>
      </c>
      <c r="V46" s="4" t="s">
        <v>265</v>
      </c>
      <c r="W46" s="4">
        <f t="shared" si="3"/>
        <v>2.4262576687116568</v>
      </c>
      <c r="X46" s="82" t="str">
        <f t="shared" si="2"/>
        <v>616</v>
      </c>
      <c r="Y46" s="4" t="s">
        <v>260</v>
      </c>
      <c r="Z46" s="83" t="s">
        <v>260</v>
      </c>
      <c r="AA46" s="4">
        <f t="shared" si="4"/>
        <v>2.0757982276755285</v>
      </c>
      <c r="AB46" s="4" t="s">
        <v>15</v>
      </c>
      <c r="AC46" s="4" t="s">
        <v>350</v>
      </c>
      <c r="AD46" s="4" t="s">
        <v>390</v>
      </c>
      <c r="AE46" s="4" t="s">
        <v>391</v>
      </c>
    </row>
    <row r="47" spans="1:31" customFormat="1" ht="43.5" hidden="1" x14ac:dyDescent="0.35">
      <c r="A47" s="83" t="s">
        <v>315</v>
      </c>
      <c r="B47" s="4" t="s">
        <v>387</v>
      </c>
      <c r="C47" s="4" t="s">
        <v>260</v>
      </c>
      <c r="D47" s="4" t="s">
        <v>260</v>
      </c>
      <c r="E47" s="4" t="s">
        <v>343</v>
      </c>
      <c r="F47" s="4" t="s">
        <v>282</v>
      </c>
      <c r="G47" s="4" t="s">
        <v>260</v>
      </c>
      <c r="H47" s="4" t="s">
        <v>321</v>
      </c>
      <c r="I47" s="4" t="s">
        <v>260</v>
      </c>
      <c r="J47" s="4" t="s">
        <v>402</v>
      </c>
      <c r="K47" s="4" t="s">
        <v>15</v>
      </c>
      <c r="L47" s="4" t="s">
        <v>15</v>
      </c>
      <c r="M47" s="4" t="s">
        <v>323</v>
      </c>
      <c r="N47" s="4" t="s">
        <v>260</v>
      </c>
      <c r="O47" s="4" t="s">
        <v>402</v>
      </c>
      <c r="P47" s="4" t="s">
        <v>403</v>
      </c>
      <c r="Q47" s="4" t="s">
        <v>326</v>
      </c>
      <c r="R47" s="4" t="s">
        <v>398</v>
      </c>
      <c r="S47" s="4" t="s">
        <v>239</v>
      </c>
      <c r="T47" s="4" t="s">
        <v>10</v>
      </c>
      <c r="U47" s="4" t="s">
        <v>265</v>
      </c>
      <c r="V47" s="4" t="s">
        <v>265</v>
      </c>
      <c r="W47" s="4">
        <f t="shared" si="3"/>
        <v>0.36393865030674849</v>
      </c>
      <c r="X47" s="82" t="str">
        <f t="shared" si="2"/>
        <v>599</v>
      </c>
      <c r="Y47" s="4" t="s">
        <v>260</v>
      </c>
      <c r="Z47" s="83" t="s">
        <v>260</v>
      </c>
      <c r="AA47" s="4">
        <f t="shared" si="4"/>
        <v>0.3027767382413088</v>
      </c>
      <c r="AB47" s="4" t="s">
        <v>15</v>
      </c>
      <c r="AC47" s="4" t="s">
        <v>350</v>
      </c>
      <c r="AD47" s="4" t="s">
        <v>390</v>
      </c>
      <c r="AE47" s="4" t="s">
        <v>391</v>
      </c>
    </row>
    <row r="48" spans="1:31" customFormat="1" ht="43.5" hidden="1" x14ac:dyDescent="0.35">
      <c r="A48" s="83" t="s">
        <v>315</v>
      </c>
      <c r="B48" s="83" t="s">
        <v>138</v>
      </c>
      <c r="C48" s="4" t="s">
        <v>260</v>
      </c>
      <c r="D48" s="4" t="s">
        <v>260</v>
      </c>
      <c r="E48" s="4" t="s">
        <v>343</v>
      </c>
      <c r="F48" s="4" t="s">
        <v>344</v>
      </c>
      <c r="G48" s="4" t="s">
        <v>345</v>
      </c>
      <c r="H48" s="4" t="s">
        <v>321</v>
      </c>
      <c r="I48" s="4" t="s">
        <v>260</v>
      </c>
      <c r="J48" s="4" t="s">
        <v>260</v>
      </c>
      <c r="K48" s="4" t="s">
        <v>15</v>
      </c>
      <c r="L48" s="4" t="s">
        <v>15</v>
      </c>
      <c r="M48" s="4" t="s">
        <v>346</v>
      </c>
      <c r="N48" s="4" t="s">
        <v>347</v>
      </c>
      <c r="O48" s="4" t="s">
        <v>260</v>
      </c>
      <c r="P48" s="4" t="s">
        <v>404</v>
      </c>
      <c r="Q48" s="4" t="s">
        <v>326</v>
      </c>
      <c r="R48" s="4" t="s">
        <v>349</v>
      </c>
      <c r="S48" s="4" t="s">
        <v>239</v>
      </c>
      <c r="T48" s="4" t="s">
        <v>10</v>
      </c>
      <c r="U48" s="4" t="s">
        <v>265</v>
      </c>
      <c r="V48" s="4" t="s">
        <v>265</v>
      </c>
      <c r="W48" s="4">
        <f t="shared" si="3"/>
        <v>0.21836319018404909</v>
      </c>
      <c r="X48" s="82" t="str">
        <f t="shared" si="2"/>
        <v>664</v>
      </c>
      <c r="Y48" s="4" t="s">
        <v>260</v>
      </c>
      <c r="Z48" s="83" t="s">
        <v>260</v>
      </c>
      <c r="AA48" s="4">
        <f t="shared" si="4"/>
        <v>0.20137938650306753</v>
      </c>
      <c r="AB48" s="4" t="s">
        <v>15</v>
      </c>
      <c r="AC48" s="4" t="s">
        <v>350</v>
      </c>
      <c r="AD48" s="4" t="s">
        <v>351</v>
      </c>
      <c r="AE48" s="4" t="s">
        <v>329</v>
      </c>
    </row>
    <row r="49" spans="1:31" customFormat="1" ht="43.5" hidden="1" x14ac:dyDescent="0.35">
      <c r="A49" s="83" t="s">
        <v>315</v>
      </c>
      <c r="B49" s="4" t="s">
        <v>387</v>
      </c>
      <c r="C49" s="4" t="s">
        <v>260</v>
      </c>
      <c r="D49" s="4" t="s">
        <v>260</v>
      </c>
      <c r="E49" s="4" t="s">
        <v>343</v>
      </c>
      <c r="F49" s="4" t="s">
        <v>282</v>
      </c>
      <c r="G49" s="4" t="s">
        <v>260</v>
      </c>
      <c r="H49" s="4" t="s">
        <v>321</v>
      </c>
      <c r="I49" s="4" t="s">
        <v>260</v>
      </c>
      <c r="J49" s="4" t="s">
        <v>260</v>
      </c>
      <c r="K49" s="4" t="s">
        <v>15</v>
      </c>
      <c r="L49" s="4" t="s">
        <v>15</v>
      </c>
      <c r="M49" s="4" t="s">
        <v>323</v>
      </c>
      <c r="N49" s="4" t="s">
        <v>260</v>
      </c>
      <c r="O49" s="4" t="s">
        <v>260</v>
      </c>
      <c r="P49" s="4" t="s">
        <v>405</v>
      </c>
      <c r="Q49" s="4" t="s">
        <v>326</v>
      </c>
      <c r="R49" s="4" t="s">
        <v>406</v>
      </c>
      <c r="S49" s="4" t="s">
        <v>239</v>
      </c>
      <c r="T49" s="4" t="s">
        <v>10</v>
      </c>
      <c r="U49" s="4" t="s">
        <v>265</v>
      </c>
      <c r="V49" s="4" t="s">
        <v>265</v>
      </c>
      <c r="W49" s="4">
        <f t="shared" si="3"/>
        <v>9.7050306748466278E-2</v>
      </c>
      <c r="X49" s="82" t="str">
        <f t="shared" si="2"/>
        <v>432</v>
      </c>
      <c r="Y49" s="4" t="s">
        <v>260</v>
      </c>
      <c r="Z49" s="83" t="s">
        <v>260</v>
      </c>
      <c r="AA49" s="4">
        <f t="shared" si="4"/>
        <v>5.8230184049079765E-2</v>
      </c>
      <c r="AB49" s="4" t="s">
        <v>15</v>
      </c>
      <c r="AC49" s="4" t="s">
        <v>350</v>
      </c>
      <c r="AD49" s="4" t="s">
        <v>390</v>
      </c>
      <c r="AE49" s="4" t="s">
        <v>391</v>
      </c>
    </row>
    <row r="50" spans="1:31" customFormat="1" ht="43.5" hidden="1" x14ac:dyDescent="0.35">
      <c r="A50" s="83" t="s">
        <v>315</v>
      </c>
      <c r="B50" s="83" t="s">
        <v>138</v>
      </c>
      <c r="C50" s="4" t="s">
        <v>260</v>
      </c>
      <c r="D50" s="4" t="s">
        <v>260</v>
      </c>
      <c r="E50" s="4" t="s">
        <v>343</v>
      </c>
      <c r="F50" s="4" t="s">
        <v>344</v>
      </c>
      <c r="G50" s="4" t="s">
        <v>345</v>
      </c>
      <c r="H50" s="4" t="s">
        <v>321</v>
      </c>
      <c r="I50" s="4" t="s">
        <v>260</v>
      </c>
      <c r="J50" s="4" t="s">
        <v>260</v>
      </c>
      <c r="K50" s="4" t="s">
        <v>15</v>
      </c>
      <c r="L50" s="4" t="s">
        <v>15</v>
      </c>
      <c r="M50" s="4" t="s">
        <v>346</v>
      </c>
      <c r="N50" s="4" t="s">
        <v>347</v>
      </c>
      <c r="O50" s="4" t="s">
        <v>260</v>
      </c>
      <c r="P50" s="4" t="s">
        <v>407</v>
      </c>
      <c r="Q50" s="4" t="s">
        <v>326</v>
      </c>
      <c r="R50" s="4" t="s">
        <v>349</v>
      </c>
      <c r="S50" s="4" t="s">
        <v>239</v>
      </c>
      <c r="T50" s="4" t="s">
        <v>10</v>
      </c>
      <c r="U50" s="4" t="s">
        <v>265</v>
      </c>
      <c r="V50" s="4" t="s">
        <v>265</v>
      </c>
      <c r="W50" s="4">
        <f t="shared" si="3"/>
        <v>0.18196932515337425</v>
      </c>
      <c r="X50" s="82" t="str">
        <f t="shared" si="2"/>
        <v>664</v>
      </c>
      <c r="Y50" s="4" t="s">
        <v>260</v>
      </c>
      <c r="Z50" s="83" t="s">
        <v>260</v>
      </c>
      <c r="AA50" s="4">
        <f t="shared" si="4"/>
        <v>0.16781615541922293</v>
      </c>
      <c r="AB50" s="4" t="s">
        <v>15</v>
      </c>
      <c r="AC50" s="4" t="s">
        <v>350</v>
      </c>
      <c r="AD50" s="4" t="s">
        <v>351</v>
      </c>
      <c r="AE50" s="4" t="s">
        <v>329</v>
      </c>
    </row>
    <row r="51" spans="1:31" customFormat="1" ht="43.5" hidden="1" x14ac:dyDescent="0.35">
      <c r="A51" s="83" t="s">
        <v>315</v>
      </c>
      <c r="B51" s="4" t="s">
        <v>387</v>
      </c>
      <c r="C51" s="4" t="s">
        <v>260</v>
      </c>
      <c r="D51" s="4" t="s">
        <v>260</v>
      </c>
      <c r="E51" s="4" t="s">
        <v>343</v>
      </c>
      <c r="F51" s="4" t="s">
        <v>282</v>
      </c>
      <c r="G51" s="4" t="s">
        <v>260</v>
      </c>
      <c r="H51" s="4" t="s">
        <v>321</v>
      </c>
      <c r="I51" s="4" t="s">
        <v>260</v>
      </c>
      <c r="J51" s="4" t="s">
        <v>260</v>
      </c>
      <c r="K51" s="4" t="s">
        <v>15</v>
      </c>
      <c r="L51" s="4" t="s">
        <v>15</v>
      </c>
      <c r="M51" s="4" t="s">
        <v>323</v>
      </c>
      <c r="N51" s="4" t="s">
        <v>260</v>
      </c>
      <c r="O51" s="4" t="s">
        <v>260</v>
      </c>
      <c r="P51" s="4" t="s">
        <v>314</v>
      </c>
      <c r="Q51" s="4" t="s">
        <v>326</v>
      </c>
      <c r="R51" s="4" t="s">
        <v>408</v>
      </c>
      <c r="S51" s="4" t="s">
        <v>239</v>
      </c>
      <c r="T51" s="4" t="s">
        <v>10</v>
      </c>
      <c r="U51" s="4" t="s">
        <v>265</v>
      </c>
      <c r="V51" s="4" t="s">
        <v>265</v>
      </c>
      <c r="W51" s="4">
        <f t="shared" si="3"/>
        <v>0.29115092024539879</v>
      </c>
      <c r="X51" s="82" t="str">
        <f t="shared" si="2"/>
        <v>707</v>
      </c>
      <c r="Y51" s="4" t="s">
        <v>260</v>
      </c>
      <c r="Z51" s="83" t="s">
        <v>260</v>
      </c>
      <c r="AA51" s="4">
        <f t="shared" si="4"/>
        <v>0.28589402862985686</v>
      </c>
      <c r="AB51" s="4" t="s">
        <v>15</v>
      </c>
      <c r="AC51" s="4" t="s">
        <v>350</v>
      </c>
      <c r="AD51" s="4" t="s">
        <v>390</v>
      </c>
      <c r="AE51" s="4" t="s">
        <v>391</v>
      </c>
    </row>
    <row r="52" spans="1:31" customFormat="1" ht="43.5" hidden="1" x14ac:dyDescent="0.35">
      <c r="A52" s="83" t="s">
        <v>315</v>
      </c>
      <c r="B52" s="83" t="s">
        <v>138</v>
      </c>
      <c r="C52" s="4" t="s">
        <v>260</v>
      </c>
      <c r="D52" s="4" t="s">
        <v>260</v>
      </c>
      <c r="E52" s="4" t="s">
        <v>343</v>
      </c>
      <c r="F52" s="4" t="s">
        <v>344</v>
      </c>
      <c r="G52" s="4" t="s">
        <v>345</v>
      </c>
      <c r="H52" s="4" t="s">
        <v>321</v>
      </c>
      <c r="I52" s="4" t="s">
        <v>260</v>
      </c>
      <c r="J52" s="4" t="s">
        <v>260</v>
      </c>
      <c r="K52" s="4" t="s">
        <v>15</v>
      </c>
      <c r="L52" s="4" t="s">
        <v>15</v>
      </c>
      <c r="M52" s="4" t="s">
        <v>346</v>
      </c>
      <c r="N52" s="4" t="s">
        <v>347</v>
      </c>
      <c r="O52" s="4" t="s">
        <v>260</v>
      </c>
      <c r="P52" s="4" t="s">
        <v>409</v>
      </c>
      <c r="Q52" s="4" t="s">
        <v>326</v>
      </c>
      <c r="R52" s="4" t="s">
        <v>349</v>
      </c>
      <c r="S52" s="4" t="s">
        <v>239</v>
      </c>
      <c r="T52" s="4" t="s">
        <v>10</v>
      </c>
      <c r="U52" s="4" t="s">
        <v>265</v>
      </c>
      <c r="V52" s="4" t="s">
        <v>265</v>
      </c>
      <c r="W52" s="4">
        <f t="shared" si="3"/>
        <v>0.64295828220858897</v>
      </c>
      <c r="X52" s="82" t="str">
        <f t="shared" si="2"/>
        <v>664</v>
      </c>
      <c r="Y52" s="4" t="s">
        <v>260</v>
      </c>
      <c r="Z52" s="83" t="s">
        <v>260</v>
      </c>
      <c r="AA52" s="4">
        <f t="shared" si="4"/>
        <v>0.59295041581458763</v>
      </c>
      <c r="AB52" s="4" t="s">
        <v>15</v>
      </c>
      <c r="AC52" s="4" t="s">
        <v>350</v>
      </c>
      <c r="AD52" s="4" t="s">
        <v>351</v>
      </c>
      <c r="AE52" s="4" t="s">
        <v>329</v>
      </c>
    </row>
    <row r="53" spans="1:31" customFormat="1" ht="43.5" hidden="1" x14ac:dyDescent="0.35">
      <c r="A53" s="83" t="s">
        <v>315</v>
      </c>
      <c r="B53" s="4" t="s">
        <v>387</v>
      </c>
      <c r="C53" s="4" t="s">
        <v>260</v>
      </c>
      <c r="D53" s="4" t="s">
        <v>260</v>
      </c>
      <c r="E53" s="4" t="s">
        <v>343</v>
      </c>
      <c r="F53" s="4" t="s">
        <v>282</v>
      </c>
      <c r="G53" s="4" t="s">
        <v>260</v>
      </c>
      <c r="H53" s="4" t="s">
        <v>321</v>
      </c>
      <c r="I53" s="4" t="s">
        <v>260</v>
      </c>
      <c r="J53" s="4" t="s">
        <v>260</v>
      </c>
      <c r="K53" s="4" t="s">
        <v>15</v>
      </c>
      <c r="L53" s="4" t="s">
        <v>15</v>
      </c>
      <c r="M53" s="4" t="s">
        <v>323</v>
      </c>
      <c r="N53" s="4" t="s">
        <v>260</v>
      </c>
      <c r="O53" s="4" t="s">
        <v>260</v>
      </c>
      <c r="P53" s="4" t="s">
        <v>410</v>
      </c>
      <c r="Q53" s="4" t="s">
        <v>326</v>
      </c>
      <c r="R53" s="4" t="s">
        <v>411</v>
      </c>
      <c r="S53" s="4" t="s">
        <v>239</v>
      </c>
      <c r="T53" s="4" t="s">
        <v>10</v>
      </c>
      <c r="U53" s="4" t="s">
        <v>265</v>
      </c>
      <c r="V53" s="4" t="s">
        <v>265</v>
      </c>
      <c r="W53" s="4">
        <f t="shared" si="3"/>
        <v>0.48525153374233138</v>
      </c>
      <c r="X53" s="82" t="str">
        <f t="shared" si="2"/>
        <v>618</v>
      </c>
      <c r="Y53" s="4" t="s">
        <v>260</v>
      </c>
      <c r="Z53" s="83" t="s">
        <v>260</v>
      </c>
      <c r="AA53" s="4">
        <f t="shared" si="4"/>
        <v>0.41650756646216774</v>
      </c>
      <c r="AB53" s="4" t="s">
        <v>15</v>
      </c>
      <c r="AC53" s="4" t="s">
        <v>350</v>
      </c>
      <c r="AD53" s="4" t="s">
        <v>390</v>
      </c>
      <c r="AE53" s="4" t="s">
        <v>391</v>
      </c>
    </row>
    <row r="54" spans="1:31" customFormat="1" ht="130.5" hidden="1" x14ac:dyDescent="0.35">
      <c r="A54" s="83" t="s">
        <v>315</v>
      </c>
      <c r="B54" s="83" t="s">
        <v>138</v>
      </c>
      <c r="C54" s="4" t="s">
        <v>317</v>
      </c>
      <c r="D54" s="4" t="s">
        <v>361</v>
      </c>
      <c r="E54" s="4" t="s">
        <v>362</v>
      </c>
      <c r="F54" s="4" t="s">
        <v>339</v>
      </c>
      <c r="G54" s="4" t="s">
        <v>340</v>
      </c>
      <c r="H54" s="4" t="s">
        <v>361</v>
      </c>
      <c r="I54" s="4" t="s">
        <v>364</v>
      </c>
      <c r="J54" s="4" t="s">
        <v>362</v>
      </c>
      <c r="K54" s="4" t="s">
        <v>15</v>
      </c>
      <c r="L54" s="4" t="s">
        <v>15</v>
      </c>
      <c r="M54" s="4" t="s">
        <v>285</v>
      </c>
      <c r="N54" s="4" t="s">
        <v>286</v>
      </c>
      <c r="O54" s="4" t="s">
        <v>287</v>
      </c>
      <c r="P54" s="4" t="s">
        <v>412</v>
      </c>
      <c r="Q54" s="4" t="s">
        <v>289</v>
      </c>
      <c r="R54" s="4" t="s">
        <v>262</v>
      </c>
      <c r="S54" s="4" t="s">
        <v>239</v>
      </c>
      <c r="T54" s="4" t="s">
        <v>10</v>
      </c>
      <c r="U54" s="4" t="s">
        <v>265</v>
      </c>
      <c r="V54" s="4" t="s">
        <v>265</v>
      </c>
      <c r="W54" s="4">
        <f t="shared" si="3"/>
        <v>1.1403411042944787</v>
      </c>
      <c r="X54" s="82" t="str">
        <f t="shared" si="2"/>
        <v>480</v>
      </c>
      <c r="Y54" s="83" t="s">
        <v>260</v>
      </c>
      <c r="Z54" s="4">
        <f>W54*X54/E54</f>
        <v>0.91227288343558299</v>
      </c>
      <c r="AA54" s="83" t="s">
        <v>260</v>
      </c>
      <c r="AB54" s="4" t="s">
        <v>15</v>
      </c>
      <c r="AC54" s="4" t="s">
        <v>366</v>
      </c>
      <c r="AD54" s="4" t="s">
        <v>290</v>
      </c>
      <c r="AE54" s="4" t="s">
        <v>291</v>
      </c>
    </row>
    <row r="55" spans="1:31" customFormat="1" ht="43.5" hidden="1" x14ac:dyDescent="0.35">
      <c r="A55" s="83" t="s">
        <v>315</v>
      </c>
      <c r="B55" s="4" t="s">
        <v>387</v>
      </c>
      <c r="C55" s="4" t="s">
        <v>260</v>
      </c>
      <c r="D55" s="4" t="s">
        <v>260</v>
      </c>
      <c r="E55" s="4" t="s">
        <v>343</v>
      </c>
      <c r="F55" s="4" t="s">
        <v>282</v>
      </c>
      <c r="G55" s="4" t="s">
        <v>260</v>
      </c>
      <c r="H55" s="4" t="s">
        <v>321</v>
      </c>
      <c r="I55" s="4" t="s">
        <v>260</v>
      </c>
      <c r="J55" s="4" t="s">
        <v>260</v>
      </c>
      <c r="K55" s="4" t="s">
        <v>15</v>
      </c>
      <c r="L55" s="4" t="s">
        <v>15</v>
      </c>
      <c r="M55" s="4" t="s">
        <v>323</v>
      </c>
      <c r="N55" s="4" t="s">
        <v>260</v>
      </c>
      <c r="O55" s="4" t="s">
        <v>260</v>
      </c>
      <c r="P55" s="4" t="s">
        <v>413</v>
      </c>
      <c r="Q55" s="4" t="s">
        <v>326</v>
      </c>
      <c r="R55" s="4" t="s">
        <v>414</v>
      </c>
      <c r="S55" s="4" t="s">
        <v>239</v>
      </c>
      <c r="T55" s="4" t="s">
        <v>10</v>
      </c>
      <c r="U55" s="4" t="s">
        <v>265</v>
      </c>
      <c r="V55" s="4" t="s">
        <v>265</v>
      </c>
      <c r="W55" s="4">
        <f t="shared" si="3"/>
        <v>0.90984662576687125</v>
      </c>
      <c r="X55" s="82" t="str">
        <f t="shared" si="2"/>
        <v>617</v>
      </c>
      <c r="Y55" s="4" t="s">
        <v>260</v>
      </c>
      <c r="Z55" s="83" t="s">
        <v>260</v>
      </c>
      <c r="AA55" s="4">
        <f>W55*X55/E55</f>
        <v>0.77968801124744391</v>
      </c>
      <c r="AB55" s="4" t="s">
        <v>15</v>
      </c>
      <c r="AC55" s="4" t="s">
        <v>350</v>
      </c>
      <c r="AD55" s="4" t="s">
        <v>390</v>
      </c>
      <c r="AE55" s="4" t="s">
        <v>391</v>
      </c>
    </row>
    <row r="56" spans="1:31" customFormat="1" ht="43.5" hidden="1" x14ac:dyDescent="0.35">
      <c r="A56" s="83" t="s">
        <v>315</v>
      </c>
      <c r="B56" s="83" t="s">
        <v>138</v>
      </c>
      <c r="C56" s="4" t="s">
        <v>260</v>
      </c>
      <c r="D56" s="4" t="s">
        <v>260</v>
      </c>
      <c r="E56" s="4" t="s">
        <v>343</v>
      </c>
      <c r="F56" s="4" t="s">
        <v>344</v>
      </c>
      <c r="G56" s="4" t="s">
        <v>345</v>
      </c>
      <c r="H56" s="4" t="s">
        <v>321</v>
      </c>
      <c r="I56" s="4" t="s">
        <v>260</v>
      </c>
      <c r="J56" s="4" t="s">
        <v>260</v>
      </c>
      <c r="K56" s="4" t="s">
        <v>15</v>
      </c>
      <c r="L56" s="4" t="s">
        <v>15</v>
      </c>
      <c r="M56" s="4" t="s">
        <v>346</v>
      </c>
      <c r="N56" s="4" t="s">
        <v>347</v>
      </c>
      <c r="O56" s="4" t="s">
        <v>260</v>
      </c>
      <c r="P56" s="4" t="s">
        <v>415</v>
      </c>
      <c r="Q56" s="4" t="s">
        <v>326</v>
      </c>
      <c r="R56" s="4" t="s">
        <v>349</v>
      </c>
      <c r="S56" s="4" t="s">
        <v>239</v>
      </c>
      <c r="T56" s="4" t="s">
        <v>10</v>
      </c>
      <c r="U56" s="4" t="s">
        <v>265</v>
      </c>
      <c r="V56" s="4" t="s">
        <v>265</v>
      </c>
      <c r="W56" s="4">
        <f>(RIGHT(P56, LEN(P56) - 1))*MW/24.45</f>
        <v>7.2787730061349698E-2</v>
      </c>
      <c r="X56" s="82" t="str">
        <f t="shared" si="2"/>
        <v>664</v>
      </c>
      <c r="Y56" s="4" t="s">
        <v>260</v>
      </c>
      <c r="Z56" s="83" t="s">
        <v>260</v>
      </c>
      <c r="AA56" s="4">
        <f>W56*X56/E56</f>
        <v>6.7126462167689166E-2</v>
      </c>
      <c r="AB56" s="4" t="s">
        <v>15</v>
      </c>
      <c r="AC56" s="4" t="s">
        <v>350</v>
      </c>
      <c r="AD56" s="4" t="s">
        <v>351</v>
      </c>
      <c r="AE56" s="4" t="s">
        <v>329</v>
      </c>
    </row>
    <row r="57" spans="1:31" customFormat="1" ht="29" hidden="1" x14ac:dyDescent="0.35">
      <c r="A57" s="83" t="s">
        <v>416</v>
      </c>
      <c r="B57" s="83" t="s">
        <v>417</v>
      </c>
      <c r="C57" s="4" t="s">
        <v>260</v>
      </c>
      <c r="D57" s="4" t="s">
        <v>260</v>
      </c>
      <c r="E57" s="4" t="s">
        <v>260</v>
      </c>
      <c r="F57" s="4" t="s">
        <v>392</v>
      </c>
      <c r="G57" s="4" t="s">
        <v>260</v>
      </c>
      <c r="H57" s="4" t="s">
        <v>260</v>
      </c>
      <c r="I57" s="4" t="s">
        <v>260</v>
      </c>
      <c r="J57" s="4" t="s">
        <v>260</v>
      </c>
      <c r="K57" s="4" t="s">
        <v>15</v>
      </c>
      <c r="L57" s="4" t="s">
        <v>15</v>
      </c>
      <c r="M57" s="4" t="s">
        <v>346</v>
      </c>
      <c r="N57" s="4" t="s">
        <v>260</v>
      </c>
      <c r="O57" s="4" t="s">
        <v>260</v>
      </c>
      <c r="P57" s="4" t="s">
        <v>418</v>
      </c>
      <c r="Q57" s="4" t="s">
        <v>260</v>
      </c>
      <c r="R57" s="4" t="s">
        <v>419</v>
      </c>
      <c r="S57" s="4" t="s">
        <v>239</v>
      </c>
      <c r="T57" s="4" t="s">
        <v>10</v>
      </c>
      <c r="U57" s="4" t="s">
        <v>265</v>
      </c>
      <c r="V57" s="4" t="s">
        <v>265</v>
      </c>
      <c r="W57" s="4">
        <f t="shared" ref="W57:W71" si="5">P57*MW/24.45</f>
        <v>6.0656441717791418</v>
      </c>
      <c r="X57" s="82" t="s">
        <v>420</v>
      </c>
      <c r="Y57" s="83" t="s">
        <v>260</v>
      </c>
      <c r="Z57" s="83" t="s">
        <v>260</v>
      </c>
      <c r="AA57" s="83" t="s">
        <v>260</v>
      </c>
      <c r="AB57" s="4" t="s">
        <v>421</v>
      </c>
      <c r="AC57" s="4"/>
      <c r="AD57" s="4" t="s">
        <v>422</v>
      </c>
      <c r="AE57" s="4" t="s">
        <v>260</v>
      </c>
    </row>
    <row r="58" spans="1:31" customFormat="1" ht="43.5" hidden="1" x14ac:dyDescent="0.35">
      <c r="A58" s="83" t="s">
        <v>315</v>
      </c>
      <c r="B58" s="83" t="s">
        <v>138</v>
      </c>
      <c r="C58" s="4" t="s">
        <v>260</v>
      </c>
      <c r="D58" s="4" t="s">
        <v>260</v>
      </c>
      <c r="E58" s="4" t="s">
        <v>343</v>
      </c>
      <c r="F58" s="4" t="s">
        <v>344</v>
      </c>
      <c r="G58" s="4" t="s">
        <v>345</v>
      </c>
      <c r="H58" s="4" t="s">
        <v>321</v>
      </c>
      <c r="I58" s="4" t="s">
        <v>260</v>
      </c>
      <c r="J58" s="4" t="s">
        <v>260</v>
      </c>
      <c r="K58" s="4" t="s">
        <v>15</v>
      </c>
      <c r="L58" s="4" t="s">
        <v>15</v>
      </c>
      <c r="M58" s="4" t="s">
        <v>346</v>
      </c>
      <c r="N58" s="4" t="s">
        <v>347</v>
      </c>
      <c r="O58" s="4" t="s">
        <v>260</v>
      </c>
      <c r="P58" s="4" t="s">
        <v>289</v>
      </c>
      <c r="Q58" s="4" t="s">
        <v>326</v>
      </c>
      <c r="R58" s="4" t="s">
        <v>349</v>
      </c>
      <c r="S58" s="4" t="s">
        <v>239</v>
      </c>
      <c r="T58" s="4" t="s">
        <v>10</v>
      </c>
      <c r="U58" s="4" t="s">
        <v>265</v>
      </c>
      <c r="V58" s="4" t="s">
        <v>265</v>
      </c>
      <c r="W58" s="4">
        <f t="shared" si="5"/>
        <v>7.2787730061349698E-2</v>
      </c>
      <c r="X58" s="82" t="str">
        <f t="shared" ref="X58:X69" si="6">R58</f>
        <v>664</v>
      </c>
      <c r="Y58" s="4" t="s">
        <v>260</v>
      </c>
      <c r="Z58" s="83" t="s">
        <v>260</v>
      </c>
      <c r="AA58" s="4">
        <f>W58*X58/E58</f>
        <v>6.7126462167689166E-2</v>
      </c>
      <c r="AB58" s="4" t="s">
        <v>15</v>
      </c>
      <c r="AC58" s="4" t="s">
        <v>350</v>
      </c>
      <c r="AD58" s="4" t="s">
        <v>351</v>
      </c>
      <c r="AE58" s="4" t="s">
        <v>329</v>
      </c>
    </row>
    <row r="59" spans="1:31" customFormat="1" ht="130.5" hidden="1" x14ac:dyDescent="0.35">
      <c r="A59" s="83" t="s">
        <v>315</v>
      </c>
      <c r="B59" s="83" t="s">
        <v>138</v>
      </c>
      <c r="C59" s="4" t="s">
        <v>317</v>
      </c>
      <c r="D59" s="4" t="s">
        <v>361</v>
      </c>
      <c r="E59" s="4" t="s">
        <v>362</v>
      </c>
      <c r="F59" s="4" t="s">
        <v>339</v>
      </c>
      <c r="G59" s="4" t="s">
        <v>340</v>
      </c>
      <c r="H59" s="4" t="s">
        <v>361</v>
      </c>
      <c r="I59" s="4" t="s">
        <v>364</v>
      </c>
      <c r="J59" s="4" t="s">
        <v>362</v>
      </c>
      <c r="K59" s="4" t="s">
        <v>15</v>
      </c>
      <c r="L59" s="4" t="s">
        <v>15</v>
      </c>
      <c r="M59" s="4" t="s">
        <v>285</v>
      </c>
      <c r="N59" s="4" t="s">
        <v>286</v>
      </c>
      <c r="O59" s="4" t="s">
        <v>287</v>
      </c>
      <c r="P59" s="4" t="s">
        <v>423</v>
      </c>
      <c r="Q59" s="4" t="s">
        <v>289</v>
      </c>
      <c r="R59" s="4" t="s">
        <v>262</v>
      </c>
      <c r="S59" s="4" t="s">
        <v>239</v>
      </c>
      <c r="T59" s="4" t="s">
        <v>10</v>
      </c>
      <c r="U59" s="4" t="s">
        <v>265</v>
      </c>
      <c r="V59" s="4" t="s">
        <v>265</v>
      </c>
      <c r="W59" s="4">
        <f t="shared" si="5"/>
        <v>1.2131288343558284</v>
      </c>
      <c r="X59" s="82" t="str">
        <f t="shared" si="6"/>
        <v>480</v>
      </c>
      <c r="Y59" s="83" t="s">
        <v>260</v>
      </c>
      <c r="Z59" s="4">
        <f>W59*X59/E59</f>
        <v>0.97050306748466275</v>
      </c>
      <c r="AA59" s="83" t="s">
        <v>260</v>
      </c>
      <c r="AB59" s="4" t="s">
        <v>15</v>
      </c>
      <c r="AC59" s="4" t="s">
        <v>366</v>
      </c>
      <c r="AD59" s="4" t="s">
        <v>290</v>
      </c>
      <c r="AE59" s="4" t="s">
        <v>291</v>
      </c>
    </row>
    <row r="60" spans="1:31" customFormat="1" ht="130.5" hidden="1" x14ac:dyDescent="0.35">
      <c r="A60" s="83" t="s">
        <v>315</v>
      </c>
      <c r="B60" s="83" t="s">
        <v>138</v>
      </c>
      <c r="C60" s="4" t="s">
        <v>317</v>
      </c>
      <c r="D60" s="4" t="s">
        <v>361</v>
      </c>
      <c r="E60" s="4" t="s">
        <v>362</v>
      </c>
      <c r="F60" s="4" t="s">
        <v>339</v>
      </c>
      <c r="G60" s="4" t="s">
        <v>340</v>
      </c>
      <c r="H60" s="4" t="s">
        <v>361</v>
      </c>
      <c r="I60" s="4" t="s">
        <v>364</v>
      </c>
      <c r="J60" s="4" t="s">
        <v>362</v>
      </c>
      <c r="K60" s="4" t="s">
        <v>15</v>
      </c>
      <c r="L60" s="4" t="s">
        <v>15</v>
      </c>
      <c r="M60" s="4" t="s">
        <v>285</v>
      </c>
      <c r="N60" s="4" t="s">
        <v>286</v>
      </c>
      <c r="O60" s="4" t="s">
        <v>287</v>
      </c>
      <c r="P60" s="4" t="s">
        <v>424</v>
      </c>
      <c r="Q60" s="4" t="s">
        <v>289</v>
      </c>
      <c r="R60" s="4" t="s">
        <v>262</v>
      </c>
      <c r="S60" s="4" t="s">
        <v>239</v>
      </c>
      <c r="T60" s="4" t="s">
        <v>10</v>
      </c>
      <c r="U60" s="4" t="s">
        <v>265</v>
      </c>
      <c r="V60" s="4" t="s">
        <v>265</v>
      </c>
      <c r="W60" s="4">
        <f t="shared" si="5"/>
        <v>0.55803926380368096</v>
      </c>
      <c r="X60" s="82" t="str">
        <f t="shared" si="6"/>
        <v>480</v>
      </c>
      <c r="Y60" s="83" t="s">
        <v>260</v>
      </c>
      <c r="Z60" s="4">
        <f>W60*X60/E60</f>
        <v>0.44643141104294481</v>
      </c>
      <c r="AA60" s="83" t="s">
        <v>260</v>
      </c>
      <c r="AB60" s="4" t="s">
        <v>15</v>
      </c>
      <c r="AC60" s="4" t="s">
        <v>366</v>
      </c>
      <c r="AD60" s="4" t="s">
        <v>290</v>
      </c>
      <c r="AE60" s="4" t="s">
        <v>291</v>
      </c>
    </row>
    <row r="61" spans="1:31" customFormat="1" ht="43.5" hidden="1" x14ac:dyDescent="0.35">
      <c r="A61" s="83" t="s">
        <v>315</v>
      </c>
      <c r="B61" s="4" t="s">
        <v>387</v>
      </c>
      <c r="C61" s="4" t="s">
        <v>260</v>
      </c>
      <c r="D61" s="4" t="s">
        <v>260</v>
      </c>
      <c r="E61" s="4" t="s">
        <v>343</v>
      </c>
      <c r="F61" s="4" t="s">
        <v>282</v>
      </c>
      <c r="G61" s="4" t="s">
        <v>260</v>
      </c>
      <c r="H61" s="4" t="s">
        <v>321</v>
      </c>
      <c r="I61" s="4" t="s">
        <v>260</v>
      </c>
      <c r="J61" s="4" t="s">
        <v>260</v>
      </c>
      <c r="K61" s="4" t="s">
        <v>15</v>
      </c>
      <c r="L61" s="4" t="s">
        <v>15</v>
      </c>
      <c r="M61" s="4" t="s">
        <v>323</v>
      </c>
      <c r="N61" s="4" t="s">
        <v>260</v>
      </c>
      <c r="O61" s="4" t="s">
        <v>260</v>
      </c>
      <c r="P61" s="4" t="s">
        <v>425</v>
      </c>
      <c r="Q61" s="4" t="s">
        <v>326</v>
      </c>
      <c r="R61" s="4" t="s">
        <v>426</v>
      </c>
      <c r="S61" s="4" t="s">
        <v>239</v>
      </c>
      <c r="T61" s="4" t="s">
        <v>10</v>
      </c>
      <c r="U61" s="4" t="s">
        <v>265</v>
      </c>
      <c r="V61" s="4" t="s">
        <v>265</v>
      </c>
      <c r="W61" s="4">
        <f t="shared" si="5"/>
        <v>0.15770674846625768</v>
      </c>
      <c r="X61" s="82" t="str">
        <f t="shared" si="6"/>
        <v>305</v>
      </c>
      <c r="Y61" s="4" t="s">
        <v>260</v>
      </c>
      <c r="Z61" s="83" t="s">
        <v>260</v>
      </c>
      <c r="AA61" s="4">
        <f>W61*X61/E61</f>
        <v>6.6806330947511941E-2</v>
      </c>
      <c r="AB61" s="4" t="s">
        <v>15</v>
      </c>
      <c r="AC61" s="4" t="s">
        <v>350</v>
      </c>
      <c r="AD61" s="4" t="s">
        <v>390</v>
      </c>
      <c r="AE61" s="4" t="s">
        <v>391</v>
      </c>
    </row>
    <row r="62" spans="1:31" customFormat="1" ht="29" hidden="1" x14ac:dyDescent="0.35">
      <c r="A62" s="83" t="s">
        <v>315</v>
      </c>
      <c r="B62" s="83" t="s">
        <v>138</v>
      </c>
      <c r="C62" s="4" t="s">
        <v>260</v>
      </c>
      <c r="D62" s="4" t="s">
        <v>260</v>
      </c>
      <c r="E62" s="4" t="s">
        <v>260</v>
      </c>
      <c r="F62" s="4" t="s">
        <v>344</v>
      </c>
      <c r="G62" s="4" t="s">
        <v>260</v>
      </c>
      <c r="H62" s="4" t="s">
        <v>260</v>
      </c>
      <c r="I62" s="4" t="s">
        <v>260</v>
      </c>
      <c r="J62" s="4" t="s">
        <v>260</v>
      </c>
      <c r="K62" s="4" t="s">
        <v>15</v>
      </c>
      <c r="L62" s="4" t="s">
        <v>15</v>
      </c>
      <c r="M62" s="4" t="s">
        <v>260</v>
      </c>
      <c r="N62" s="4" t="s">
        <v>260</v>
      </c>
      <c r="O62" s="4" t="s">
        <v>260</v>
      </c>
      <c r="P62" s="4" t="s">
        <v>427</v>
      </c>
      <c r="Q62" s="4" t="s">
        <v>260</v>
      </c>
      <c r="R62" s="4" t="s">
        <v>428</v>
      </c>
      <c r="S62" s="4" t="s">
        <v>239</v>
      </c>
      <c r="T62" s="4" t="s">
        <v>10</v>
      </c>
      <c r="U62" s="4" t="s">
        <v>265</v>
      </c>
      <c r="V62" s="4" t="s">
        <v>265</v>
      </c>
      <c r="W62" s="4">
        <f t="shared" si="5"/>
        <v>0.82492760736196336</v>
      </c>
      <c r="X62" s="82" t="str">
        <f t="shared" si="6"/>
        <v>330</v>
      </c>
      <c r="Y62" s="4">
        <f t="shared" ref="Y62:Y70" si="7">W62*X62/480</f>
        <v>0.56713773006134971</v>
      </c>
      <c r="Z62" s="83" t="s">
        <v>260</v>
      </c>
      <c r="AA62" s="83" t="s">
        <v>260</v>
      </c>
      <c r="AB62" s="4" t="s">
        <v>15</v>
      </c>
      <c r="AC62" s="4" t="s">
        <v>429</v>
      </c>
      <c r="AD62" s="4" t="s">
        <v>430</v>
      </c>
      <c r="AE62" s="4" t="s">
        <v>431</v>
      </c>
    </row>
    <row r="63" spans="1:31" customFormat="1" ht="29" hidden="1" x14ac:dyDescent="0.35">
      <c r="A63" s="83" t="s">
        <v>315</v>
      </c>
      <c r="B63" s="83" t="s">
        <v>138</v>
      </c>
      <c r="C63" s="4" t="s">
        <v>260</v>
      </c>
      <c r="D63" s="4" t="s">
        <v>260</v>
      </c>
      <c r="E63" s="4" t="s">
        <v>260</v>
      </c>
      <c r="F63" s="4" t="s">
        <v>344</v>
      </c>
      <c r="G63" s="4" t="s">
        <v>260</v>
      </c>
      <c r="H63" s="4" t="s">
        <v>260</v>
      </c>
      <c r="I63" s="4" t="s">
        <v>260</v>
      </c>
      <c r="J63" s="4" t="s">
        <v>260</v>
      </c>
      <c r="K63" s="4" t="s">
        <v>15</v>
      </c>
      <c r="L63" s="4" t="s">
        <v>15</v>
      </c>
      <c r="M63" s="4" t="s">
        <v>260</v>
      </c>
      <c r="N63" s="4" t="s">
        <v>260</v>
      </c>
      <c r="O63" s="4" t="s">
        <v>260</v>
      </c>
      <c r="P63" s="4" t="s">
        <v>348</v>
      </c>
      <c r="Q63" s="4" t="s">
        <v>260</v>
      </c>
      <c r="R63" s="4" t="s">
        <v>432</v>
      </c>
      <c r="S63" s="4" t="s">
        <v>239</v>
      </c>
      <c r="T63" s="4" t="s">
        <v>10</v>
      </c>
      <c r="U63" s="4" t="s">
        <v>265</v>
      </c>
      <c r="V63" s="4" t="s">
        <v>265</v>
      </c>
      <c r="W63" s="4">
        <f t="shared" si="5"/>
        <v>0.58230184049079758</v>
      </c>
      <c r="X63" s="82" t="str">
        <f t="shared" si="6"/>
        <v>420</v>
      </c>
      <c r="Y63" s="4">
        <f t="shared" si="7"/>
        <v>0.50951411042944783</v>
      </c>
      <c r="Z63" s="83" t="s">
        <v>260</v>
      </c>
      <c r="AA63" s="83" t="s">
        <v>260</v>
      </c>
      <c r="AB63" s="4" t="s">
        <v>15</v>
      </c>
      <c r="AC63" s="4" t="s">
        <v>429</v>
      </c>
      <c r="AD63" s="4" t="s">
        <v>430</v>
      </c>
      <c r="AE63" s="4" t="s">
        <v>431</v>
      </c>
    </row>
    <row r="64" spans="1:31" customFormat="1" ht="29" hidden="1" x14ac:dyDescent="0.35">
      <c r="A64" s="83" t="s">
        <v>315</v>
      </c>
      <c r="B64" s="83" t="s">
        <v>138</v>
      </c>
      <c r="C64" s="4" t="s">
        <v>260</v>
      </c>
      <c r="D64" s="4" t="s">
        <v>260</v>
      </c>
      <c r="E64" s="4" t="s">
        <v>260</v>
      </c>
      <c r="F64" s="4" t="s">
        <v>344</v>
      </c>
      <c r="G64" s="4" t="s">
        <v>260</v>
      </c>
      <c r="H64" s="4" t="s">
        <v>260</v>
      </c>
      <c r="I64" s="4" t="s">
        <v>260</v>
      </c>
      <c r="J64" s="4" t="s">
        <v>260</v>
      </c>
      <c r="K64" s="4" t="s">
        <v>15</v>
      </c>
      <c r="L64" s="4" t="s">
        <v>15</v>
      </c>
      <c r="M64" s="4" t="s">
        <v>260</v>
      </c>
      <c r="N64" s="4" t="s">
        <v>260</v>
      </c>
      <c r="O64" s="4" t="s">
        <v>260</v>
      </c>
      <c r="P64" s="4" t="s">
        <v>433</v>
      </c>
      <c r="Q64" s="4" t="s">
        <v>260</v>
      </c>
      <c r="R64" s="4" t="s">
        <v>434</v>
      </c>
      <c r="S64" s="4" t="s">
        <v>239</v>
      </c>
      <c r="T64" s="4" t="s">
        <v>10</v>
      </c>
      <c r="U64" s="4" t="s">
        <v>265</v>
      </c>
      <c r="V64" s="4" t="s">
        <v>265</v>
      </c>
      <c r="W64" s="4">
        <f t="shared" si="5"/>
        <v>0.65508957055214734</v>
      </c>
      <c r="X64" s="82" t="str">
        <f t="shared" si="6"/>
        <v>375</v>
      </c>
      <c r="Y64" s="4">
        <f t="shared" si="7"/>
        <v>0.51178872699386513</v>
      </c>
      <c r="Z64" s="83" t="s">
        <v>260</v>
      </c>
      <c r="AA64" s="83" t="s">
        <v>260</v>
      </c>
      <c r="AB64" s="4" t="s">
        <v>15</v>
      </c>
      <c r="AC64" s="4" t="s">
        <v>429</v>
      </c>
      <c r="AD64" s="4" t="s">
        <v>435</v>
      </c>
      <c r="AE64" s="4" t="s">
        <v>431</v>
      </c>
    </row>
    <row r="65" spans="1:31" customFormat="1" ht="29" hidden="1" x14ac:dyDescent="0.35">
      <c r="A65" s="83" t="s">
        <v>315</v>
      </c>
      <c r="B65" s="83" t="s">
        <v>138</v>
      </c>
      <c r="C65" s="4" t="s">
        <v>260</v>
      </c>
      <c r="D65" s="4" t="s">
        <v>260</v>
      </c>
      <c r="E65" s="4" t="s">
        <v>260</v>
      </c>
      <c r="F65" s="4" t="s">
        <v>344</v>
      </c>
      <c r="G65" s="4" t="s">
        <v>260</v>
      </c>
      <c r="H65" s="4" t="s">
        <v>260</v>
      </c>
      <c r="I65" s="4" t="s">
        <v>260</v>
      </c>
      <c r="J65" s="4" t="s">
        <v>260</v>
      </c>
      <c r="K65" s="4" t="s">
        <v>15</v>
      </c>
      <c r="L65" s="4" t="s">
        <v>15</v>
      </c>
      <c r="M65" s="4" t="s">
        <v>260</v>
      </c>
      <c r="N65" s="4" t="s">
        <v>260</v>
      </c>
      <c r="O65" s="4" t="s">
        <v>260</v>
      </c>
      <c r="P65" s="4" t="s">
        <v>436</v>
      </c>
      <c r="Q65" s="4" t="s">
        <v>260</v>
      </c>
      <c r="R65" s="4" t="s">
        <v>262</v>
      </c>
      <c r="S65" s="4" t="s">
        <v>239</v>
      </c>
      <c r="T65" s="4" t="s">
        <v>10</v>
      </c>
      <c r="U65" s="4" t="s">
        <v>265</v>
      </c>
      <c r="V65" s="4" t="s">
        <v>265</v>
      </c>
      <c r="W65" s="4">
        <f t="shared" si="5"/>
        <v>0.43672638036809819</v>
      </c>
      <c r="X65" s="82" t="str">
        <f t="shared" si="6"/>
        <v>480</v>
      </c>
      <c r="Y65" s="4">
        <f t="shared" si="7"/>
        <v>0.43672638036809819</v>
      </c>
      <c r="Z65" s="83" t="s">
        <v>260</v>
      </c>
      <c r="AA65" s="83" t="s">
        <v>260</v>
      </c>
      <c r="AB65" s="4" t="s">
        <v>15</v>
      </c>
      <c r="AC65" s="4" t="s">
        <v>429</v>
      </c>
      <c r="AD65" s="4" t="s">
        <v>435</v>
      </c>
      <c r="AE65" s="4" t="s">
        <v>431</v>
      </c>
    </row>
    <row r="66" spans="1:31" customFormat="1" ht="29" hidden="1" x14ac:dyDescent="0.35">
      <c r="A66" s="83" t="s">
        <v>315</v>
      </c>
      <c r="B66" s="83" t="s">
        <v>138</v>
      </c>
      <c r="C66" s="4" t="s">
        <v>260</v>
      </c>
      <c r="D66" s="4" t="s">
        <v>260</v>
      </c>
      <c r="E66" s="4" t="s">
        <v>260</v>
      </c>
      <c r="F66" s="4" t="s">
        <v>344</v>
      </c>
      <c r="G66" s="4" t="s">
        <v>260</v>
      </c>
      <c r="H66" s="4" t="s">
        <v>260</v>
      </c>
      <c r="I66" s="4" t="s">
        <v>260</v>
      </c>
      <c r="J66" s="4" t="s">
        <v>260</v>
      </c>
      <c r="K66" s="4" t="s">
        <v>15</v>
      </c>
      <c r="L66" s="4" t="s">
        <v>15</v>
      </c>
      <c r="M66" s="4" t="s">
        <v>260</v>
      </c>
      <c r="N66" s="4" t="s">
        <v>260</v>
      </c>
      <c r="O66" s="4" t="s">
        <v>260</v>
      </c>
      <c r="P66" s="4" t="s">
        <v>437</v>
      </c>
      <c r="Q66" s="4" t="s">
        <v>260</v>
      </c>
      <c r="R66" s="4" t="s">
        <v>438</v>
      </c>
      <c r="S66" s="4" t="s">
        <v>239</v>
      </c>
      <c r="T66" s="4" t="s">
        <v>10</v>
      </c>
      <c r="U66" s="4" t="s">
        <v>265</v>
      </c>
      <c r="V66" s="4" t="s">
        <v>265</v>
      </c>
      <c r="W66" s="4">
        <f t="shared" si="5"/>
        <v>0.49738282208588963</v>
      </c>
      <c r="X66" s="82" t="str">
        <f t="shared" si="6"/>
        <v>475</v>
      </c>
      <c r="Y66" s="4">
        <f t="shared" si="7"/>
        <v>0.49220175102249492</v>
      </c>
      <c r="Z66" s="83" t="s">
        <v>260</v>
      </c>
      <c r="AA66" s="83" t="s">
        <v>260</v>
      </c>
      <c r="AB66" s="4" t="s">
        <v>15</v>
      </c>
      <c r="AC66" s="4" t="s">
        <v>429</v>
      </c>
      <c r="AD66" s="4" t="s">
        <v>430</v>
      </c>
      <c r="AE66" s="4" t="s">
        <v>431</v>
      </c>
    </row>
    <row r="67" spans="1:31" customFormat="1" ht="29" hidden="1" x14ac:dyDescent="0.35">
      <c r="A67" s="83" t="s">
        <v>315</v>
      </c>
      <c r="B67" s="83" t="s">
        <v>138</v>
      </c>
      <c r="C67" s="4" t="s">
        <v>260</v>
      </c>
      <c r="D67" s="4" t="s">
        <v>260</v>
      </c>
      <c r="E67" s="4" t="s">
        <v>260</v>
      </c>
      <c r="F67" s="4" t="s">
        <v>344</v>
      </c>
      <c r="G67" s="4" t="s">
        <v>260</v>
      </c>
      <c r="H67" s="4" t="s">
        <v>260</v>
      </c>
      <c r="I67" s="4" t="s">
        <v>260</v>
      </c>
      <c r="J67" s="4" t="s">
        <v>260</v>
      </c>
      <c r="K67" s="4" t="s">
        <v>15</v>
      </c>
      <c r="L67" s="4" t="s">
        <v>15</v>
      </c>
      <c r="M67" s="4" t="s">
        <v>260</v>
      </c>
      <c r="N67" s="4" t="s">
        <v>260</v>
      </c>
      <c r="O67" s="4" t="s">
        <v>260</v>
      </c>
      <c r="P67" s="4" t="s">
        <v>439</v>
      </c>
      <c r="Q67" s="4" t="s">
        <v>260</v>
      </c>
      <c r="R67" s="4" t="s">
        <v>262</v>
      </c>
      <c r="S67" s="4" t="s">
        <v>239</v>
      </c>
      <c r="T67" s="4" t="s">
        <v>10</v>
      </c>
      <c r="U67" s="4" t="s">
        <v>265</v>
      </c>
      <c r="V67" s="4" t="s">
        <v>265</v>
      </c>
      <c r="W67" s="4">
        <f t="shared" si="5"/>
        <v>0.46098895705521475</v>
      </c>
      <c r="X67" s="82" t="str">
        <f t="shared" si="6"/>
        <v>480</v>
      </c>
      <c r="Y67" s="4">
        <f t="shared" si="7"/>
        <v>0.46098895705521475</v>
      </c>
      <c r="Z67" s="83" t="s">
        <v>260</v>
      </c>
      <c r="AA67" s="83" t="s">
        <v>260</v>
      </c>
      <c r="AB67" s="4" t="s">
        <v>15</v>
      </c>
      <c r="AC67" s="4" t="s">
        <v>429</v>
      </c>
      <c r="AD67" s="4" t="s">
        <v>435</v>
      </c>
      <c r="AE67" s="4" t="s">
        <v>431</v>
      </c>
    </row>
    <row r="68" spans="1:31" customFormat="1" ht="29" hidden="1" x14ac:dyDescent="0.35">
      <c r="A68" s="83" t="s">
        <v>315</v>
      </c>
      <c r="B68" s="83" t="s">
        <v>138</v>
      </c>
      <c r="C68" s="4" t="s">
        <v>260</v>
      </c>
      <c r="D68" s="4" t="s">
        <v>260</v>
      </c>
      <c r="E68" s="4" t="s">
        <v>260</v>
      </c>
      <c r="F68" s="4" t="s">
        <v>344</v>
      </c>
      <c r="G68" s="4" t="s">
        <v>260</v>
      </c>
      <c r="H68" s="4" t="s">
        <v>260</v>
      </c>
      <c r="I68" s="4" t="s">
        <v>260</v>
      </c>
      <c r="J68" s="4" t="s">
        <v>260</v>
      </c>
      <c r="K68" s="4" t="s">
        <v>15</v>
      </c>
      <c r="L68" s="4" t="s">
        <v>15</v>
      </c>
      <c r="M68" s="4" t="s">
        <v>260</v>
      </c>
      <c r="N68" s="4" t="s">
        <v>260</v>
      </c>
      <c r="O68" s="4" t="s">
        <v>260</v>
      </c>
      <c r="P68" s="4" t="s">
        <v>348</v>
      </c>
      <c r="Q68" s="4" t="s">
        <v>260</v>
      </c>
      <c r="R68" s="4" t="s">
        <v>432</v>
      </c>
      <c r="S68" s="4" t="s">
        <v>239</v>
      </c>
      <c r="T68" s="4" t="s">
        <v>10</v>
      </c>
      <c r="U68" s="4" t="s">
        <v>265</v>
      </c>
      <c r="V68" s="4" t="s">
        <v>265</v>
      </c>
      <c r="W68" s="4">
        <f t="shared" si="5"/>
        <v>0.58230184049079758</v>
      </c>
      <c r="X68" s="82" t="str">
        <f t="shared" si="6"/>
        <v>420</v>
      </c>
      <c r="Y68" s="4">
        <f t="shared" si="7"/>
        <v>0.50951411042944783</v>
      </c>
      <c r="Z68" s="83" t="s">
        <v>260</v>
      </c>
      <c r="AA68" s="83" t="s">
        <v>260</v>
      </c>
      <c r="AB68" s="4" t="s">
        <v>15</v>
      </c>
      <c r="AC68" s="4" t="s">
        <v>429</v>
      </c>
      <c r="AD68" s="4" t="s">
        <v>430</v>
      </c>
      <c r="AE68" s="4" t="s">
        <v>431</v>
      </c>
    </row>
    <row r="69" spans="1:31" customFormat="1" ht="29" hidden="1" x14ac:dyDescent="0.35">
      <c r="A69" s="83" t="s">
        <v>315</v>
      </c>
      <c r="B69" s="83" t="s">
        <v>138</v>
      </c>
      <c r="C69" s="4" t="s">
        <v>260</v>
      </c>
      <c r="D69" s="4" t="s">
        <v>260</v>
      </c>
      <c r="E69" s="4" t="s">
        <v>260</v>
      </c>
      <c r="F69" s="4" t="s">
        <v>344</v>
      </c>
      <c r="G69" s="4" t="s">
        <v>260</v>
      </c>
      <c r="H69" s="4" t="s">
        <v>260</v>
      </c>
      <c r="I69" s="4" t="s">
        <v>260</v>
      </c>
      <c r="J69" s="4" t="s">
        <v>260</v>
      </c>
      <c r="K69" s="4" t="s">
        <v>15</v>
      </c>
      <c r="L69" s="4" t="s">
        <v>15</v>
      </c>
      <c r="M69" s="4" t="s">
        <v>260</v>
      </c>
      <c r="N69" s="4" t="s">
        <v>260</v>
      </c>
      <c r="O69" s="4" t="s">
        <v>260</v>
      </c>
      <c r="P69" s="4" t="s">
        <v>440</v>
      </c>
      <c r="Q69" s="4" t="s">
        <v>260</v>
      </c>
      <c r="R69" s="4" t="s">
        <v>262</v>
      </c>
      <c r="S69" s="4" t="s">
        <v>239</v>
      </c>
      <c r="T69" s="4" t="s">
        <v>10</v>
      </c>
      <c r="U69" s="4" t="s">
        <v>265</v>
      </c>
      <c r="V69" s="4" t="s">
        <v>265</v>
      </c>
      <c r="W69" s="4">
        <f t="shared" si="5"/>
        <v>0.42459509202453993</v>
      </c>
      <c r="X69" s="82" t="str">
        <f t="shared" si="6"/>
        <v>480</v>
      </c>
      <c r="Y69" s="4">
        <f t="shared" si="7"/>
        <v>0.42459509202453993</v>
      </c>
      <c r="Z69" s="83" t="s">
        <v>260</v>
      </c>
      <c r="AA69" s="83" t="s">
        <v>260</v>
      </c>
      <c r="AB69" s="4" t="s">
        <v>15</v>
      </c>
      <c r="AC69" s="4" t="s">
        <v>429</v>
      </c>
      <c r="AD69" s="4" t="s">
        <v>435</v>
      </c>
      <c r="AE69" s="4" t="s">
        <v>431</v>
      </c>
    </row>
    <row r="70" spans="1:31" customFormat="1" ht="43.5" hidden="1" x14ac:dyDescent="0.35">
      <c r="A70" s="83" t="s">
        <v>416</v>
      </c>
      <c r="B70" s="83" t="s">
        <v>417</v>
      </c>
      <c r="C70" s="83" t="s">
        <v>260</v>
      </c>
      <c r="D70" s="83" t="s">
        <v>260</v>
      </c>
      <c r="E70" s="83" t="s">
        <v>260</v>
      </c>
      <c r="F70" s="83" t="s">
        <v>441</v>
      </c>
      <c r="G70" s="4" t="s">
        <v>260</v>
      </c>
      <c r="H70" s="4" t="s">
        <v>260</v>
      </c>
      <c r="I70" s="83" t="s">
        <v>442</v>
      </c>
      <c r="J70" s="4" t="s">
        <v>260</v>
      </c>
      <c r="K70" s="83" t="s">
        <v>15</v>
      </c>
      <c r="L70" s="83" t="s">
        <v>15</v>
      </c>
      <c r="M70" s="83" t="s">
        <v>346</v>
      </c>
      <c r="N70" s="83" t="s">
        <v>260</v>
      </c>
      <c r="O70" s="83" t="s">
        <v>260</v>
      </c>
      <c r="P70" s="83" t="s">
        <v>443</v>
      </c>
      <c r="Q70" s="83" t="s">
        <v>410</v>
      </c>
      <c r="R70" s="83" t="s">
        <v>260</v>
      </c>
      <c r="S70" s="4" t="s">
        <v>241</v>
      </c>
      <c r="T70" s="4" t="s">
        <v>10</v>
      </c>
      <c r="U70" s="4" t="s">
        <v>265</v>
      </c>
      <c r="V70" s="4" t="s">
        <v>265</v>
      </c>
      <c r="W70" s="4">
        <f t="shared" si="5"/>
        <v>46.705460122699385</v>
      </c>
      <c r="X70" s="82">
        <v>480</v>
      </c>
      <c r="Y70" s="4">
        <f t="shared" si="7"/>
        <v>46.705460122699385</v>
      </c>
      <c r="Z70" s="83" t="s">
        <v>260</v>
      </c>
      <c r="AA70" s="83" t="s">
        <v>260</v>
      </c>
      <c r="AB70" s="4" t="s">
        <v>15</v>
      </c>
      <c r="AC70" s="4" t="s">
        <v>444</v>
      </c>
      <c r="AD70" s="83" t="s">
        <v>445</v>
      </c>
      <c r="AE70" s="83" t="s">
        <v>446</v>
      </c>
    </row>
    <row r="71" spans="1:31" customFormat="1" ht="43.5" hidden="1" x14ac:dyDescent="0.35">
      <c r="A71" s="83" t="s">
        <v>447</v>
      </c>
      <c r="B71" s="83" t="s">
        <v>448</v>
      </c>
      <c r="C71" s="83" t="s">
        <v>449</v>
      </c>
      <c r="D71" s="83" t="s">
        <v>450</v>
      </c>
      <c r="E71" s="83" t="s">
        <v>262</v>
      </c>
      <c r="F71" s="4" t="s">
        <v>451</v>
      </c>
      <c r="G71" s="4" t="s">
        <v>260</v>
      </c>
      <c r="H71" s="4" t="s">
        <v>260</v>
      </c>
      <c r="I71" s="83" t="s">
        <v>452</v>
      </c>
      <c r="J71" s="4" t="s">
        <v>260</v>
      </c>
      <c r="K71" s="83" t="s">
        <v>15</v>
      </c>
      <c r="L71" s="83" t="s">
        <v>10</v>
      </c>
      <c r="M71" s="83" t="s">
        <v>285</v>
      </c>
      <c r="N71" s="83" t="s">
        <v>453</v>
      </c>
      <c r="O71" s="83" t="s">
        <v>260</v>
      </c>
      <c r="P71" s="83" t="s">
        <v>454</v>
      </c>
      <c r="Q71" s="83" t="s">
        <v>455</v>
      </c>
      <c r="R71" s="83" t="s">
        <v>456</v>
      </c>
      <c r="S71" s="4" t="s">
        <v>241</v>
      </c>
      <c r="T71" s="4" t="s">
        <v>10</v>
      </c>
      <c r="U71" s="4" t="s">
        <v>265</v>
      </c>
      <c r="V71" s="4" t="s">
        <v>265</v>
      </c>
      <c r="W71" s="4">
        <f t="shared" si="5"/>
        <v>12.131288343558284</v>
      </c>
      <c r="X71" s="82" t="str">
        <f>R71</f>
        <v>484</v>
      </c>
      <c r="Y71" s="4">
        <f>W71*X71/E71</f>
        <v>12.232382413087937</v>
      </c>
      <c r="Z71" s="83" t="s">
        <v>260</v>
      </c>
      <c r="AA71" s="83" t="s">
        <v>260</v>
      </c>
      <c r="AB71" s="4" t="s">
        <v>457</v>
      </c>
      <c r="AC71" s="4" t="s">
        <v>273</v>
      </c>
      <c r="AD71" s="83" t="s">
        <v>458</v>
      </c>
      <c r="AE71" s="83" t="s">
        <v>459</v>
      </c>
    </row>
    <row r="72" spans="1:31" customFormat="1" ht="58" hidden="1" x14ac:dyDescent="0.35">
      <c r="A72" s="83" t="s">
        <v>315</v>
      </c>
      <c r="B72" s="83" t="s">
        <v>138</v>
      </c>
      <c r="C72" s="83" t="s">
        <v>260</v>
      </c>
      <c r="D72" s="83" t="s">
        <v>260</v>
      </c>
      <c r="E72" s="83" t="s">
        <v>260</v>
      </c>
      <c r="F72" s="83" t="s">
        <v>460</v>
      </c>
      <c r="G72" s="4" t="s">
        <v>260</v>
      </c>
      <c r="H72" s="4" t="s">
        <v>260</v>
      </c>
      <c r="I72" s="83" t="s">
        <v>461</v>
      </c>
      <c r="J72" s="4" t="s">
        <v>260</v>
      </c>
      <c r="K72" s="83" t="s">
        <v>15</v>
      </c>
      <c r="L72" s="83" t="s">
        <v>15</v>
      </c>
      <c r="M72" s="83" t="s">
        <v>346</v>
      </c>
      <c r="N72" s="83" t="s">
        <v>462</v>
      </c>
      <c r="O72" s="83" t="s">
        <v>463</v>
      </c>
      <c r="P72" s="83" t="s">
        <v>452</v>
      </c>
      <c r="Q72" s="83" t="s">
        <v>410</v>
      </c>
      <c r="R72" s="83" t="s">
        <v>260</v>
      </c>
      <c r="S72" s="4" t="s">
        <v>241</v>
      </c>
      <c r="T72" s="4" t="s">
        <v>10</v>
      </c>
      <c r="U72" s="4" t="s">
        <v>265</v>
      </c>
      <c r="V72" s="4" t="s">
        <v>265</v>
      </c>
      <c r="W72" s="4">
        <f>(RIGHT(P72, LEN(P72) - 1))*MW/24.45</f>
        <v>12.131288343558284</v>
      </c>
      <c r="X72" s="83" t="s">
        <v>260</v>
      </c>
      <c r="Y72" s="83" t="s">
        <v>260</v>
      </c>
      <c r="Z72" s="83" t="s">
        <v>260</v>
      </c>
      <c r="AA72" s="83" t="s">
        <v>260</v>
      </c>
      <c r="AB72" s="4" t="s">
        <v>464</v>
      </c>
      <c r="AC72" s="4" t="s">
        <v>465</v>
      </c>
      <c r="AD72" s="83" t="s">
        <v>445</v>
      </c>
      <c r="AE72" s="83" t="s">
        <v>446</v>
      </c>
    </row>
    <row r="73" spans="1:31" customFormat="1" ht="58" hidden="1" x14ac:dyDescent="0.35">
      <c r="A73" s="83" t="s">
        <v>315</v>
      </c>
      <c r="B73" s="83" t="s">
        <v>138</v>
      </c>
      <c r="C73" s="83" t="s">
        <v>260</v>
      </c>
      <c r="D73" s="83" t="s">
        <v>260</v>
      </c>
      <c r="E73" s="83" t="s">
        <v>260</v>
      </c>
      <c r="F73" s="83" t="s">
        <v>460</v>
      </c>
      <c r="G73" s="4" t="s">
        <v>260</v>
      </c>
      <c r="H73" s="4" t="s">
        <v>260</v>
      </c>
      <c r="I73" s="83" t="s">
        <v>461</v>
      </c>
      <c r="J73" s="4" t="s">
        <v>260</v>
      </c>
      <c r="K73" s="83" t="s">
        <v>15</v>
      </c>
      <c r="L73" s="83" t="s">
        <v>15</v>
      </c>
      <c r="M73" s="83" t="s">
        <v>346</v>
      </c>
      <c r="N73" s="83" t="s">
        <v>466</v>
      </c>
      <c r="O73" s="83" t="s">
        <v>260</v>
      </c>
      <c r="P73" s="83" t="s">
        <v>467</v>
      </c>
      <c r="Q73" s="83" t="s">
        <v>410</v>
      </c>
      <c r="R73" s="83" t="s">
        <v>260</v>
      </c>
      <c r="S73" s="4" t="s">
        <v>241</v>
      </c>
      <c r="T73" s="4" t="s">
        <v>10</v>
      </c>
      <c r="U73" s="4" t="s">
        <v>265</v>
      </c>
      <c r="V73" s="4" t="s">
        <v>265</v>
      </c>
      <c r="W73" s="4">
        <f>P73*MW/24.45</f>
        <v>557335.64907975472</v>
      </c>
      <c r="X73" s="83" t="s">
        <v>260</v>
      </c>
      <c r="Y73" s="83" t="s">
        <v>260</v>
      </c>
      <c r="Z73" s="83" t="s">
        <v>260</v>
      </c>
      <c r="AA73" s="83" t="s">
        <v>260</v>
      </c>
      <c r="AB73" s="4" t="s">
        <v>464</v>
      </c>
      <c r="AC73" s="4" t="s">
        <v>465</v>
      </c>
      <c r="AD73" s="83" t="s">
        <v>445</v>
      </c>
      <c r="AE73" s="83" t="s">
        <v>446</v>
      </c>
    </row>
    <row r="74" spans="1:31" s="102" customFormat="1" ht="42" x14ac:dyDescent="0.35">
      <c r="A74" s="109" t="s">
        <v>315</v>
      </c>
      <c r="B74" s="109" t="s">
        <v>740</v>
      </c>
      <c r="C74" s="109" t="s">
        <v>449</v>
      </c>
      <c r="D74" s="109" t="s">
        <v>450</v>
      </c>
      <c r="E74" s="109" t="s">
        <v>262</v>
      </c>
      <c r="F74" s="102" t="s">
        <v>832</v>
      </c>
      <c r="G74" s="131" t="s">
        <v>260</v>
      </c>
      <c r="H74" s="131" t="s">
        <v>260</v>
      </c>
      <c r="I74" s="109" t="s">
        <v>452</v>
      </c>
      <c r="J74" s="131" t="s">
        <v>260</v>
      </c>
      <c r="K74" s="109" t="s">
        <v>15</v>
      </c>
      <c r="L74" s="109" t="s">
        <v>10</v>
      </c>
      <c r="M74" s="109" t="s">
        <v>285</v>
      </c>
      <c r="N74" s="128" t="s">
        <v>453</v>
      </c>
      <c r="O74" s="102" t="s">
        <v>468</v>
      </c>
      <c r="P74" s="109" t="s">
        <v>469</v>
      </c>
      <c r="Q74" s="109" t="s">
        <v>455</v>
      </c>
      <c r="R74" s="109" t="s">
        <v>470</v>
      </c>
      <c r="S74" s="131" t="s">
        <v>241</v>
      </c>
      <c r="T74" s="131" t="s">
        <v>10</v>
      </c>
      <c r="U74" s="131" t="s">
        <v>834</v>
      </c>
      <c r="V74" s="131" t="s">
        <v>834</v>
      </c>
      <c r="W74" s="131">
        <f>(RIGHT(P74, LEN(P74) - 1))*MW/24.45</f>
        <v>0.53377668711656434</v>
      </c>
      <c r="X74" s="131" t="str">
        <f>R74</f>
        <v>503</v>
      </c>
      <c r="Y74" s="131">
        <f>W74*X74/E74</f>
        <v>0.55935348670756635</v>
      </c>
      <c r="Z74" s="109" t="s">
        <v>260</v>
      </c>
      <c r="AA74" s="109" t="s">
        <v>260</v>
      </c>
      <c r="AB74" s="131" t="s">
        <v>15</v>
      </c>
      <c r="AC74" s="128" t="s">
        <v>273</v>
      </c>
      <c r="AD74" s="109" t="s">
        <v>458</v>
      </c>
      <c r="AE74" s="132" t="s">
        <v>837</v>
      </c>
    </row>
    <row r="75" spans="1:31" customFormat="1" ht="58" hidden="1" x14ac:dyDescent="0.35">
      <c r="A75" s="83" t="s">
        <v>315</v>
      </c>
      <c r="B75" s="83" t="s">
        <v>138</v>
      </c>
      <c r="C75" s="83" t="s">
        <v>260</v>
      </c>
      <c r="D75" s="83" t="s">
        <v>260</v>
      </c>
      <c r="E75" s="83" t="s">
        <v>260</v>
      </c>
      <c r="F75" s="83" t="s">
        <v>460</v>
      </c>
      <c r="G75" s="4" t="s">
        <v>260</v>
      </c>
      <c r="H75" s="4" t="s">
        <v>260</v>
      </c>
      <c r="I75" s="83" t="s">
        <v>461</v>
      </c>
      <c r="J75" s="4" t="s">
        <v>260</v>
      </c>
      <c r="K75" s="83" t="s">
        <v>15</v>
      </c>
      <c r="L75" s="83" t="s">
        <v>15</v>
      </c>
      <c r="M75" s="83" t="s">
        <v>346</v>
      </c>
      <c r="N75" s="83" t="s">
        <v>466</v>
      </c>
      <c r="O75" s="83" t="s">
        <v>324</v>
      </c>
      <c r="P75" s="83" t="s">
        <v>471</v>
      </c>
      <c r="Q75" s="83" t="s">
        <v>410</v>
      </c>
      <c r="R75" s="83" t="s">
        <v>260</v>
      </c>
      <c r="S75" s="4" t="s">
        <v>241</v>
      </c>
      <c r="T75" s="4" t="s">
        <v>10</v>
      </c>
      <c r="U75" s="4" t="s">
        <v>265</v>
      </c>
      <c r="V75" s="4" t="s">
        <v>265</v>
      </c>
      <c r="W75" s="4">
        <f>P75*MW/24.45</f>
        <v>169.83803680981595</v>
      </c>
      <c r="X75" s="83" t="s">
        <v>260</v>
      </c>
      <c r="Y75" s="83" t="s">
        <v>260</v>
      </c>
      <c r="Z75" s="83" t="s">
        <v>260</v>
      </c>
      <c r="AA75" s="83" t="s">
        <v>260</v>
      </c>
      <c r="AB75" s="4" t="s">
        <v>464</v>
      </c>
      <c r="AC75" s="4" t="s">
        <v>465</v>
      </c>
      <c r="AD75" s="83" t="s">
        <v>445</v>
      </c>
      <c r="AE75" s="83" t="s">
        <v>446</v>
      </c>
    </row>
    <row r="76" spans="1:31" customFormat="1" ht="43.5" hidden="1" x14ac:dyDescent="0.35">
      <c r="A76" s="83" t="s">
        <v>416</v>
      </c>
      <c r="B76" s="83" t="s">
        <v>417</v>
      </c>
      <c r="C76" s="83" t="s">
        <v>260</v>
      </c>
      <c r="D76" s="83" t="s">
        <v>260</v>
      </c>
      <c r="E76" s="83" t="s">
        <v>260</v>
      </c>
      <c r="F76" s="83" t="s">
        <v>441</v>
      </c>
      <c r="G76" s="4" t="s">
        <v>260</v>
      </c>
      <c r="H76" s="4" t="s">
        <v>260</v>
      </c>
      <c r="I76" s="83" t="s">
        <v>472</v>
      </c>
      <c r="J76" s="4" t="s">
        <v>260</v>
      </c>
      <c r="K76" s="83" t="s">
        <v>15</v>
      </c>
      <c r="L76" s="83" t="s">
        <v>15</v>
      </c>
      <c r="M76" s="83" t="s">
        <v>346</v>
      </c>
      <c r="N76" s="83" t="s">
        <v>260</v>
      </c>
      <c r="O76" s="83" t="s">
        <v>260</v>
      </c>
      <c r="P76" s="83" t="s">
        <v>473</v>
      </c>
      <c r="Q76" s="83" t="s">
        <v>410</v>
      </c>
      <c r="R76" s="83" t="s">
        <v>260</v>
      </c>
      <c r="S76" s="4" t="s">
        <v>241</v>
      </c>
      <c r="T76" s="4" t="s">
        <v>15</v>
      </c>
      <c r="U76" s="4">
        <v>0.04</v>
      </c>
      <c r="V76" s="4">
        <f>U76/2</f>
        <v>0.02</v>
      </c>
      <c r="W76" s="4">
        <f>V76*MW/24.45</f>
        <v>0.24262576687116569</v>
      </c>
      <c r="X76" s="82">
        <v>480</v>
      </c>
      <c r="Y76" s="4">
        <f>W76*X76/480</f>
        <v>0.24262576687116569</v>
      </c>
      <c r="Z76" s="83" t="s">
        <v>260</v>
      </c>
      <c r="AA76" s="83" t="s">
        <v>260</v>
      </c>
      <c r="AB76" s="4" t="s">
        <v>15</v>
      </c>
      <c r="AC76" s="4" t="s">
        <v>444</v>
      </c>
      <c r="AD76" s="83" t="s">
        <v>445</v>
      </c>
      <c r="AE76" s="83" t="s">
        <v>446</v>
      </c>
    </row>
    <row r="77" spans="1:31" customFormat="1" ht="58" hidden="1" x14ac:dyDescent="0.35">
      <c r="A77" s="83" t="s">
        <v>315</v>
      </c>
      <c r="B77" s="83" t="s">
        <v>138</v>
      </c>
      <c r="C77" s="83" t="s">
        <v>260</v>
      </c>
      <c r="D77" s="83" t="s">
        <v>260</v>
      </c>
      <c r="E77" s="83" t="s">
        <v>260</v>
      </c>
      <c r="F77" s="83" t="s">
        <v>474</v>
      </c>
      <c r="G77" s="4" t="s">
        <v>260</v>
      </c>
      <c r="H77" s="4" t="s">
        <v>260</v>
      </c>
      <c r="I77" s="83" t="s">
        <v>475</v>
      </c>
      <c r="J77" s="4" t="s">
        <v>260</v>
      </c>
      <c r="K77" s="83" t="s">
        <v>15</v>
      </c>
      <c r="L77" s="83" t="s">
        <v>15</v>
      </c>
      <c r="M77" s="83" t="s">
        <v>346</v>
      </c>
      <c r="N77" s="83" t="s">
        <v>374</v>
      </c>
      <c r="O77" s="83" t="s">
        <v>260</v>
      </c>
      <c r="P77" s="83" t="s">
        <v>452</v>
      </c>
      <c r="Q77" s="83" t="s">
        <v>410</v>
      </c>
      <c r="R77" s="83" t="s">
        <v>260</v>
      </c>
      <c r="S77" s="4" t="s">
        <v>241</v>
      </c>
      <c r="T77" s="4" t="s">
        <v>10</v>
      </c>
      <c r="U77" s="4" t="s">
        <v>265</v>
      </c>
      <c r="V77" s="4" t="s">
        <v>265</v>
      </c>
      <c r="W77" s="4">
        <f>(RIGHT(P77, LEN(P77) - 1))*MW/24.45</f>
        <v>12.131288343558284</v>
      </c>
      <c r="X77" s="83" t="s">
        <v>260</v>
      </c>
      <c r="Y77" s="83" t="s">
        <v>260</v>
      </c>
      <c r="Z77" s="83" t="s">
        <v>260</v>
      </c>
      <c r="AA77" s="83" t="s">
        <v>260</v>
      </c>
      <c r="AB77" s="4" t="s">
        <v>464</v>
      </c>
      <c r="AC77" s="4" t="s">
        <v>465</v>
      </c>
      <c r="AD77" s="83" t="s">
        <v>445</v>
      </c>
      <c r="AE77" s="83" t="s">
        <v>446</v>
      </c>
    </row>
    <row r="78" spans="1:31" customFormat="1" ht="87" hidden="1" x14ac:dyDescent="0.35">
      <c r="A78" s="83" t="s">
        <v>315</v>
      </c>
      <c r="B78" s="83" t="s">
        <v>138</v>
      </c>
      <c r="C78" s="83" t="s">
        <v>260</v>
      </c>
      <c r="D78" s="83" t="s">
        <v>260</v>
      </c>
      <c r="E78" s="83" t="s">
        <v>260</v>
      </c>
      <c r="F78" s="83" t="s">
        <v>345</v>
      </c>
      <c r="G78" s="4" t="s">
        <v>260</v>
      </c>
      <c r="H78" s="4" t="s">
        <v>260</v>
      </c>
      <c r="I78" s="83" t="s">
        <v>476</v>
      </c>
      <c r="J78" s="4" t="s">
        <v>260</v>
      </c>
      <c r="K78" s="83" t="s">
        <v>15</v>
      </c>
      <c r="L78" s="83" t="s">
        <v>15</v>
      </c>
      <c r="M78" s="83" t="s">
        <v>346</v>
      </c>
      <c r="N78" s="83" t="s">
        <v>260</v>
      </c>
      <c r="O78" s="83" t="s">
        <v>260</v>
      </c>
      <c r="P78" s="83" t="s">
        <v>477</v>
      </c>
      <c r="Q78" s="83" t="s">
        <v>410</v>
      </c>
      <c r="R78" s="83" t="s">
        <v>478</v>
      </c>
      <c r="S78" s="4" t="s">
        <v>241</v>
      </c>
      <c r="T78" s="4" t="s">
        <v>10</v>
      </c>
      <c r="U78" s="4" t="s">
        <v>265</v>
      </c>
      <c r="V78" s="4" t="s">
        <v>265</v>
      </c>
      <c r="W78" s="4">
        <f>P78*MW/24.45</f>
        <v>9.3410920245398774</v>
      </c>
      <c r="X78" s="82">
        <v>60</v>
      </c>
      <c r="Y78" s="4">
        <f>W78*X78/480</f>
        <v>1.1676365030674847</v>
      </c>
      <c r="Z78" s="83" t="s">
        <v>260</v>
      </c>
      <c r="AA78" s="83" t="s">
        <v>260</v>
      </c>
      <c r="AB78" s="4" t="s">
        <v>15</v>
      </c>
      <c r="AC78" s="4" t="s">
        <v>479</v>
      </c>
      <c r="AD78" s="83" t="s">
        <v>445</v>
      </c>
      <c r="AE78" s="83" t="s">
        <v>446</v>
      </c>
    </row>
    <row r="79" spans="1:31" s="102" customFormat="1" ht="42" x14ac:dyDescent="0.35">
      <c r="A79" s="109" t="s">
        <v>315</v>
      </c>
      <c r="B79" s="109" t="s">
        <v>740</v>
      </c>
      <c r="C79" s="109" t="s">
        <v>449</v>
      </c>
      <c r="D79" s="109" t="s">
        <v>450</v>
      </c>
      <c r="E79" s="109" t="s">
        <v>262</v>
      </c>
      <c r="F79" s="102" t="s">
        <v>832</v>
      </c>
      <c r="G79" s="131" t="s">
        <v>260</v>
      </c>
      <c r="H79" s="131" t="s">
        <v>260</v>
      </c>
      <c r="I79" s="109" t="s">
        <v>452</v>
      </c>
      <c r="J79" s="131" t="s">
        <v>260</v>
      </c>
      <c r="K79" s="109" t="s">
        <v>15</v>
      </c>
      <c r="L79" s="109" t="s">
        <v>10</v>
      </c>
      <c r="M79" s="109" t="s">
        <v>285</v>
      </c>
      <c r="N79" s="128" t="s">
        <v>453</v>
      </c>
      <c r="O79" s="102" t="s">
        <v>468</v>
      </c>
      <c r="P79" s="109" t="s">
        <v>469</v>
      </c>
      <c r="Q79" s="109" t="s">
        <v>455</v>
      </c>
      <c r="R79" s="109" t="s">
        <v>480</v>
      </c>
      <c r="S79" s="131" t="s">
        <v>241</v>
      </c>
      <c r="T79" s="131" t="s">
        <v>10</v>
      </c>
      <c r="U79" s="131" t="s">
        <v>834</v>
      </c>
      <c r="V79" s="131" t="s">
        <v>834</v>
      </c>
      <c r="W79" s="131">
        <f>(RIGHT(P79, LEN(P79) - 1))*MW/24.45</f>
        <v>0.53377668711656434</v>
      </c>
      <c r="X79" s="131" t="str">
        <f>R79</f>
        <v>501</v>
      </c>
      <c r="Y79" s="131">
        <f>W79*X79/E79</f>
        <v>0.55712941717791398</v>
      </c>
      <c r="Z79" s="109" t="s">
        <v>260</v>
      </c>
      <c r="AA79" s="109" t="s">
        <v>260</v>
      </c>
      <c r="AB79" s="131" t="s">
        <v>15</v>
      </c>
      <c r="AC79" s="128" t="s">
        <v>273</v>
      </c>
      <c r="AD79" s="109" t="s">
        <v>458</v>
      </c>
      <c r="AE79" s="132" t="s">
        <v>837</v>
      </c>
    </row>
    <row r="80" spans="1:31" customFormat="1" ht="87" hidden="1" x14ac:dyDescent="0.35">
      <c r="A80" s="83" t="s">
        <v>315</v>
      </c>
      <c r="B80" s="83" t="s">
        <v>138</v>
      </c>
      <c r="C80" s="83" t="s">
        <v>260</v>
      </c>
      <c r="D80" s="83" t="s">
        <v>260</v>
      </c>
      <c r="E80" s="83" t="s">
        <v>260</v>
      </c>
      <c r="F80" s="83" t="s">
        <v>345</v>
      </c>
      <c r="G80" s="4" t="s">
        <v>260</v>
      </c>
      <c r="H80" s="4" t="s">
        <v>260</v>
      </c>
      <c r="I80" s="83" t="s">
        <v>476</v>
      </c>
      <c r="J80" s="4" t="s">
        <v>260</v>
      </c>
      <c r="K80" s="83" t="s">
        <v>15</v>
      </c>
      <c r="L80" s="83" t="s">
        <v>15</v>
      </c>
      <c r="M80" s="83" t="s">
        <v>346</v>
      </c>
      <c r="N80" s="83" t="s">
        <v>481</v>
      </c>
      <c r="O80" s="83" t="s">
        <v>260</v>
      </c>
      <c r="P80" s="83" t="s">
        <v>482</v>
      </c>
      <c r="Q80" s="83" t="s">
        <v>410</v>
      </c>
      <c r="R80" s="83" t="s">
        <v>478</v>
      </c>
      <c r="S80" s="4" t="s">
        <v>241</v>
      </c>
      <c r="T80" s="4" t="s">
        <v>10</v>
      </c>
      <c r="U80" s="4" t="s">
        <v>265</v>
      </c>
      <c r="V80" s="4" t="s">
        <v>265</v>
      </c>
      <c r="W80" s="4">
        <f>P80*MW/24.45</f>
        <v>558.03926380368102</v>
      </c>
      <c r="X80" s="82">
        <v>60</v>
      </c>
      <c r="Y80" s="4">
        <f>W80*X80/480</f>
        <v>69.754907975460128</v>
      </c>
      <c r="Z80" s="83" t="s">
        <v>260</v>
      </c>
      <c r="AA80" s="83" t="s">
        <v>260</v>
      </c>
      <c r="AB80" s="4" t="s">
        <v>15</v>
      </c>
      <c r="AC80" s="4" t="s">
        <v>479</v>
      </c>
      <c r="AD80" s="83" t="s">
        <v>445</v>
      </c>
      <c r="AE80" s="83" t="s">
        <v>446</v>
      </c>
    </row>
    <row r="81" spans="1:31" s="102" customFormat="1" ht="42" x14ac:dyDescent="0.35">
      <c r="A81" s="109" t="s">
        <v>315</v>
      </c>
      <c r="B81" s="109" t="s">
        <v>740</v>
      </c>
      <c r="C81" s="109" t="s">
        <v>449</v>
      </c>
      <c r="D81" s="109" t="s">
        <v>450</v>
      </c>
      <c r="E81" s="109" t="s">
        <v>262</v>
      </c>
      <c r="F81" s="102" t="s">
        <v>833</v>
      </c>
      <c r="G81" s="131" t="s">
        <v>260</v>
      </c>
      <c r="H81" s="131" t="s">
        <v>260</v>
      </c>
      <c r="I81" s="109" t="s">
        <v>452</v>
      </c>
      <c r="J81" s="131" t="s">
        <v>260</v>
      </c>
      <c r="K81" s="109" t="s">
        <v>15</v>
      </c>
      <c r="L81" s="109" t="s">
        <v>10</v>
      </c>
      <c r="M81" s="109" t="s">
        <v>285</v>
      </c>
      <c r="N81" s="128" t="s">
        <v>453</v>
      </c>
      <c r="O81" s="102" t="s">
        <v>468</v>
      </c>
      <c r="P81" s="109" t="s">
        <v>483</v>
      </c>
      <c r="Q81" s="109" t="s">
        <v>455</v>
      </c>
      <c r="R81" s="109" t="s">
        <v>484</v>
      </c>
      <c r="S81" s="131" t="s">
        <v>241</v>
      </c>
      <c r="T81" s="131" t="s">
        <v>10</v>
      </c>
      <c r="U81" s="131" t="s">
        <v>834</v>
      </c>
      <c r="V81" s="131" t="s">
        <v>834</v>
      </c>
      <c r="W81" s="131">
        <f>P81*MW/24.45</f>
        <v>42.459509202453987</v>
      </c>
      <c r="X81" s="131" t="str">
        <f>R81</f>
        <v>497</v>
      </c>
      <c r="Y81" s="131">
        <f>W81*X81/E81</f>
        <v>43.963283486707567</v>
      </c>
      <c r="Z81" s="109" t="s">
        <v>260</v>
      </c>
      <c r="AA81" s="109" t="s">
        <v>260</v>
      </c>
      <c r="AB81" s="131" t="s">
        <v>15</v>
      </c>
      <c r="AC81" s="128" t="s">
        <v>273</v>
      </c>
      <c r="AD81" s="109" t="s">
        <v>458</v>
      </c>
      <c r="AE81" s="132" t="s">
        <v>837</v>
      </c>
    </row>
    <row r="82" spans="1:31" customFormat="1" ht="43.5" hidden="1" x14ac:dyDescent="0.35">
      <c r="A82" s="83" t="s">
        <v>416</v>
      </c>
      <c r="B82" s="83" t="s">
        <v>417</v>
      </c>
      <c r="C82" s="83" t="s">
        <v>260</v>
      </c>
      <c r="D82" s="83" t="s">
        <v>260</v>
      </c>
      <c r="E82" s="83" t="s">
        <v>260</v>
      </c>
      <c r="F82" s="83" t="s">
        <v>441</v>
      </c>
      <c r="G82" s="4" t="s">
        <v>260</v>
      </c>
      <c r="H82" s="4" t="s">
        <v>260</v>
      </c>
      <c r="I82" s="83" t="s">
        <v>485</v>
      </c>
      <c r="J82" s="4" t="s">
        <v>260</v>
      </c>
      <c r="K82" s="83" t="s">
        <v>15</v>
      </c>
      <c r="L82" s="83" t="s">
        <v>15</v>
      </c>
      <c r="M82" s="83" t="s">
        <v>346</v>
      </c>
      <c r="N82" s="83" t="s">
        <v>260</v>
      </c>
      <c r="O82" s="83" t="s">
        <v>260</v>
      </c>
      <c r="P82" s="83" t="s">
        <v>473</v>
      </c>
      <c r="Q82" s="83" t="s">
        <v>410</v>
      </c>
      <c r="R82" s="83" t="s">
        <v>260</v>
      </c>
      <c r="S82" s="4" t="s">
        <v>241</v>
      </c>
      <c r="T82" s="4" t="s">
        <v>15</v>
      </c>
      <c r="U82" s="4">
        <v>0.04</v>
      </c>
      <c r="V82" s="4">
        <f>U82/2</f>
        <v>0.02</v>
      </c>
      <c r="W82" s="4">
        <f>V82*MW/24.45</f>
        <v>0.24262576687116569</v>
      </c>
      <c r="X82" s="82">
        <v>480</v>
      </c>
      <c r="Y82" s="4">
        <f>W82*X82/480</f>
        <v>0.24262576687116569</v>
      </c>
      <c r="Z82" s="83" t="s">
        <v>260</v>
      </c>
      <c r="AA82" s="83" t="s">
        <v>260</v>
      </c>
      <c r="AB82" s="4" t="s">
        <v>15</v>
      </c>
      <c r="AC82" s="4" t="s">
        <v>444</v>
      </c>
      <c r="AD82" s="83" t="s">
        <v>445</v>
      </c>
      <c r="AE82" s="83" t="s">
        <v>446</v>
      </c>
    </row>
    <row r="83" spans="1:31" customFormat="1" ht="58" hidden="1" x14ac:dyDescent="0.35">
      <c r="A83" s="83" t="s">
        <v>315</v>
      </c>
      <c r="B83" s="83" t="s">
        <v>138</v>
      </c>
      <c r="C83" s="83" t="s">
        <v>260</v>
      </c>
      <c r="D83" s="83" t="s">
        <v>260</v>
      </c>
      <c r="E83" s="83" t="s">
        <v>260</v>
      </c>
      <c r="F83" s="83" t="s">
        <v>460</v>
      </c>
      <c r="G83" s="4" t="s">
        <v>260</v>
      </c>
      <c r="H83" s="4" t="s">
        <v>260</v>
      </c>
      <c r="I83" s="83" t="s">
        <v>357</v>
      </c>
      <c r="J83" s="4" t="s">
        <v>260</v>
      </c>
      <c r="K83" s="83" t="s">
        <v>15</v>
      </c>
      <c r="L83" s="83" t="s">
        <v>15</v>
      </c>
      <c r="M83" s="83" t="s">
        <v>346</v>
      </c>
      <c r="N83" s="83" t="s">
        <v>260</v>
      </c>
      <c r="O83" s="83" t="s">
        <v>260</v>
      </c>
      <c r="P83" s="83" t="s">
        <v>486</v>
      </c>
      <c r="Q83" s="83" t="s">
        <v>410</v>
      </c>
      <c r="R83" s="83" t="s">
        <v>402</v>
      </c>
      <c r="S83" s="4" t="s">
        <v>241</v>
      </c>
      <c r="T83" s="4" t="s">
        <v>10</v>
      </c>
      <c r="U83" s="4" t="s">
        <v>265</v>
      </c>
      <c r="V83" s="4" t="s">
        <v>265</v>
      </c>
      <c r="W83" s="4">
        <f>P83*MW/24.45</f>
        <v>84.919018404907973</v>
      </c>
      <c r="X83" s="83" t="s">
        <v>260</v>
      </c>
      <c r="Y83" s="83" t="s">
        <v>260</v>
      </c>
      <c r="Z83" s="83" t="s">
        <v>260</v>
      </c>
      <c r="AA83" s="83" t="s">
        <v>260</v>
      </c>
      <c r="AB83" s="4" t="s">
        <v>464</v>
      </c>
      <c r="AC83" s="4" t="s">
        <v>465</v>
      </c>
      <c r="AD83" s="83" t="s">
        <v>445</v>
      </c>
      <c r="AE83" s="83" t="s">
        <v>446</v>
      </c>
    </row>
    <row r="84" spans="1:31" customFormat="1" ht="58" hidden="1" x14ac:dyDescent="0.35">
      <c r="A84" s="83" t="s">
        <v>315</v>
      </c>
      <c r="B84" s="83" t="s">
        <v>138</v>
      </c>
      <c r="C84" s="83" t="s">
        <v>260</v>
      </c>
      <c r="D84" s="83" t="s">
        <v>260</v>
      </c>
      <c r="E84" s="83" t="s">
        <v>260</v>
      </c>
      <c r="F84" s="83" t="s">
        <v>460</v>
      </c>
      <c r="G84" s="4" t="s">
        <v>260</v>
      </c>
      <c r="H84" s="4" t="s">
        <v>260</v>
      </c>
      <c r="I84" s="83" t="s">
        <v>357</v>
      </c>
      <c r="J84" s="4" t="s">
        <v>260</v>
      </c>
      <c r="K84" s="83" t="s">
        <v>15</v>
      </c>
      <c r="L84" s="83" t="s">
        <v>15</v>
      </c>
      <c r="M84" s="83" t="s">
        <v>346</v>
      </c>
      <c r="N84" s="83" t="s">
        <v>260</v>
      </c>
      <c r="O84" s="83" t="s">
        <v>260</v>
      </c>
      <c r="P84" s="83" t="s">
        <v>487</v>
      </c>
      <c r="Q84" s="83" t="s">
        <v>410</v>
      </c>
      <c r="R84" s="83" t="s">
        <v>260</v>
      </c>
      <c r="S84" s="4" t="s">
        <v>241</v>
      </c>
      <c r="T84" s="4" t="s">
        <v>10</v>
      </c>
      <c r="U84" s="4" t="s">
        <v>265</v>
      </c>
      <c r="V84" s="4" t="s">
        <v>265</v>
      </c>
      <c r="W84" s="4">
        <f>P84*MW/24.45</f>
        <v>71.574601226993877</v>
      </c>
      <c r="X84" s="83" t="s">
        <v>260</v>
      </c>
      <c r="Y84" s="83" t="s">
        <v>260</v>
      </c>
      <c r="Z84" s="83" t="s">
        <v>260</v>
      </c>
      <c r="AA84" s="83" t="s">
        <v>260</v>
      </c>
      <c r="AB84" s="4" t="s">
        <v>464</v>
      </c>
      <c r="AC84" s="4" t="s">
        <v>465</v>
      </c>
      <c r="AD84" s="83" t="s">
        <v>445</v>
      </c>
      <c r="AE84" s="83" t="s">
        <v>446</v>
      </c>
    </row>
    <row r="85" spans="1:31" s="102" customFormat="1" ht="42" x14ac:dyDescent="0.35">
      <c r="A85" s="109" t="s">
        <v>315</v>
      </c>
      <c r="B85" s="109" t="s">
        <v>740</v>
      </c>
      <c r="C85" s="109" t="s">
        <v>449</v>
      </c>
      <c r="D85" s="109" t="s">
        <v>450</v>
      </c>
      <c r="E85" s="109" t="s">
        <v>262</v>
      </c>
      <c r="F85" s="102" t="s">
        <v>833</v>
      </c>
      <c r="G85" s="131" t="s">
        <v>260</v>
      </c>
      <c r="H85" s="131" t="s">
        <v>260</v>
      </c>
      <c r="I85" s="109" t="s">
        <v>452</v>
      </c>
      <c r="J85" s="131" t="s">
        <v>260</v>
      </c>
      <c r="K85" s="109" t="s">
        <v>15</v>
      </c>
      <c r="L85" s="109" t="s">
        <v>10</v>
      </c>
      <c r="M85" s="109" t="s">
        <v>285</v>
      </c>
      <c r="N85" s="128" t="s">
        <v>453</v>
      </c>
      <c r="O85" s="102" t="s">
        <v>468</v>
      </c>
      <c r="P85" s="109" t="s">
        <v>488</v>
      </c>
      <c r="Q85" s="109" t="s">
        <v>455</v>
      </c>
      <c r="R85" s="109" t="s">
        <v>489</v>
      </c>
      <c r="S85" s="131" t="s">
        <v>241</v>
      </c>
      <c r="T85" s="131" t="s">
        <v>10</v>
      </c>
      <c r="U85" s="131" t="s">
        <v>834</v>
      </c>
      <c r="V85" s="131" t="s">
        <v>834</v>
      </c>
      <c r="W85" s="131">
        <f>(RIGHT(P85, LEN(P85) - 1))*MW/24.45</f>
        <v>0.57017055214723933</v>
      </c>
      <c r="X85" s="131" t="str">
        <f>R85</f>
        <v>470</v>
      </c>
      <c r="Y85" s="131">
        <f>W85*X85/E85</f>
        <v>0.55829199897750525</v>
      </c>
      <c r="Z85" s="109" t="s">
        <v>260</v>
      </c>
      <c r="AA85" s="109" t="s">
        <v>260</v>
      </c>
      <c r="AB85" s="131" t="s">
        <v>15</v>
      </c>
      <c r="AC85" s="128" t="s">
        <v>273</v>
      </c>
      <c r="AD85" s="109" t="s">
        <v>458</v>
      </c>
      <c r="AE85" s="132" t="s">
        <v>837</v>
      </c>
    </row>
    <row r="86" spans="1:31" customFormat="1" ht="58" hidden="1" x14ac:dyDescent="0.35">
      <c r="A86" s="83" t="s">
        <v>315</v>
      </c>
      <c r="B86" s="83" t="s">
        <v>138</v>
      </c>
      <c r="C86" s="83" t="s">
        <v>260</v>
      </c>
      <c r="D86" s="83" t="s">
        <v>260</v>
      </c>
      <c r="E86" s="83" t="s">
        <v>260</v>
      </c>
      <c r="F86" s="83" t="s">
        <v>460</v>
      </c>
      <c r="G86" s="4" t="s">
        <v>260</v>
      </c>
      <c r="H86" s="4" t="s">
        <v>260</v>
      </c>
      <c r="I86" s="83" t="s">
        <v>357</v>
      </c>
      <c r="J86" s="4" t="s">
        <v>260</v>
      </c>
      <c r="K86" s="83" t="s">
        <v>15</v>
      </c>
      <c r="L86" s="83" t="s">
        <v>15</v>
      </c>
      <c r="M86" s="83" t="s">
        <v>346</v>
      </c>
      <c r="N86" s="83" t="s">
        <v>260</v>
      </c>
      <c r="O86" s="83" t="s">
        <v>260</v>
      </c>
      <c r="P86" s="83" t="s">
        <v>490</v>
      </c>
      <c r="Q86" s="83" t="s">
        <v>410</v>
      </c>
      <c r="R86" s="83" t="s">
        <v>260</v>
      </c>
      <c r="S86" s="4" t="s">
        <v>241</v>
      </c>
      <c r="T86" s="4" t="s">
        <v>10</v>
      </c>
      <c r="U86" s="4" t="s">
        <v>265</v>
      </c>
      <c r="V86" s="4" t="s">
        <v>265</v>
      </c>
      <c r="W86" s="4">
        <f>P86*MW/24.45</f>
        <v>36.393865030674853</v>
      </c>
      <c r="X86" s="83" t="s">
        <v>260</v>
      </c>
      <c r="Y86" s="83" t="s">
        <v>260</v>
      </c>
      <c r="Z86" s="83" t="s">
        <v>260</v>
      </c>
      <c r="AA86" s="83" t="s">
        <v>260</v>
      </c>
      <c r="AB86" s="4" t="s">
        <v>464</v>
      </c>
      <c r="AC86" s="4" t="s">
        <v>465</v>
      </c>
      <c r="AD86" s="83" t="s">
        <v>445</v>
      </c>
      <c r="AE86" s="83" t="s">
        <v>446</v>
      </c>
    </row>
    <row r="87" spans="1:31" customFormat="1" ht="58" hidden="1" x14ac:dyDescent="0.35">
      <c r="A87" s="83" t="s">
        <v>315</v>
      </c>
      <c r="B87" s="83" t="s">
        <v>138</v>
      </c>
      <c r="C87" s="83" t="s">
        <v>260</v>
      </c>
      <c r="D87" s="83" t="s">
        <v>260</v>
      </c>
      <c r="E87" s="83" t="s">
        <v>260</v>
      </c>
      <c r="F87" s="83" t="s">
        <v>260</v>
      </c>
      <c r="G87" s="4" t="s">
        <v>260</v>
      </c>
      <c r="H87" s="4" t="s">
        <v>260</v>
      </c>
      <c r="I87" s="83" t="s">
        <v>491</v>
      </c>
      <c r="J87" s="4" t="s">
        <v>260</v>
      </c>
      <c r="K87" s="83" t="s">
        <v>260</v>
      </c>
      <c r="L87" s="83" t="s">
        <v>260</v>
      </c>
      <c r="M87" s="83" t="s">
        <v>260</v>
      </c>
      <c r="N87" s="83" t="s">
        <v>260</v>
      </c>
      <c r="O87" s="83" t="s">
        <v>260</v>
      </c>
      <c r="P87" s="83" t="s">
        <v>309</v>
      </c>
      <c r="Q87" s="83" t="s">
        <v>260</v>
      </c>
      <c r="R87" s="83" t="s">
        <v>260</v>
      </c>
      <c r="S87" s="4" t="s">
        <v>241</v>
      </c>
      <c r="T87" s="4" t="s">
        <v>10</v>
      </c>
      <c r="U87" s="4" t="s">
        <v>265</v>
      </c>
      <c r="V87" s="4" t="s">
        <v>265</v>
      </c>
      <c r="W87" s="4">
        <f>(RIGHT(P87, LEN(P87) - 1))*MW/24.45</f>
        <v>0.48525153374233138</v>
      </c>
      <c r="X87" s="83" t="s">
        <v>260</v>
      </c>
      <c r="Y87" s="83" t="s">
        <v>260</v>
      </c>
      <c r="Z87" s="83" t="s">
        <v>260</v>
      </c>
      <c r="AA87" s="83" t="s">
        <v>260</v>
      </c>
      <c r="AB87" s="4" t="s">
        <v>464</v>
      </c>
      <c r="AC87" s="4" t="s">
        <v>465</v>
      </c>
      <c r="AD87" s="83" t="s">
        <v>445</v>
      </c>
      <c r="AE87" s="83" t="s">
        <v>260</v>
      </c>
    </row>
    <row r="88" spans="1:31" customFormat="1" ht="58" hidden="1" x14ac:dyDescent="0.35">
      <c r="A88" s="83" t="s">
        <v>315</v>
      </c>
      <c r="B88" s="83" t="s">
        <v>260</v>
      </c>
      <c r="C88" s="83" t="s">
        <v>260</v>
      </c>
      <c r="D88" s="83" t="s">
        <v>260</v>
      </c>
      <c r="E88" s="83" t="s">
        <v>260</v>
      </c>
      <c r="F88" s="83" t="s">
        <v>492</v>
      </c>
      <c r="G88" s="4" t="s">
        <v>260</v>
      </c>
      <c r="H88" s="4" t="s">
        <v>260</v>
      </c>
      <c r="I88" s="83" t="s">
        <v>260</v>
      </c>
      <c r="J88" s="4" t="s">
        <v>260</v>
      </c>
      <c r="K88" s="83" t="s">
        <v>260</v>
      </c>
      <c r="L88" s="83" t="s">
        <v>260</v>
      </c>
      <c r="M88" s="83" t="s">
        <v>285</v>
      </c>
      <c r="N88" s="83" t="s">
        <v>260</v>
      </c>
      <c r="O88" s="83" t="s">
        <v>260</v>
      </c>
      <c r="P88" s="83" t="s">
        <v>473</v>
      </c>
      <c r="Q88" s="83" t="s">
        <v>493</v>
      </c>
      <c r="R88" s="83" t="s">
        <v>432</v>
      </c>
      <c r="S88" s="4" t="s">
        <v>241</v>
      </c>
      <c r="T88" s="4" t="s">
        <v>15</v>
      </c>
      <c r="U88" s="4">
        <v>0.01</v>
      </c>
      <c r="V88" s="4">
        <f>U88/2</f>
        <v>5.0000000000000001E-3</v>
      </c>
      <c r="W88" s="4">
        <f>V88*MW/24.45</f>
        <v>6.0656441717791422E-2</v>
      </c>
      <c r="X88" s="82">
        <v>480</v>
      </c>
      <c r="Y88" s="4">
        <f>W88</f>
        <v>6.0656441717791422E-2</v>
      </c>
      <c r="Z88" s="83" t="s">
        <v>260</v>
      </c>
      <c r="AA88" s="83" t="s">
        <v>260</v>
      </c>
      <c r="AB88" s="4" t="s">
        <v>494</v>
      </c>
      <c r="AC88" s="4" t="s">
        <v>495</v>
      </c>
      <c r="AD88" s="83" t="s">
        <v>260</v>
      </c>
      <c r="AE88" s="83" t="s">
        <v>496</v>
      </c>
    </row>
    <row r="89" spans="1:31" customFormat="1" ht="58" hidden="1" x14ac:dyDescent="0.35">
      <c r="A89" s="83" t="s">
        <v>315</v>
      </c>
      <c r="B89" s="83" t="s">
        <v>138</v>
      </c>
      <c r="C89" s="83" t="s">
        <v>260</v>
      </c>
      <c r="D89" s="83" t="s">
        <v>260</v>
      </c>
      <c r="E89" s="83" t="s">
        <v>260</v>
      </c>
      <c r="F89" s="83" t="s">
        <v>260</v>
      </c>
      <c r="G89" s="4" t="s">
        <v>260</v>
      </c>
      <c r="H89" s="4" t="s">
        <v>260</v>
      </c>
      <c r="I89" s="83" t="s">
        <v>497</v>
      </c>
      <c r="J89" s="4" t="s">
        <v>260</v>
      </c>
      <c r="K89" s="83" t="s">
        <v>260</v>
      </c>
      <c r="L89" s="83" t="s">
        <v>260</v>
      </c>
      <c r="M89" s="83" t="s">
        <v>260</v>
      </c>
      <c r="N89" s="83" t="s">
        <v>260</v>
      </c>
      <c r="O89" s="83" t="s">
        <v>260</v>
      </c>
      <c r="P89" s="83" t="s">
        <v>498</v>
      </c>
      <c r="Q89" s="83" t="s">
        <v>260</v>
      </c>
      <c r="R89" s="83" t="s">
        <v>260</v>
      </c>
      <c r="S89" s="4" t="s">
        <v>241</v>
      </c>
      <c r="T89" s="4" t="s">
        <v>10</v>
      </c>
      <c r="U89" s="4" t="s">
        <v>265</v>
      </c>
      <c r="V89" s="4" t="s">
        <v>265</v>
      </c>
      <c r="W89" s="4">
        <f t="shared" ref="W89:W94" si="8">P89*MW/24.45</f>
        <v>0.12131288343558284</v>
      </c>
      <c r="X89" s="83" t="s">
        <v>260</v>
      </c>
      <c r="Y89" s="83" t="s">
        <v>260</v>
      </c>
      <c r="Z89" s="83" t="s">
        <v>260</v>
      </c>
      <c r="AA89" s="83" t="s">
        <v>260</v>
      </c>
      <c r="AB89" s="4" t="s">
        <v>464</v>
      </c>
      <c r="AC89" s="4" t="s">
        <v>465</v>
      </c>
      <c r="AD89" s="83" t="s">
        <v>445</v>
      </c>
      <c r="AE89" s="83" t="s">
        <v>260</v>
      </c>
    </row>
    <row r="90" spans="1:31" s="102" customFormat="1" ht="42" x14ac:dyDescent="0.35">
      <c r="A90" s="109" t="s">
        <v>315</v>
      </c>
      <c r="B90" s="109" t="s">
        <v>740</v>
      </c>
      <c r="C90" s="109" t="s">
        <v>499</v>
      </c>
      <c r="D90" s="109" t="s">
        <v>318</v>
      </c>
      <c r="E90" s="109" t="s">
        <v>262</v>
      </c>
      <c r="F90" s="102" t="s">
        <v>320</v>
      </c>
      <c r="G90" s="131" t="s">
        <v>260</v>
      </c>
      <c r="H90" s="131" t="s">
        <v>260</v>
      </c>
      <c r="I90" s="109" t="s">
        <v>260</v>
      </c>
      <c r="J90" s="131" t="s">
        <v>260</v>
      </c>
      <c r="K90" s="109" t="s">
        <v>15</v>
      </c>
      <c r="L90" s="109" t="s">
        <v>260</v>
      </c>
      <c r="M90" s="109" t="s">
        <v>346</v>
      </c>
      <c r="N90" s="102" t="s">
        <v>260</v>
      </c>
      <c r="O90" s="102" t="s">
        <v>260</v>
      </c>
      <c r="P90" s="109" t="s">
        <v>500</v>
      </c>
      <c r="Q90" s="109" t="s">
        <v>326</v>
      </c>
      <c r="R90" s="109" t="s">
        <v>260</v>
      </c>
      <c r="S90" s="131" t="s">
        <v>241</v>
      </c>
      <c r="T90" s="131" t="s">
        <v>10</v>
      </c>
      <c r="U90" s="131" t="s">
        <v>834</v>
      </c>
      <c r="V90" s="131" t="s">
        <v>834</v>
      </c>
      <c r="W90" s="131">
        <f t="shared" si="8"/>
        <v>0.24262576687116569</v>
      </c>
      <c r="X90" s="131" t="str">
        <f>E90</f>
        <v>480</v>
      </c>
      <c r="Y90" s="131">
        <f>W90</f>
        <v>0.24262576687116569</v>
      </c>
      <c r="Z90" s="109" t="s">
        <v>260</v>
      </c>
      <c r="AA90" s="109" t="s">
        <v>260</v>
      </c>
      <c r="AB90" s="131" t="s">
        <v>15</v>
      </c>
      <c r="AC90" s="128" t="s">
        <v>266</v>
      </c>
      <c r="AD90" s="109" t="s">
        <v>430</v>
      </c>
      <c r="AE90" s="132" t="s">
        <v>836</v>
      </c>
    </row>
    <row r="91" spans="1:31" customFormat="1" ht="58" hidden="1" x14ac:dyDescent="0.35">
      <c r="A91" s="83" t="s">
        <v>315</v>
      </c>
      <c r="B91" s="83" t="s">
        <v>260</v>
      </c>
      <c r="C91" s="83" t="s">
        <v>260</v>
      </c>
      <c r="D91" s="83" t="s">
        <v>260</v>
      </c>
      <c r="E91" s="83" t="s">
        <v>260</v>
      </c>
      <c r="F91" s="83" t="s">
        <v>502</v>
      </c>
      <c r="G91" s="4" t="s">
        <v>260</v>
      </c>
      <c r="H91" s="4" t="s">
        <v>260</v>
      </c>
      <c r="I91" s="83" t="s">
        <v>260</v>
      </c>
      <c r="J91" s="4" t="s">
        <v>260</v>
      </c>
      <c r="K91" s="83" t="s">
        <v>260</v>
      </c>
      <c r="L91" s="83" t="s">
        <v>260</v>
      </c>
      <c r="M91" s="83" t="s">
        <v>285</v>
      </c>
      <c r="N91" s="83" t="s">
        <v>260</v>
      </c>
      <c r="O91" s="83" t="s">
        <v>260</v>
      </c>
      <c r="P91" s="83" t="s">
        <v>264</v>
      </c>
      <c r="Q91" s="83" t="s">
        <v>493</v>
      </c>
      <c r="R91" s="83" t="s">
        <v>503</v>
      </c>
      <c r="S91" s="4" t="s">
        <v>241</v>
      </c>
      <c r="T91" s="4" t="s">
        <v>10</v>
      </c>
      <c r="U91" s="4" t="s">
        <v>265</v>
      </c>
      <c r="V91" s="4" t="s">
        <v>265</v>
      </c>
      <c r="W91" s="4">
        <f t="shared" si="8"/>
        <v>14.55754601226994</v>
      </c>
      <c r="X91" s="82" t="str">
        <f>R91</f>
        <v>415</v>
      </c>
      <c r="Y91" s="4">
        <f>W91*X91/480</f>
        <v>12.586211656441719</v>
      </c>
      <c r="Z91" s="83" t="s">
        <v>260</v>
      </c>
      <c r="AA91" s="83" t="s">
        <v>260</v>
      </c>
      <c r="AB91" s="4" t="s">
        <v>494</v>
      </c>
      <c r="AC91" s="4" t="s">
        <v>429</v>
      </c>
      <c r="AD91" s="83" t="s">
        <v>260</v>
      </c>
      <c r="AE91" s="83" t="s">
        <v>496</v>
      </c>
    </row>
    <row r="92" spans="1:31" customFormat="1" ht="58" hidden="1" x14ac:dyDescent="0.35">
      <c r="A92" s="83" t="s">
        <v>315</v>
      </c>
      <c r="B92" s="83" t="s">
        <v>138</v>
      </c>
      <c r="C92" s="83" t="s">
        <v>260</v>
      </c>
      <c r="D92" s="83" t="s">
        <v>260</v>
      </c>
      <c r="E92" s="83" t="s">
        <v>260</v>
      </c>
      <c r="F92" s="83" t="s">
        <v>260</v>
      </c>
      <c r="G92" s="4" t="s">
        <v>260</v>
      </c>
      <c r="H92" s="4" t="s">
        <v>260</v>
      </c>
      <c r="I92" s="83" t="s">
        <v>504</v>
      </c>
      <c r="J92" s="4" t="s">
        <v>260</v>
      </c>
      <c r="K92" s="83" t="s">
        <v>260</v>
      </c>
      <c r="L92" s="83" t="s">
        <v>260</v>
      </c>
      <c r="M92" s="83" t="s">
        <v>260</v>
      </c>
      <c r="N92" s="83" t="s">
        <v>505</v>
      </c>
      <c r="O92" s="83" t="s">
        <v>260</v>
      </c>
      <c r="P92" s="83" t="s">
        <v>506</v>
      </c>
      <c r="Q92" s="83" t="s">
        <v>260</v>
      </c>
      <c r="R92" s="83" t="s">
        <v>260</v>
      </c>
      <c r="S92" s="4" t="s">
        <v>241</v>
      </c>
      <c r="T92" s="4" t="s">
        <v>10</v>
      </c>
      <c r="U92" s="4" t="s">
        <v>265</v>
      </c>
      <c r="V92" s="4" t="s">
        <v>265</v>
      </c>
      <c r="W92" s="4">
        <f t="shared" si="8"/>
        <v>363.93865030674851</v>
      </c>
      <c r="X92" s="83" t="s">
        <v>260</v>
      </c>
      <c r="Y92" s="83" t="s">
        <v>260</v>
      </c>
      <c r="Z92" s="83" t="s">
        <v>260</v>
      </c>
      <c r="AA92" s="83" t="s">
        <v>260</v>
      </c>
      <c r="AB92" s="4" t="s">
        <v>464</v>
      </c>
      <c r="AC92" s="4" t="s">
        <v>465</v>
      </c>
      <c r="AD92" s="83" t="s">
        <v>445</v>
      </c>
      <c r="AE92" s="83" t="s">
        <v>260</v>
      </c>
    </row>
    <row r="93" spans="1:31" s="102" customFormat="1" ht="42" x14ac:dyDescent="0.35">
      <c r="A93" s="109" t="s">
        <v>315</v>
      </c>
      <c r="B93" s="109" t="s">
        <v>740</v>
      </c>
      <c r="C93" s="109" t="s">
        <v>499</v>
      </c>
      <c r="D93" s="109" t="s">
        <v>318</v>
      </c>
      <c r="E93" s="109" t="s">
        <v>262</v>
      </c>
      <c r="F93" s="102" t="s">
        <v>460</v>
      </c>
      <c r="G93" s="131" t="s">
        <v>260</v>
      </c>
      <c r="H93" s="131" t="s">
        <v>260</v>
      </c>
      <c r="I93" s="109" t="s">
        <v>260</v>
      </c>
      <c r="J93" s="131" t="s">
        <v>260</v>
      </c>
      <c r="K93" s="109" t="s">
        <v>15</v>
      </c>
      <c r="L93" s="109" t="s">
        <v>260</v>
      </c>
      <c r="M93" s="109" t="s">
        <v>260</v>
      </c>
      <c r="N93" s="102" t="s">
        <v>260</v>
      </c>
      <c r="O93" s="102" t="s">
        <v>260</v>
      </c>
      <c r="P93" s="109" t="s">
        <v>507</v>
      </c>
      <c r="Q93" s="109" t="s">
        <v>326</v>
      </c>
      <c r="R93" s="109" t="s">
        <v>260</v>
      </c>
      <c r="S93" s="131" t="s">
        <v>241</v>
      </c>
      <c r="T93" s="131" t="s">
        <v>10</v>
      </c>
      <c r="U93" s="131" t="s">
        <v>834</v>
      </c>
      <c r="V93" s="131" t="s">
        <v>834</v>
      </c>
      <c r="W93" s="131">
        <f t="shared" si="8"/>
        <v>0.72787730061349698</v>
      </c>
      <c r="X93" s="131" t="str">
        <f>E93</f>
        <v>480</v>
      </c>
      <c r="Y93" s="131">
        <f>W93</f>
        <v>0.72787730061349698</v>
      </c>
      <c r="Z93" s="109" t="s">
        <v>260</v>
      </c>
      <c r="AA93" s="109" t="s">
        <v>260</v>
      </c>
      <c r="AB93" s="131" t="s">
        <v>15</v>
      </c>
      <c r="AC93" s="128" t="s">
        <v>266</v>
      </c>
      <c r="AD93" s="109" t="s">
        <v>430</v>
      </c>
      <c r="AE93" s="132" t="s">
        <v>836</v>
      </c>
    </row>
    <row r="94" spans="1:31" s="102" customFormat="1" ht="42" x14ac:dyDescent="0.35">
      <c r="A94" s="109" t="s">
        <v>315</v>
      </c>
      <c r="B94" s="109" t="s">
        <v>740</v>
      </c>
      <c r="C94" s="109" t="s">
        <v>260</v>
      </c>
      <c r="D94" s="109" t="s">
        <v>260</v>
      </c>
      <c r="E94" s="109" t="s">
        <v>262</v>
      </c>
      <c r="F94" s="102" t="s">
        <v>260</v>
      </c>
      <c r="G94" s="131" t="s">
        <v>260</v>
      </c>
      <c r="H94" s="131" t="s">
        <v>260</v>
      </c>
      <c r="I94" s="109" t="s">
        <v>260</v>
      </c>
      <c r="J94" s="131" t="s">
        <v>260</v>
      </c>
      <c r="K94" s="109" t="s">
        <v>15</v>
      </c>
      <c r="L94" s="109" t="s">
        <v>15</v>
      </c>
      <c r="M94" s="109" t="s">
        <v>346</v>
      </c>
      <c r="N94" s="102" t="s">
        <v>260</v>
      </c>
      <c r="O94" s="102" t="s">
        <v>324</v>
      </c>
      <c r="P94" s="109" t="s">
        <v>508</v>
      </c>
      <c r="Q94" s="109" t="s">
        <v>326</v>
      </c>
      <c r="R94" s="109" t="s">
        <v>509</v>
      </c>
      <c r="S94" s="131" t="s">
        <v>241</v>
      </c>
      <c r="T94" s="131" t="s">
        <v>10</v>
      </c>
      <c r="U94" s="131" t="s">
        <v>834</v>
      </c>
      <c r="V94" s="131" t="s">
        <v>834</v>
      </c>
      <c r="W94" s="131">
        <f t="shared" si="8"/>
        <v>1.6983803680981597</v>
      </c>
      <c r="X94" s="131" t="str">
        <f>R94</f>
        <v>421.00</v>
      </c>
      <c r="Y94" s="131">
        <f>W94*X94/E94</f>
        <v>1.4896211145194276</v>
      </c>
      <c r="Z94" s="109" t="s">
        <v>260</v>
      </c>
      <c r="AA94" s="109" t="s">
        <v>260</v>
      </c>
      <c r="AB94" s="131" t="s">
        <v>15</v>
      </c>
      <c r="AC94" s="128" t="s">
        <v>273</v>
      </c>
      <c r="AD94" s="109" t="s">
        <v>430</v>
      </c>
      <c r="AE94" s="132" t="s">
        <v>836</v>
      </c>
    </row>
    <row r="95" spans="1:31" customFormat="1" ht="58" hidden="1" x14ac:dyDescent="0.35">
      <c r="A95" s="83" t="s">
        <v>315</v>
      </c>
      <c r="B95" s="83" t="s">
        <v>260</v>
      </c>
      <c r="C95" s="83" t="s">
        <v>260</v>
      </c>
      <c r="D95" s="83" t="s">
        <v>260</v>
      </c>
      <c r="E95" s="83" t="s">
        <v>260</v>
      </c>
      <c r="F95" s="83" t="s">
        <v>510</v>
      </c>
      <c r="G95" s="4" t="s">
        <v>260</v>
      </c>
      <c r="H95" s="4" t="s">
        <v>260</v>
      </c>
      <c r="I95" s="83" t="s">
        <v>260</v>
      </c>
      <c r="J95" s="4" t="s">
        <v>260</v>
      </c>
      <c r="K95" s="83" t="s">
        <v>260</v>
      </c>
      <c r="L95" s="83" t="s">
        <v>260</v>
      </c>
      <c r="M95" s="83" t="s">
        <v>285</v>
      </c>
      <c r="N95" s="83" t="s">
        <v>260</v>
      </c>
      <c r="O95" s="83" t="s">
        <v>260</v>
      </c>
      <c r="P95" s="83" t="s">
        <v>473</v>
      </c>
      <c r="Q95" s="83" t="s">
        <v>493</v>
      </c>
      <c r="R95" s="83" t="s">
        <v>511</v>
      </c>
      <c r="S95" s="4" t="s">
        <v>241</v>
      </c>
      <c r="T95" s="4" t="s">
        <v>15</v>
      </c>
      <c r="U95" s="4">
        <v>0.01</v>
      </c>
      <c r="V95" s="4">
        <f>U95/2</f>
        <v>5.0000000000000001E-3</v>
      </c>
      <c r="W95" s="4">
        <f>V95*MW/24.45</f>
        <v>6.0656441717791422E-2</v>
      </c>
      <c r="X95" s="82">
        <v>480</v>
      </c>
      <c r="Y95" s="4">
        <f>W95</f>
        <v>6.0656441717791422E-2</v>
      </c>
      <c r="Z95" s="83" t="s">
        <v>260</v>
      </c>
      <c r="AA95" s="83" t="s">
        <v>260</v>
      </c>
      <c r="AB95" s="4" t="s">
        <v>494</v>
      </c>
      <c r="AC95" s="4" t="s">
        <v>495</v>
      </c>
      <c r="AD95" s="83" t="s">
        <v>260</v>
      </c>
      <c r="AE95" s="83" t="s">
        <v>496</v>
      </c>
    </row>
    <row r="96" spans="1:31" s="102" customFormat="1" ht="42" x14ac:dyDescent="0.35">
      <c r="A96" s="109" t="s">
        <v>315</v>
      </c>
      <c r="B96" s="109" t="s">
        <v>740</v>
      </c>
      <c r="C96" s="109" t="s">
        <v>499</v>
      </c>
      <c r="D96" s="109" t="s">
        <v>318</v>
      </c>
      <c r="E96" s="109" t="s">
        <v>262</v>
      </c>
      <c r="F96" s="102" t="s">
        <v>260</v>
      </c>
      <c r="G96" s="131" t="s">
        <v>260</v>
      </c>
      <c r="H96" s="131" t="s">
        <v>260</v>
      </c>
      <c r="I96" s="109" t="s">
        <v>260</v>
      </c>
      <c r="J96" s="131" t="s">
        <v>260</v>
      </c>
      <c r="K96" s="109" t="s">
        <v>15</v>
      </c>
      <c r="L96" s="109" t="s">
        <v>260</v>
      </c>
      <c r="M96" s="109" t="s">
        <v>323</v>
      </c>
      <c r="N96" s="102" t="s">
        <v>260</v>
      </c>
      <c r="O96" s="102" t="s">
        <v>260</v>
      </c>
      <c r="P96" s="109" t="s">
        <v>512</v>
      </c>
      <c r="Q96" s="109" t="s">
        <v>326</v>
      </c>
      <c r="R96" s="109" t="s">
        <v>513</v>
      </c>
      <c r="S96" s="131" t="s">
        <v>241</v>
      </c>
      <c r="T96" s="131" t="s">
        <v>10</v>
      </c>
      <c r="U96" s="131" t="s">
        <v>834</v>
      </c>
      <c r="V96" s="131" t="s">
        <v>834</v>
      </c>
      <c r="W96" s="131">
        <f>P96*MW/24.45</f>
        <v>43.672638036809822</v>
      </c>
      <c r="X96" s="131" t="str">
        <f>R96</f>
        <v>55.00</v>
      </c>
      <c r="Y96" s="131">
        <f>W96*X96/E96</f>
        <v>5.0041564417177922</v>
      </c>
      <c r="Z96" s="109" t="s">
        <v>260</v>
      </c>
      <c r="AA96" s="109" t="s">
        <v>260</v>
      </c>
      <c r="AB96" s="131" t="s">
        <v>15</v>
      </c>
      <c r="AC96" s="128" t="s">
        <v>273</v>
      </c>
      <c r="AD96" s="109" t="s">
        <v>430</v>
      </c>
      <c r="AE96" s="132" t="s">
        <v>836</v>
      </c>
    </row>
    <row r="97" spans="1:31" s="102" customFormat="1" ht="42" x14ac:dyDescent="0.35">
      <c r="A97" s="109" t="s">
        <v>315</v>
      </c>
      <c r="B97" s="109" t="s">
        <v>740</v>
      </c>
      <c r="C97" s="109" t="s">
        <v>499</v>
      </c>
      <c r="D97" s="109" t="s">
        <v>318</v>
      </c>
      <c r="E97" s="109" t="s">
        <v>262</v>
      </c>
      <c r="F97" s="102" t="s">
        <v>260</v>
      </c>
      <c r="G97" s="131" t="s">
        <v>260</v>
      </c>
      <c r="H97" s="131" t="s">
        <v>260</v>
      </c>
      <c r="I97" s="109" t="s">
        <v>260</v>
      </c>
      <c r="J97" s="131" t="s">
        <v>260</v>
      </c>
      <c r="K97" s="109" t="s">
        <v>15</v>
      </c>
      <c r="L97" s="109" t="s">
        <v>260</v>
      </c>
      <c r="M97" s="109" t="s">
        <v>323</v>
      </c>
      <c r="N97" s="102" t="s">
        <v>260</v>
      </c>
      <c r="O97" s="102" t="s">
        <v>260</v>
      </c>
      <c r="P97" s="109" t="s">
        <v>514</v>
      </c>
      <c r="Q97" s="109" t="s">
        <v>326</v>
      </c>
      <c r="R97" s="109" t="s">
        <v>260</v>
      </c>
      <c r="S97" s="131" t="s">
        <v>241</v>
      </c>
      <c r="T97" s="131" t="s">
        <v>10</v>
      </c>
      <c r="U97" s="131">
        <v>3.4000000000000002E-2</v>
      </c>
      <c r="V97" s="131">
        <f>U97/2</f>
        <v>1.7000000000000001E-2</v>
      </c>
      <c r="W97" s="131">
        <f>V97*MW/24.45</f>
        <v>0.20623190184049084</v>
      </c>
      <c r="X97" s="131" t="str">
        <f>E97</f>
        <v>480</v>
      </c>
      <c r="Y97" s="131">
        <f>W97</f>
        <v>0.20623190184049084</v>
      </c>
      <c r="Z97" s="109" t="s">
        <v>260</v>
      </c>
      <c r="AA97" s="109" t="s">
        <v>260</v>
      </c>
      <c r="AB97" s="131" t="s">
        <v>15</v>
      </c>
      <c r="AC97" s="128" t="s">
        <v>266</v>
      </c>
      <c r="AD97" s="109" t="s">
        <v>430</v>
      </c>
      <c r="AE97" s="132" t="s">
        <v>836</v>
      </c>
    </row>
    <row r="98" spans="1:31" s="102" customFormat="1" ht="42" x14ac:dyDescent="0.35">
      <c r="A98" s="109" t="s">
        <v>315</v>
      </c>
      <c r="B98" s="109" t="s">
        <v>740</v>
      </c>
      <c r="C98" s="109" t="s">
        <v>499</v>
      </c>
      <c r="D98" s="109" t="s">
        <v>318</v>
      </c>
      <c r="E98" s="109" t="s">
        <v>262</v>
      </c>
      <c r="F98" s="102" t="s">
        <v>260</v>
      </c>
      <c r="G98" s="131" t="s">
        <v>260</v>
      </c>
      <c r="H98" s="131" t="s">
        <v>260</v>
      </c>
      <c r="I98" s="109" t="s">
        <v>260</v>
      </c>
      <c r="J98" s="131" t="s">
        <v>260</v>
      </c>
      <c r="K98" s="109" t="s">
        <v>15</v>
      </c>
      <c r="L98" s="109" t="s">
        <v>260</v>
      </c>
      <c r="M98" s="109" t="s">
        <v>323</v>
      </c>
      <c r="N98" s="102" t="s">
        <v>260</v>
      </c>
      <c r="O98" s="102" t="s">
        <v>260</v>
      </c>
      <c r="P98" s="109" t="s">
        <v>500</v>
      </c>
      <c r="Q98" s="109" t="s">
        <v>326</v>
      </c>
      <c r="R98" s="109" t="s">
        <v>260</v>
      </c>
      <c r="S98" s="131" t="s">
        <v>241</v>
      </c>
      <c r="T98" s="131" t="s">
        <v>10</v>
      </c>
      <c r="U98" s="131" t="s">
        <v>834</v>
      </c>
      <c r="V98" s="131" t="s">
        <v>834</v>
      </c>
      <c r="W98" s="131">
        <f>P98*MW/24.45</f>
        <v>0.24262576687116569</v>
      </c>
      <c r="X98" s="131" t="str">
        <f>E98</f>
        <v>480</v>
      </c>
      <c r="Y98" s="131">
        <f>W98</f>
        <v>0.24262576687116569</v>
      </c>
      <c r="Z98" s="109" t="s">
        <v>260</v>
      </c>
      <c r="AA98" s="109" t="s">
        <v>260</v>
      </c>
      <c r="AB98" s="131" t="s">
        <v>15</v>
      </c>
      <c r="AC98" s="128" t="s">
        <v>266</v>
      </c>
      <c r="AD98" s="109" t="s">
        <v>430</v>
      </c>
      <c r="AE98" s="132" t="s">
        <v>836</v>
      </c>
    </row>
    <row r="99" spans="1:31" s="102" customFormat="1" ht="42" x14ac:dyDescent="0.35">
      <c r="A99" s="109" t="s">
        <v>315</v>
      </c>
      <c r="B99" s="109" t="s">
        <v>740</v>
      </c>
      <c r="C99" s="109" t="s">
        <v>499</v>
      </c>
      <c r="D99" s="109" t="s">
        <v>318</v>
      </c>
      <c r="E99" s="109" t="s">
        <v>262</v>
      </c>
      <c r="F99" s="102" t="s">
        <v>260</v>
      </c>
      <c r="G99" s="131" t="s">
        <v>260</v>
      </c>
      <c r="H99" s="131" t="s">
        <v>260</v>
      </c>
      <c r="I99" s="109" t="s">
        <v>260</v>
      </c>
      <c r="J99" s="131" t="s">
        <v>260</v>
      </c>
      <c r="K99" s="109" t="s">
        <v>15</v>
      </c>
      <c r="L99" s="109" t="s">
        <v>260</v>
      </c>
      <c r="M99" s="109" t="s">
        <v>260</v>
      </c>
      <c r="N99" s="102" t="s">
        <v>260</v>
      </c>
      <c r="O99" s="102" t="s">
        <v>260</v>
      </c>
      <c r="P99" s="109" t="s">
        <v>515</v>
      </c>
      <c r="Q99" s="109" t="s">
        <v>326</v>
      </c>
      <c r="R99" s="109" t="s">
        <v>260</v>
      </c>
      <c r="S99" s="131" t="s">
        <v>241</v>
      </c>
      <c r="T99" s="131" t="s">
        <v>10</v>
      </c>
      <c r="U99" s="131" t="s">
        <v>834</v>
      </c>
      <c r="V99" s="131" t="s">
        <v>834</v>
      </c>
      <c r="W99" s="131">
        <f>P99*MW/24.45</f>
        <v>1.2131288343558284</v>
      </c>
      <c r="X99" s="131" t="str">
        <f>E99</f>
        <v>480</v>
      </c>
      <c r="Y99" s="131">
        <f>W99</f>
        <v>1.2131288343558284</v>
      </c>
      <c r="Z99" s="109" t="s">
        <v>260</v>
      </c>
      <c r="AA99" s="109" t="s">
        <v>260</v>
      </c>
      <c r="AB99" s="131" t="s">
        <v>15</v>
      </c>
      <c r="AC99" s="128" t="s">
        <v>266</v>
      </c>
      <c r="AD99" s="109" t="s">
        <v>430</v>
      </c>
      <c r="AE99" s="132" t="s">
        <v>836</v>
      </c>
    </row>
    <row r="100" spans="1:31" customFormat="1" ht="58" hidden="1" x14ac:dyDescent="0.35">
      <c r="A100" s="83" t="s">
        <v>315</v>
      </c>
      <c r="B100" s="83" t="s">
        <v>260</v>
      </c>
      <c r="C100" s="83" t="s">
        <v>260</v>
      </c>
      <c r="D100" s="83" t="s">
        <v>260</v>
      </c>
      <c r="E100" s="83" t="s">
        <v>260</v>
      </c>
      <c r="F100" s="83" t="s">
        <v>516</v>
      </c>
      <c r="G100" s="4" t="s">
        <v>260</v>
      </c>
      <c r="H100" s="4" t="s">
        <v>260</v>
      </c>
      <c r="I100" s="83" t="s">
        <v>260</v>
      </c>
      <c r="J100" s="4" t="s">
        <v>260</v>
      </c>
      <c r="K100" s="83" t="s">
        <v>260</v>
      </c>
      <c r="L100" s="83" t="s">
        <v>260</v>
      </c>
      <c r="M100" s="83" t="s">
        <v>285</v>
      </c>
      <c r="N100" s="83" t="s">
        <v>260</v>
      </c>
      <c r="O100" s="83" t="s">
        <v>260</v>
      </c>
      <c r="P100" s="83" t="s">
        <v>473</v>
      </c>
      <c r="Q100" s="83" t="s">
        <v>493</v>
      </c>
      <c r="R100" s="83" t="s">
        <v>293</v>
      </c>
      <c r="S100" s="4" t="s">
        <v>241</v>
      </c>
      <c r="T100" s="4" t="s">
        <v>15</v>
      </c>
      <c r="U100" s="4">
        <v>0.01</v>
      </c>
      <c r="V100" s="4">
        <f>U100/2</f>
        <v>5.0000000000000001E-3</v>
      </c>
      <c r="W100" s="4">
        <f>V100*MW/24.45</f>
        <v>6.0656441717791422E-2</v>
      </c>
      <c r="X100" s="82">
        <v>480</v>
      </c>
      <c r="Y100" s="4">
        <f>W100</f>
        <v>6.0656441717791422E-2</v>
      </c>
      <c r="Z100" s="83" t="s">
        <v>260</v>
      </c>
      <c r="AA100" s="83" t="s">
        <v>260</v>
      </c>
      <c r="AB100" s="4" t="s">
        <v>494</v>
      </c>
      <c r="AC100" s="4" t="s">
        <v>495</v>
      </c>
      <c r="AD100" s="83" t="s">
        <v>260</v>
      </c>
      <c r="AE100" s="83" t="s">
        <v>496</v>
      </c>
    </row>
    <row r="101" spans="1:31" s="102" customFormat="1" ht="42" x14ac:dyDescent="0.35">
      <c r="A101" s="109" t="s">
        <v>315</v>
      </c>
      <c r="B101" s="109" t="s">
        <v>740</v>
      </c>
      <c r="C101" s="109" t="s">
        <v>499</v>
      </c>
      <c r="D101" s="109" t="s">
        <v>318</v>
      </c>
      <c r="E101" s="109" t="s">
        <v>262</v>
      </c>
      <c r="F101" s="102" t="s">
        <v>260</v>
      </c>
      <c r="G101" s="131" t="s">
        <v>260</v>
      </c>
      <c r="H101" s="131" t="s">
        <v>260</v>
      </c>
      <c r="I101" s="109" t="s">
        <v>260</v>
      </c>
      <c r="J101" s="131" t="s">
        <v>260</v>
      </c>
      <c r="K101" s="109" t="s">
        <v>15</v>
      </c>
      <c r="L101" s="109" t="s">
        <v>260</v>
      </c>
      <c r="M101" s="109" t="s">
        <v>260</v>
      </c>
      <c r="N101" s="102" t="s">
        <v>260</v>
      </c>
      <c r="O101" s="102" t="s">
        <v>260</v>
      </c>
      <c r="P101" s="109" t="s">
        <v>517</v>
      </c>
      <c r="Q101" s="109" t="s">
        <v>326</v>
      </c>
      <c r="R101" s="109" t="s">
        <v>260</v>
      </c>
      <c r="S101" s="131" t="s">
        <v>241</v>
      </c>
      <c r="T101" s="131" t="s">
        <v>10</v>
      </c>
      <c r="U101" s="131" t="s">
        <v>834</v>
      </c>
      <c r="V101" s="131" t="s">
        <v>834</v>
      </c>
      <c r="W101" s="131">
        <f>P101*MW/24.45</f>
        <v>2.7901963190184054</v>
      </c>
      <c r="X101" s="131" t="str">
        <f>E101</f>
        <v>480</v>
      </c>
      <c r="Y101" s="131">
        <f>W101</f>
        <v>2.7901963190184054</v>
      </c>
      <c r="Z101" s="109" t="s">
        <v>260</v>
      </c>
      <c r="AA101" s="109" t="s">
        <v>260</v>
      </c>
      <c r="AB101" s="131" t="s">
        <v>15</v>
      </c>
      <c r="AC101" s="128" t="s">
        <v>266</v>
      </c>
      <c r="AD101" s="109" t="s">
        <v>430</v>
      </c>
      <c r="AE101" s="132" t="s">
        <v>836</v>
      </c>
    </row>
    <row r="102" spans="1:31" customFormat="1" ht="43.5" hidden="1" x14ac:dyDescent="0.35">
      <c r="A102" s="83" t="s">
        <v>447</v>
      </c>
      <c r="B102" s="83" t="s">
        <v>448</v>
      </c>
      <c r="C102" s="83" t="s">
        <v>260</v>
      </c>
      <c r="D102" s="83" t="s">
        <v>260</v>
      </c>
      <c r="E102" s="83" t="s">
        <v>260</v>
      </c>
      <c r="F102" s="4" t="s">
        <v>518</v>
      </c>
      <c r="G102" s="4" t="s">
        <v>260</v>
      </c>
      <c r="H102" s="4" t="s">
        <v>260</v>
      </c>
      <c r="I102" s="83" t="s">
        <v>260</v>
      </c>
      <c r="J102" s="4" t="s">
        <v>260</v>
      </c>
      <c r="K102" s="83" t="s">
        <v>260</v>
      </c>
      <c r="L102" s="83" t="s">
        <v>260</v>
      </c>
      <c r="M102" s="83" t="s">
        <v>285</v>
      </c>
      <c r="N102" s="83" t="s">
        <v>519</v>
      </c>
      <c r="O102" s="83" t="s">
        <v>520</v>
      </c>
      <c r="P102" s="83" t="s">
        <v>521</v>
      </c>
      <c r="Q102" s="83" t="s">
        <v>493</v>
      </c>
      <c r="R102" s="83" t="s">
        <v>522</v>
      </c>
      <c r="S102" s="4" t="s">
        <v>241</v>
      </c>
      <c r="T102" s="4" t="s">
        <v>10</v>
      </c>
      <c r="U102" s="4" t="s">
        <v>265</v>
      </c>
      <c r="V102" s="4" t="s">
        <v>265</v>
      </c>
      <c r="W102" s="4">
        <f>P102*MW/24.45</f>
        <v>112.82098159509205</v>
      </c>
      <c r="X102" s="82" t="str">
        <f>R102</f>
        <v>496</v>
      </c>
      <c r="Y102" s="4">
        <f>W102*X102/480</f>
        <v>116.58168098159511</v>
      </c>
      <c r="Z102" s="83" t="s">
        <v>260</v>
      </c>
      <c r="AA102" s="83" t="s">
        <v>260</v>
      </c>
      <c r="AB102" s="4" t="s">
        <v>457</v>
      </c>
      <c r="AC102" s="4" t="s">
        <v>429</v>
      </c>
      <c r="AD102" s="83" t="s">
        <v>458</v>
      </c>
      <c r="AE102" s="83" t="s">
        <v>459</v>
      </c>
    </row>
    <row r="103" spans="1:31" s="102" customFormat="1" ht="42" x14ac:dyDescent="0.35">
      <c r="A103" s="109" t="s">
        <v>315</v>
      </c>
      <c r="B103" s="109" t="s">
        <v>740</v>
      </c>
      <c r="C103" s="109" t="s">
        <v>499</v>
      </c>
      <c r="D103" s="109" t="s">
        <v>318</v>
      </c>
      <c r="E103" s="109" t="s">
        <v>262</v>
      </c>
      <c r="F103" s="102" t="s">
        <v>260</v>
      </c>
      <c r="G103" s="131" t="s">
        <v>260</v>
      </c>
      <c r="H103" s="131" t="s">
        <v>260</v>
      </c>
      <c r="I103" s="109" t="s">
        <v>260</v>
      </c>
      <c r="J103" s="131" t="s">
        <v>260</v>
      </c>
      <c r="K103" s="109" t="s">
        <v>15</v>
      </c>
      <c r="L103" s="109" t="s">
        <v>260</v>
      </c>
      <c r="M103" s="109" t="s">
        <v>260</v>
      </c>
      <c r="N103" s="102" t="s">
        <v>260</v>
      </c>
      <c r="O103" s="102" t="s">
        <v>260</v>
      </c>
      <c r="P103" s="109" t="s">
        <v>523</v>
      </c>
      <c r="Q103" s="109" t="s">
        <v>326</v>
      </c>
      <c r="R103" s="109" t="s">
        <v>260</v>
      </c>
      <c r="S103" s="131" t="s">
        <v>241</v>
      </c>
      <c r="T103" s="131" t="s">
        <v>10</v>
      </c>
      <c r="U103" s="131" t="s">
        <v>834</v>
      </c>
      <c r="V103" s="131" t="s">
        <v>834</v>
      </c>
      <c r="W103" s="131">
        <f>P103*MW/24.45</f>
        <v>2.6688834355828219</v>
      </c>
      <c r="X103" s="131" t="str">
        <f>E103</f>
        <v>480</v>
      </c>
      <c r="Y103" s="131">
        <f>W103</f>
        <v>2.6688834355828219</v>
      </c>
      <c r="Z103" s="109" t="s">
        <v>260</v>
      </c>
      <c r="AA103" s="109" t="s">
        <v>260</v>
      </c>
      <c r="AB103" s="131" t="s">
        <v>15</v>
      </c>
      <c r="AC103" s="128" t="s">
        <v>266</v>
      </c>
      <c r="AD103" s="109" t="s">
        <v>430</v>
      </c>
      <c r="AE103" s="132" t="s">
        <v>836</v>
      </c>
    </row>
    <row r="104" spans="1:31" customFormat="1" ht="58" hidden="1" x14ac:dyDescent="0.35">
      <c r="A104" s="83" t="s">
        <v>315</v>
      </c>
      <c r="B104" s="83" t="s">
        <v>260</v>
      </c>
      <c r="C104" s="83" t="s">
        <v>260</v>
      </c>
      <c r="D104" s="83" t="s">
        <v>260</v>
      </c>
      <c r="E104" s="83" t="s">
        <v>260</v>
      </c>
      <c r="F104" s="83" t="s">
        <v>524</v>
      </c>
      <c r="G104" s="4" t="s">
        <v>260</v>
      </c>
      <c r="H104" s="4" t="s">
        <v>260</v>
      </c>
      <c r="I104" s="83" t="s">
        <v>260</v>
      </c>
      <c r="J104" s="4" t="s">
        <v>260</v>
      </c>
      <c r="K104" s="83" t="s">
        <v>260</v>
      </c>
      <c r="L104" s="83" t="s">
        <v>260</v>
      </c>
      <c r="M104" s="83" t="s">
        <v>285</v>
      </c>
      <c r="N104" s="83" t="s">
        <v>260</v>
      </c>
      <c r="O104" s="83" t="s">
        <v>260</v>
      </c>
      <c r="P104" s="83" t="s">
        <v>473</v>
      </c>
      <c r="Q104" s="83" t="s">
        <v>493</v>
      </c>
      <c r="R104" s="83" t="s">
        <v>525</v>
      </c>
      <c r="S104" s="4" t="s">
        <v>241</v>
      </c>
      <c r="T104" s="4" t="s">
        <v>15</v>
      </c>
      <c r="U104" s="4">
        <v>0.01</v>
      </c>
      <c r="V104" s="4">
        <f>U104/2</f>
        <v>5.0000000000000001E-3</v>
      </c>
      <c r="W104" s="4">
        <f>V104*MW/24.45</f>
        <v>6.0656441717791422E-2</v>
      </c>
      <c r="X104" s="82">
        <v>480</v>
      </c>
      <c r="Y104" s="4">
        <f>W104</f>
        <v>6.0656441717791422E-2</v>
      </c>
      <c r="Z104" s="83" t="s">
        <v>260</v>
      </c>
      <c r="AA104" s="83" t="s">
        <v>260</v>
      </c>
      <c r="AB104" s="4" t="s">
        <v>494</v>
      </c>
      <c r="AC104" s="4" t="s">
        <v>495</v>
      </c>
      <c r="AD104" s="83" t="s">
        <v>260</v>
      </c>
      <c r="AE104" s="83" t="s">
        <v>496</v>
      </c>
    </row>
    <row r="105" spans="1:31" s="102" customFormat="1" ht="42" x14ac:dyDescent="0.35">
      <c r="A105" s="109" t="s">
        <v>315</v>
      </c>
      <c r="B105" s="109" t="s">
        <v>740</v>
      </c>
      <c r="C105" s="109" t="s">
        <v>499</v>
      </c>
      <c r="D105" s="109" t="s">
        <v>318</v>
      </c>
      <c r="E105" s="109" t="s">
        <v>262</v>
      </c>
      <c r="F105" s="102" t="s">
        <v>260</v>
      </c>
      <c r="G105" s="131" t="s">
        <v>260</v>
      </c>
      <c r="H105" s="131" t="s">
        <v>260</v>
      </c>
      <c r="I105" s="109" t="s">
        <v>260</v>
      </c>
      <c r="J105" s="131" t="s">
        <v>260</v>
      </c>
      <c r="K105" s="109" t="s">
        <v>15</v>
      </c>
      <c r="L105" s="109" t="s">
        <v>260</v>
      </c>
      <c r="M105" s="109" t="s">
        <v>260</v>
      </c>
      <c r="N105" s="102" t="s">
        <v>260</v>
      </c>
      <c r="O105" s="102" t="s">
        <v>260</v>
      </c>
      <c r="P105" s="109" t="s">
        <v>526</v>
      </c>
      <c r="Q105" s="109" t="s">
        <v>326</v>
      </c>
      <c r="R105" s="109" t="s">
        <v>260</v>
      </c>
      <c r="S105" s="131" t="s">
        <v>241</v>
      </c>
      <c r="T105" s="131" t="s">
        <v>10</v>
      </c>
      <c r="U105" s="131" t="s">
        <v>834</v>
      </c>
      <c r="V105" s="131" t="s">
        <v>834</v>
      </c>
      <c r="W105" s="131">
        <f>P105*MW/24.45</f>
        <v>3.3967607361963195</v>
      </c>
      <c r="X105" s="131" t="str">
        <f>E105</f>
        <v>480</v>
      </c>
      <c r="Y105" s="131">
        <f>W105</f>
        <v>3.3967607361963195</v>
      </c>
      <c r="Z105" s="109" t="s">
        <v>260</v>
      </c>
      <c r="AA105" s="109" t="s">
        <v>260</v>
      </c>
      <c r="AB105" s="131" t="s">
        <v>15</v>
      </c>
      <c r="AC105" s="128" t="s">
        <v>266</v>
      </c>
      <c r="AD105" s="109" t="s">
        <v>430</v>
      </c>
      <c r="AE105" s="132" t="s">
        <v>836</v>
      </c>
    </row>
    <row r="106" spans="1:31" customFormat="1" ht="58" hidden="1" x14ac:dyDescent="0.35">
      <c r="A106" s="83" t="s">
        <v>315</v>
      </c>
      <c r="B106" s="83" t="s">
        <v>260</v>
      </c>
      <c r="C106" s="83" t="s">
        <v>260</v>
      </c>
      <c r="D106" s="83" t="s">
        <v>260</v>
      </c>
      <c r="E106" s="83" t="s">
        <v>260</v>
      </c>
      <c r="F106" s="83" t="s">
        <v>527</v>
      </c>
      <c r="G106" s="4" t="s">
        <v>260</v>
      </c>
      <c r="H106" s="4" t="s">
        <v>260</v>
      </c>
      <c r="I106" s="83" t="s">
        <v>260</v>
      </c>
      <c r="J106" s="4" t="s">
        <v>260</v>
      </c>
      <c r="K106" s="83" t="s">
        <v>260</v>
      </c>
      <c r="L106" s="83" t="s">
        <v>260</v>
      </c>
      <c r="M106" s="83" t="s">
        <v>285</v>
      </c>
      <c r="N106" s="83" t="s">
        <v>260</v>
      </c>
      <c r="O106" s="83" t="s">
        <v>260</v>
      </c>
      <c r="P106" s="83" t="s">
        <v>528</v>
      </c>
      <c r="Q106" s="83" t="s">
        <v>493</v>
      </c>
      <c r="R106" s="83" t="s">
        <v>529</v>
      </c>
      <c r="S106" s="4" t="s">
        <v>241</v>
      </c>
      <c r="T106" s="4" t="s">
        <v>10</v>
      </c>
      <c r="U106" s="4" t="s">
        <v>265</v>
      </c>
      <c r="V106" s="4" t="s">
        <v>265</v>
      </c>
      <c r="W106" s="4">
        <f>P106*MW/24.45</f>
        <v>66.72208588957055</v>
      </c>
      <c r="X106" s="82" t="str">
        <f>R106</f>
        <v>445</v>
      </c>
      <c r="Y106" s="4">
        <f>W106*X106/480</f>
        <v>61.856933793456029</v>
      </c>
      <c r="Z106" s="83" t="s">
        <v>260</v>
      </c>
      <c r="AA106" s="83" t="s">
        <v>260</v>
      </c>
      <c r="AB106" s="4" t="s">
        <v>494</v>
      </c>
      <c r="AC106" s="4" t="s">
        <v>429</v>
      </c>
      <c r="AD106" s="83" t="s">
        <v>260</v>
      </c>
      <c r="AE106" s="83" t="s">
        <v>496</v>
      </c>
    </row>
    <row r="107" spans="1:31" s="102" customFormat="1" ht="42" x14ac:dyDescent="0.35">
      <c r="A107" s="109" t="s">
        <v>315</v>
      </c>
      <c r="B107" s="109" t="s">
        <v>740</v>
      </c>
      <c r="C107" s="109" t="s">
        <v>499</v>
      </c>
      <c r="D107" s="109" t="s">
        <v>318</v>
      </c>
      <c r="E107" s="109" t="s">
        <v>262</v>
      </c>
      <c r="F107" s="102" t="s">
        <v>260</v>
      </c>
      <c r="G107" s="131" t="s">
        <v>260</v>
      </c>
      <c r="H107" s="131" t="s">
        <v>260</v>
      </c>
      <c r="I107" s="109" t="s">
        <v>260</v>
      </c>
      <c r="J107" s="131" t="s">
        <v>260</v>
      </c>
      <c r="K107" s="109" t="s">
        <v>15</v>
      </c>
      <c r="L107" s="109" t="s">
        <v>260</v>
      </c>
      <c r="M107" s="109" t="s">
        <v>260</v>
      </c>
      <c r="N107" s="102" t="s">
        <v>260</v>
      </c>
      <c r="O107" s="102" t="s">
        <v>260</v>
      </c>
      <c r="P107" s="109" t="s">
        <v>530</v>
      </c>
      <c r="Q107" s="109" t="s">
        <v>326</v>
      </c>
      <c r="R107" s="109" t="s">
        <v>260</v>
      </c>
      <c r="S107" s="131" t="s">
        <v>241</v>
      </c>
      <c r="T107" s="131" t="s">
        <v>10</v>
      </c>
      <c r="U107" s="131" t="s">
        <v>834</v>
      </c>
      <c r="V107" s="131" t="s">
        <v>834</v>
      </c>
      <c r="W107" s="131">
        <f>P107*MW/24.45</f>
        <v>5.3377668711656439</v>
      </c>
      <c r="X107" s="131" t="str">
        <f>E107</f>
        <v>480</v>
      </c>
      <c r="Y107" s="131">
        <f t="shared" ref="Y107:Y127" si="9">W107</f>
        <v>5.3377668711656439</v>
      </c>
      <c r="Z107" s="109" t="s">
        <v>260</v>
      </c>
      <c r="AA107" s="109" t="s">
        <v>260</v>
      </c>
      <c r="AB107" s="131" t="s">
        <v>15</v>
      </c>
      <c r="AC107" s="128" t="s">
        <v>266</v>
      </c>
      <c r="AD107" s="109" t="s">
        <v>430</v>
      </c>
      <c r="AE107" s="132" t="s">
        <v>836</v>
      </c>
    </row>
    <row r="108" spans="1:31" customFormat="1" ht="58" hidden="1" x14ac:dyDescent="0.35">
      <c r="A108" s="83" t="s">
        <v>315</v>
      </c>
      <c r="B108" s="83" t="s">
        <v>260</v>
      </c>
      <c r="C108" s="83" t="s">
        <v>260</v>
      </c>
      <c r="D108" s="83" t="s">
        <v>260</v>
      </c>
      <c r="E108" s="83" t="s">
        <v>260</v>
      </c>
      <c r="F108" s="83" t="s">
        <v>531</v>
      </c>
      <c r="G108" s="4" t="s">
        <v>260</v>
      </c>
      <c r="H108" s="4" t="s">
        <v>260</v>
      </c>
      <c r="I108" s="83" t="s">
        <v>260</v>
      </c>
      <c r="J108" s="4" t="s">
        <v>260</v>
      </c>
      <c r="K108" s="83" t="s">
        <v>260</v>
      </c>
      <c r="L108" s="83" t="s">
        <v>260</v>
      </c>
      <c r="M108" s="83" t="s">
        <v>285</v>
      </c>
      <c r="N108" s="83" t="s">
        <v>260</v>
      </c>
      <c r="O108" s="83" t="s">
        <v>260</v>
      </c>
      <c r="P108" s="83" t="s">
        <v>473</v>
      </c>
      <c r="Q108" s="83" t="s">
        <v>493</v>
      </c>
      <c r="R108" s="83" t="s">
        <v>532</v>
      </c>
      <c r="S108" s="4" t="s">
        <v>241</v>
      </c>
      <c r="T108" s="4" t="s">
        <v>15</v>
      </c>
      <c r="U108" s="4">
        <v>0.01</v>
      </c>
      <c r="V108" s="4">
        <f>U108/2</f>
        <v>5.0000000000000001E-3</v>
      </c>
      <c r="W108" s="4">
        <f>V108*MW/24.45</f>
        <v>6.0656441717791422E-2</v>
      </c>
      <c r="X108" s="82">
        <v>480</v>
      </c>
      <c r="Y108" s="4">
        <f t="shared" si="9"/>
        <v>6.0656441717791422E-2</v>
      </c>
      <c r="Z108" s="83" t="s">
        <v>260</v>
      </c>
      <c r="AA108" s="83" t="s">
        <v>260</v>
      </c>
      <c r="AB108" s="4" t="s">
        <v>494</v>
      </c>
      <c r="AC108" s="4" t="s">
        <v>495</v>
      </c>
      <c r="AD108" s="83" t="s">
        <v>260</v>
      </c>
      <c r="AE108" s="83" t="s">
        <v>496</v>
      </c>
    </row>
    <row r="109" spans="1:31" s="102" customFormat="1" ht="42" x14ac:dyDescent="0.35">
      <c r="A109" s="109" t="s">
        <v>315</v>
      </c>
      <c r="B109" s="109" t="s">
        <v>740</v>
      </c>
      <c r="C109" s="109" t="s">
        <v>499</v>
      </c>
      <c r="D109" s="109" t="s">
        <v>318</v>
      </c>
      <c r="E109" s="109" t="s">
        <v>262</v>
      </c>
      <c r="F109" s="102" t="s">
        <v>260</v>
      </c>
      <c r="G109" s="131" t="s">
        <v>260</v>
      </c>
      <c r="H109" s="131" t="s">
        <v>260</v>
      </c>
      <c r="I109" s="109" t="s">
        <v>260</v>
      </c>
      <c r="J109" s="131" t="s">
        <v>260</v>
      </c>
      <c r="K109" s="109" t="s">
        <v>15</v>
      </c>
      <c r="L109" s="109" t="s">
        <v>260</v>
      </c>
      <c r="M109" s="109" t="s">
        <v>260</v>
      </c>
      <c r="N109" s="102" t="s">
        <v>260</v>
      </c>
      <c r="O109" s="102" t="s">
        <v>260</v>
      </c>
      <c r="P109" s="109" t="s">
        <v>533</v>
      </c>
      <c r="Q109" s="109" t="s">
        <v>326</v>
      </c>
      <c r="R109" s="109" t="s">
        <v>260</v>
      </c>
      <c r="S109" s="131" t="s">
        <v>241</v>
      </c>
      <c r="T109" s="131" t="s">
        <v>10</v>
      </c>
      <c r="U109" s="131" t="s">
        <v>834</v>
      </c>
      <c r="V109" s="131" t="s">
        <v>834</v>
      </c>
      <c r="W109" s="131">
        <f>P109*MW/24.45</f>
        <v>2.5475705521472394</v>
      </c>
      <c r="X109" s="131" t="str">
        <f>E109</f>
        <v>480</v>
      </c>
      <c r="Y109" s="131">
        <f t="shared" si="9"/>
        <v>2.5475705521472394</v>
      </c>
      <c r="Z109" s="109" t="s">
        <v>260</v>
      </c>
      <c r="AA109" s="109" t="s">
        <v>260</v>
      </c>
      <c r="AB109" s="131" t="s">
        <v>15</v>
      </c>
      <c r="AC109" s="128" t="s">
        <v>266</v>
      </c>
      <c r="AD109" s="109" t="s">
        <v>430</v>
      </c>
      <c r="AE109" s="132" t="s">
        <v>836</v>
      </c>
    </row>
    <row r="110" spans="1:31" customFormat="1" ht="58" hidden="1" x14ac:dyDescent="0.35">
      <c r="A110" s="83" t="s">
        <v>315</v>
      </c>
      <c r="B110" s="83" t="s">
        <v>260</v>
      </c>
      <c r="C110" s="83" t="s">
        <v>260</v>
      </c>
      <c r="D110" s="83" t="s">
        <v>260</v>
      </c>
      <c r="E110" s="83" t="s">
        <v>260</v>
      </c>
      <c r="F110" s="83" t="s">
        <v>534</v>
      </c>
      <c r="G110" s="4" t="s">
        <v>260</v>
      </c>
      <c r="H110" s="4" t="s">
        <v>260</v>
      </c>
      <c r="I110" s="83" t="s">
        <v>260</v>
      </c>
      <c r="J110" s="4" t="s">
        <v>260</v>
      </c>
      <c r="K110" s="83" t="s">
        <v>260</v>
      </c>
      <c r="L110" s="83" t="s">
        <v>260</v>
      </c>
      <c r="M110" s="83" t="s">
        <v>285</v>
      </c>
      <c r="N110" s="83" t="s">
        <v>260</v>
      </c>
      <c r="O110" s="83" t="s">
        <v>260</v>
      </c>
      <c r="P110" s="83" t="s">
        <v>473</v>
      </c>
      <c r="Q110" s="83" t="s">
        <v>493</v>
      </c>
      <c r="R110" s="83" t="s">
        <v>535</v>
      </c>
      <c r="S110" s="4" t="s">
        <v>241</v>
      </c>
      <c r="T110" s="4" t="s">
        <v>15</v>
      </c>
      <c r="U110" s="4">
        <v>0.01</v>
      </c>
      <c r="V110" s="4">
        <f>U110/2</f>
        <v>5.0000000000000001E-3</v>
      </c>
      <c r="W110" s="4">
        <f>V110*MW/24.45</f>
        <v>6.0656441717791422E-2</v>
      </c>
      <c r="X110" s="82">
        <v>480</v>
      </c>
      <c r="Y110" s="4">
        <f t="shared" si="9"/>
        <v>6.0656441717791422E-2</v>
      </c>
      <c r="Z110" s="83" t="s">
        <v>260</v>
      </c>
      <c r="AA110" s="83" t="s">
        <v>260</v>
      </c>
      <c r="AB110" s="4" t="s">
        <v>494</v>
      </c>
      <c r="AC110" s="4" t="s">
        <v>495</v>
      </c>
      <c r="AD110" s="83" t="s">
        <v>260</v>
      </c>
      <c r="AE110" s="83" t="s">
        <v>496</v>
      </c>
    </row>
    <row r="111" spans="1:31" s="102" customFormat="1" ht="42" x14ac:dyDescent="0.35">
      <c r="A111" s="109" t="s">
        <v>315</v>
      </c>
      <c r="B111" s="109" t="s">
        <v>740</v>
      </c>
      <c r="C111" s="109" t="s">
        <v>499</v>
      </c>
      <c r="D111" s="109" t="s">
        <v>318</v>
      </c>
      <c r="E111" s="109" t="s">
        <v>262</v>
      </c>
      <c r="F111" s="102" t="s">
        <v>260</v>
      </c>
      <c r="G111" s="131" t="s">
        <v>260</v>
      </c>
      <c r="H111" s="131" t="s">
        <v>260</v>
      </c>
      <c r="I111" s="109" t="s">
        <v>260</v>
      </c>
      <c r="J111" s="131" t="s">
        <v>260</v>
      </c>
      <c r="K111" s="109" t="s">
        <v>15</v>
      </c>
      <c r="L111" s="109" t="s">
        <v>260</v>
      </c>
      <c r="M111" s="109" t="s">
        <v>346</v>
      </c>
      <c r="N111" s="102" t="s">
        <v>260</v>
      </c>
      <c r="O111" s="102" t="s">
        <v>260</v>
      </c>
      <c r="P111" s="109" t="s">
        <v>498</v>
      </c>
      <c r="Q111" s="109" t="s">
        <v>326</v>
      </c>
      <c r="R111" s="109" t="s">
        <v>260</v>
      </c>
      <c r="S111" s="131" t="s">
        <v>241</v>
      </c>
      <c r="T111" s="131" t="s">
        <v>10</v>
      </c>
      <c r="U111" s="131" t="s">
        <v>834</v>
      </c>
      <c r="V111" s="131" t="s">
        <v>834</v>
      </c>
      <c r="W111" s="131">
        <f>P111*MW/24.45</f>
        <v>0.12131288343558284</v>
      </c>
      <c r="X111" s="131" t="str">
        <f>E111</f>
        <v>480</v>
      </c>
      <c r="Y111" s="131">
        <f t="shared" si="9"/>
        <v>0.12131288343558284</v>
      </c>
      <c r="Z111" s="109" t="s">
        <v>260</v>
      </c>
      <c r="AA111" s="109" t="s">
        <v>260</v>
      </c>
      <c r="AB111" s="131" t="s">
        <v>15</v>
      </c>
      <c r="AC111" s="128" t="s">
        <v>266</v>
      </c>
      <c r="AD111" s="109" t="s">
        <v>430</v>
      </c>
      <c r="AE111" s="132" t="s">
        <v>836</v>
      </c>
    </row>
    <row r="112" spans="1:31" customFormat="1" ht="58" hidden="1" x14ac:dyDescent="0.35">
      <c r="A112" s="83" t="s">
        <v>315</v>
      </c>
      <c r="B112" s="83" t="s">
        <v>260</v>
      </c>
      <c r="C112" s="83" t="s">
        <v>260</v>
      </c>
      <c r="D112" s="83" t="s">
        <v>260</v>
      </c>
      <c r="E112" s="83" t="s">
        <v>260</v>
      </c>
      <c r="F112" s="83" t="s">
        <v>536</v>
      </c>
      <c r="G112" s="4" t="s">
        <v>260</v>
      </c>
      <c r="H112" s="4" t="s">
        <v>260</v>
      </c>
      <c r="I112" s="83" t="s">
        <v>260</v>
      </c>
      <c r="J112" s="4" t="s">
        <v>260</v>
      </c>
      <c r="K112" s="83" t="s">
        <v>260</v>
      </c>
      <c r="L112" s="83" t="s">
        <v>260</v>
      </c>
      <c r="M112" s="83" t="s">
        <v>285</v>
      </c>
      <c r="N112" s="83" t="s">
        <v>260</v>
      </c>
      <c r="O112" s="83" t="s">
        <v>260</v>
      </c>
      <c r="P112" s="83" t="s">
        <v>473</v>
      </c>
      <c r="Q112" s="83" t="s">
        <v>493</v>
      </c>
      <c r="R112" s="83" t="s">
        <v>537</v>
      </c>
      <c r="S112" s="4" t="s">
        <v>241</v>
      </c>
      <c r="T112" s="4" t="s">
        <v>15</v>
      </c>
      <c r="U112" s="4">
        <v>0.01</v>
      </c>
      <c r="V112" s="4">
        <f>U112/2</f>
        <v>5.0000000000000001E-3</v>
      </c>
      <c r="W112" s="4">
        <f>V112*MW/24.45</f>
        <v>6.0656441717791422E-2</v>
      </c>
      <c r="X112" s="82">
        <v>480</v>
      </c>
      <c r="Y112" s="4">
        <f t="shared" si="9"/>
        <v>6.0656441717791422E-2</v>
      </c>
      <c r="Z112" s="83" t="s">
        <v>260</v>
      </c>
      <c r="AA112" s="83" t="s">
        <v>260</v>
      </c>
      <c r="AB112" s="4" t="s">
        <v>494</v>
      </c>
      <c r="AC112" s="4" t="s">
        <v>495</v>
      </c>
      <c r="AD112" s="83" t="s">
        <v>260</v>
      </c>
      <c r="AE112" s="83" t="s">
        <v>496</v>
      </c>
    </row>
    <row r="113" spans="1:31" s="102" customFormat="1" ht="42" x14ac:dyDescent="0.35">
      <c r="A113" s="109" t="s">
        <v>315</v>
      </c>
      <c r="B113" s="109" t="s">
        <v>740</v>
      </c>
      <c r="C113" s="109" t="s">
        <v>499</v>
      </c>
      <c r="D113" s="109" t="s">
        <v>318</v>
      </c>
      <c r="E113" s="109" t="s">
        <v>262</v>
      </c>
      <c r="F113" s="102" t="s">
        <v>260</v>
      </c>
      <c r="G113" s="131" t="s">
        <v>260</v>
      </c>
      <c r="H113" s="131" t="s">
        <v>260</v>
      </c>
      <c r="I113" s="109" t="s">
        <v>260</v>
      </c>
      <c r="J113" s="131" t="s">
        <v>260</v>
      </c>
      <c r="K113" s="109" t="s">
        <v>15</v>
      </c>
      <c r="L113" s="109" t="s">
        <v>260</v>
      </c>
      <c r="M113" s="109" t="s">
        <v>323</v>
      </c>
      <c r="N113" s="102" t="s">
        <v>260</v>
      </c>
      <c r="O113" s="102" t="s">
        <v>260</v>
      </c>
      <c r="P113" s="109" t="s">
        <v>538</v>
      </c>
      <c r="Q113" s="109" t="s">
        <v>326</v>
      </c>
      <c r="R113" s="109" t="s">
        <v>260</v>
      </c>
      <c r="S113" s="131" t="s">
        <v>241</v>
      </c>
      <c r="T113" s="131" t="s">
        <v>10</v>
      </c>
      <c r="U113" s="131" t="s">
        <v>834</v>
      </c>
      <c r="V113" s="131" t="s">
        <v>834</v>
      </c>
      <c r="W113" s="131">
        <f>P113*MW/24.45</f>
        <v>74.00085889570552</v>
      </c>
      <c r="X113" s="131" t="str">
        <f>E113</f>
        <v>480</v>
      </c>
      <c r="Y113" s="131">
        <f t="shared" si="9"/>
        <v>74.00085889570552</v>
      </c>
      <c r="Z113" s="109" t="s">
        <v>260</v>
      </c>
      <c r="AA113" s="109" t="s">
        <v>260</v>
      </c>
      <c r="AB113" s="131" t="s">
        <v>15</v>
      </c>
      <c r="AC113" s="128" t="s">
        <v>266</v>
      </c>
      <c r="AD113" s="109" t="s">
        <v>430</v>
      </c>
      <c r="AE113" s="132" t="s">
        <v>836</v>
      </c>
    </row>
    <row r="114" spans="1:31" customFormat="1" ht="58" hidden="1" x14ac:dyDescent="0.35">
      <c r="A114" s="83" t="s">
        <v>315</v>
      </c>
      <c r="B114" s="83" t="s">
        <v>260</v>
      </c>
      <c r="C114" s="83" t="s">
        <v>260</v>
      </c>
      <c r="D114" s="83" t="s">
        <v>260</v>
      </c>
      <c r="E114" s="83" t="s">
        <v>260</v>
      </c>
      <c r="F114" s="83" t="s">
        <v>539</v>
      </c>
      <c r="G114" s="4" t="s">
        <v>260</v>
      </c>
      <c r="H114" s="4" t="s">
        <v>260</v>
      </c>
      <c r="I114" s="83" t="s">
        <v>260</v>
      </c>
      <c r="J114" s="4" t="s">
        <v>260</v>
      </c>
      <c r="K114" s="83" t="s">
        <v>260</v>
      </c>
      <c r="L114" s="83" t="s">
        <v>260</v>
      </c>
      <c r="M114" s="83" t="s">
        <v>285</v>
      </c>
      <c r="N114" s="83" t="s">
        <v>260</v>
      </c>
      <c r="O114" s="83" t="s">
        <v>260</v>
      </c>
      <c r="P114" s="83" t="s">
        <v>473</v>
      </c>
      <c r="Q114" s="83" t="s">
        <v>493</v>
      </c>
      <c r="R114" s="83" t="s">
        <v>540</v>
      </c>
      <c r="S114" s="4" t="s">
        <v>241</v>
      </c>
      <c r="T114" s="4" t="s">
        <v>15</v>
      </c>
      <c r="U114" s="4">
        <v>0.01</v>
      </c>
      <c r="V114" s="4">
        <f>U114/2</f>
        <v>5.0000000000000001E-3</v>
      </c>
      <c r="W114" s="4">
        <f>V114*MW/24.45</f>
        <v>6.0656441717791422E-2</v>
      </c>
      <c r="X114" s="82">
        <v>480</v>
      </c>
      <c r="Y114" s="4">
        <f t="shared" si="9"/>
        <v>6.0656441717791422E-2</v>
      </c>
      <c r="Z114" s="83" t="s">
        <v>260</v>
      </c>
      <c r="AA114" s="83" t="s">
        <v>260</v>
      </c>
      <c r="AB114" s="4" t="s">
        <v>494</v>
      </c>
      <c r="AC114" s="4" t="s">
        <v>495</v>
      </c>
      <c r="AD114" s="83" t="s">
        <v>260</v>
      </c>
      <c r="AE114" s="83" t="s">
        <v>496</v>
      </c>
    </row>
    <row r="115" spans="1:31" s="102" customFormat="1" ht="42" x14ac:dyDescent="0.35">
      <c r="A115" s="109" t="s">
        <v>315</v>
      </c>
      <c r="B115" s="109" t="s">
        <v>740</v>
      </c>
      <c r="C115" s="109" t="s">
        <v>499</v>
      </c>
      <c r="D115" s="109" t="s">
        <v>318</v>
      </c>
      <c r="E115" s="109" t="s">
        <v>262</v>
      </c>
      <c r="F115" s="102" t="s">
        <v>260</v>
      </c>
      <c r="G115" s="131" t="s">
        <v>260</v>
      </c>
      <c r="H115" s="131" t="s">
        <v>260</v>
      </c>
      <c r="I115" s="109" t="s">
        <v>260</v>
      </c>
      <c r="J115" s="131" t="s">
        <v>260</v>
      </c>
      <c r="K115" s="109" t="s">
        <v>15</v>
      </c>
      <c r="L115" s="109" t="s">
        <v>260</v>
      </c>
      <c r="M115" s="109" t="s">
        <v>323</v>
      </c>
      <c r="N115" s="102" t="s">
        <v>260</v>
      </c>
      <c r="O115" s="102" t="s">
        <v>260</v>
      </c>
      <c r="P115" s="109" t="s">
        <v>541</v>
      </c>
      <c r="Q115" s="109" t="s">
        <v>326</v>
      </c>
      <c r="R115" s="109" t="s">
        <v>260</v>
      </c>
      <c r="S115" s="131" t="s">
        <v>241</v>
      </c>
      <c r="T115" s="131" t="s">
        <v>10</v>
      </c>
      <c r="U115" s="131" t="s">
        <v>834</v>
      </c>
      <c r="V115" s="131" t="s">
        <v>834</v>
      </c>
      <c r="W115" s="131">
        <f>P115*MW/24.45</f>
        <v>0.48525153374233138</v>
      </c>
      <c r="X115" s="131" t="str">
        <f>E115</f>
        <v>480</v>
      </c>
      <c r="Y115" s="131">
        <f t="shared" si="9"/>
        <v>0.48525153374233138</v>
      </c>
      <c r="Z115" s="109" t="s">
        <v>260</v>
      </c>
      <c r="AA115" s="109" t="s">
        <v>260</v>
      </c>
      <c r="AB115" s="131" t="s">
        <v>15</v>
      </c>
      <c r="AC115" s="128" t="s">
        <v>266</v>
      </c>
      <c r="AD115" s="109" t="s">
        <v>430</v>
      </c>
      <c r="AE115" s="132" t="s">
        <v>836</v>
      </c>
    </row>
    <row r="116" spans="1:31" customFormat="1" ht="58" hidden="1" x14ac:dyDescent="0.35">
      <c r="A116" s="83" t="s">
        <v>315</v>
      </c>
      <c r="B116" s="83" t="s">
        <v>260</v>
      </c>
      <c r="C116" s="83" t="s">
        <v>260</v>
      </c>
      <c r="D116" s="83" t="s">
        <v>260</v>
      </c>
      <c r="E116" s="83" t="s">
        <v>260</v>
      </c>
      <c r="F116" s="83" t="s">
        <v>542</v>
      </c>
      <c r="G116" s="4" t="s">
        <v>260</v>
      </c>
      <c r="H116" s="4" t="s">
        <v>260</v>
      </c>
      <c r="I116" s="83" t="s">
        <v>260</v>
      </c>
      <c r="J116" s="4" t="s">
        <v>260</v>
      </c>
      <c r="K116" s="83" t="s">
        <v>260</v>
      </c>
      <c r="L116" s="83" t="s">
        <v>260</v>
      </c>
      <c r="M116" s="83" t="s">
        <v>285</v>
      </c>
      <c r="N116" s="83" t="s">
        <v>260</v>
      </c>
      <c r="O116" s="83" t="s">
        <v>260</v>
      </c>
      <c r="P116" s="83" t="s">
        <v>473</v>
      </c>
      <c r="Q116" s="83" t="s">
        <v>493</v>
      </c>
      <c r="R116" s="83" t="s">
        <v>543</v>
      </c>
      <c r="S116" s="4" t="s">
        <v>241</v>
      </c>
      <c r="T116" s="4" t="s">
        <v>15</v>
      </c>
      <c r="U116" s="4">
        <v>0.01</v>
      </c>
      <c r="V116" s="4">
        <f>U116/2</f>
        <v>5.0000000000000001E-3</v>
      </c>
      <c r="W116" s="4">
        <f>V116*MW/24.45</f>
        <v>6.0656441717791422E-2</v>
      </c>
      <c r="X116" s="82">
        <v>480</v>
      </c>
      <c r="Y116" s="4">
        <f t="shared" si="9"/>
        <v>6.0656441717791422E-2</v>
      </c>
      <c r="Z116" s="83" t="s">
        <v>260</v>
      </c>
      <c r="AA116" s="83" t="s">
        <v>260</v>
      </c>
      <c r="AB116" s="4" t="s">
        <v>494</v>
      </c>
      <c r="AC116" s="4" t="s">
        <v>495</v>
      </c>
      <c r="AD116" s="83" t="s">
        <v>260</v>
      </c>
      <c r="AE116" s="83" t="s">
        <v>496</v>
      </c>
    </row>
    <row r="117" spans="1:31" s="102" customFormat="1" ht="42" x14ac:dyDescent="0.35">
      <c r="A117" s="109" t="s">
        <v>315</v>
      </c>
      <c r="B117" s="109" t="s">
        <v>740</v>
      </c>
      <c r="C117" s="109" t="s">
        <v>499</v>
      </c>
      <c r="D117" s="109" t="s">
        <v>318</v>
      </c>
      <c r="E117" s="109" t="s">
        <v>262</v>
      </c>
      <c r="F117" s="102" t="s">
        <v>260</v>
      </c>
      <c r="G117" s="131" t="s">
        <v>260</v>
      </c>
      <c r="H117" s="131" t="s">
        <v>260</v>
      </c>
      <c r="I117" s="109" t="s">
        <v>260</v>
      </c>
      <c r="J117" s="131" t="s">
        <v>260</v>
      </c>
      <c r="K117" s="109" t="s">
        <v>15</v>
      </c>
      <c r="L117" s="109" t="s">
        <v>260</v>
      </c>
      <c r="M117" s="109" t="s">
        <v>323</v>
      </c>
      <c r="N117" s="102" t="s">
        <v>260</v>
      </c>
      <c r="O117" s="102" t="s">
        <v>260</v>
      </c>
      <c r="P117" s="109" t="s">
        <v>515</v>
      </c>
      <c r="Q117" s="109" t="s">
        <v>326</v>
      </c>
      <c r="R117" s="109" t="s">
        <v>260</v>
      </c>
      <c r="S117" s="131" t="s">
        <v>241</v>
      </c>
      <c r="T117" s="131" t="s">
        <v>10</v>
      </c>
      <c r="U117" s="131" t="s">
        <v>834</v>
      </c>
      <c r="V117" s="131" t="s">
        <v>834</v>
      </c>
      <c r="W117" s="131">
        <f>P117*MW/24.45</f>
        <v>1.2131288343558284</v>
      </c>
      <c r="X117" s="131" t="str">
        <f>E117</f>
        <v>480</v>
      </c>
      <c r="Y117" s="131">
        <f t="shared" si="9"/>
        <v>1.2131288343558284</v>
      </c>
      <c r="Z117" s="109" t="s">
        <v>260</v>
      </c>
      <c r="AA117" s="109" t="s">
        <v>260</v>
      </c>
      <c r="AB117" s="131" t="s">
        <v>15</v>
      </c>
      <c r="AC117" s="128" t="s">
        <v>266</v>
      </c>
      <c r="AD117" s="109" t="s">
        <v>430</v>
      </c>
      <c r="AE117" s="132" t="s">
        <v>836</v>
      </c>
    </row>
    <row r="118" spans="1:31" customFormat="1" ht="58" hidden="1" x14ac:dyDescent="0.35">
      <c r="A118" s="83" t="s">
        <v>315</v>
      </c>
      <c r="B118" s="83" t="s">
        <v>260</v>
      </c>
      <c r="C118" s="83" t="s">
        <v>260</v>
      </c>
      <c r="D118" s="83" t="s">
        <v>260</v>
      </c>
      <c r="E118" s="83" t="s">
        <v>260</v>
      </c>
      <c r="F118" s="83" t="s">
        <v>544</v>
      </c>
      <c r="G118" s="4" t="s">
        <v>260</v>
      </c>
      <c r="H118" s="4" t="s">
        <v>260</v>
      </c>
      <c r="I118" s="83" t="s">
        <v>260</v>
      </c>
      <c r="J118" s="4" t="s">
        <v>260</v>
      </c>
      <c r="K118" s="83" t="s">
        <v>260</v>
      </c>
      <c r="L118" s="83" t="s">
        <v>260</v>
      </c>
      <c r="M118" s="83" t="s">
        <v>285</v>
      </c>
      <c r="N118" s="83" t="s">
        <v>260</v>
      </c>
      <c r="O118" s="83" t="s">
        <v>260</v>
      </c>
      <c r="P118" s="83" t="s">
        <v>473</v>
      </c>
      <c r="Q118" s="83" t="s">
        <v>493</v>
      </c>
      <c r="R118" s="83" t="s">
        <v>359</v>
      </c>
      <c r="S118" s="4" t="s">
        <v>241</v>
      </c>
      <c r="T118" s="4" t="s">
        <v>15</v>
      </c>
      <c r="U118" s="4">
        <v>0.01</v>
      </c>
      <c r="V118" s="4">
        <f>U118/2</f>
        <v>5.0000000000000001E-3</v>
      </c>
      <c r="W118" s="4">
        <f>V118*MW/24.45</f>
        <v>6.0656441717791422E-2</v>
      </c>
      <c r="X118" s="82">
        <v>480</v>
      </c>
      <c r="Y118" s="4">
        <f t="shared" si="9"/>
        <v>6.0656441717791422E-2</v>
      </c>
      <c r="Z118" s="83" t="s">
        <v>260</v>
      </c>
      <c r="AA118" s="83" t="s">
        <v>260</v>
      </c>
      <c r="AB118" s="4" t="s">
        <v>494</v>
      </c>
      <c r="AC118" s="4" t="s">
        <v>495</v>
      </c>
      <c r="AD118" s="83" t="s">
        <v>260</v>
      </c>
      <c r="AE118" s="83" t="s">
        <v>496</v>
      </c>
    </row>
    <row r="119" spans="1:31" s="102" customFormat="1" ht="42" x14ac:dyDescent="0.35">
      <c r="A119" s="109" t="s">
        <v>315</v>
      </c>
      <c r="B119" s="109" t="s">
        <v>740</v>
      </c>
      <c r="C119" s="109" t="s">
        <v>499</v>
      </c>
      <c r="D119" s="109" t="s">
        <v>318</v>
      </c>
      <c r="E119" s="109" t="s">
        <v>262</v>
      </c>
      <c r="F119" s="102" t="s">
        <v>260</v>
      </c>
      <c r="G119" s="131" t="s">
        <v>260</v>
      </c>
      <c r="H119" s="131" t="s">
        <v>260</v>
      </c>
      <c r="I119" s="109" t="s">
        <v>260</v>
      </c>
      <c r="J119" s="131" t="s">
        <v>260</v>
      </c>
      <c r="K119" s="109" t="s">
        <v>15</v>
      </c>
      <c r="L119" s="109" t="s">
        <v>260</v>
      </c>
      <c r="M119" s="109" t="s">
        <v>323</v>
      </c>
      <c r="N119" s="102" t="s">
        <v>260</v>
      </c>
      <c r="O119" s="102" t="s">
        <v>260</v>
      </c>
      <c r="P119" s="109" t="s">
        <v>541</v>
      </c>
      <c r="Q119" s="109" t="s">
        <v>326</v>
      </c>
      <c r="R119" s="109" t="s">
        <v>260</v>
      </c>
      <c r="S119" s="131" t="s">
        <v>241</v>
      </c>
      <c r="T119" s="131" t="s">
        <v>10</v>
      </c>
      <c r="U119" s="131" t="s">
        <v>834</v>
      </c>
      <c r="V119" s="131" t="s">
        <v>834</v>
      </c>
      <c r="W119" s="131">
        <f>P119*MW/24.45</f>
        <v>0.48525153374233138</v>
      </c>
      <c r="X119" s="131" t="str">
        <f>E119</f>
        <v>480</v>
      </c>
      <c r="Y119" s="131">
        <f t="shared" si="9"/>
        <v>0.48525153374233138</v>
      </c>
      <c r="Z119" s="109" t="s">
        <v>260</v>
      </c>
      <c r="AA119" s="109" t="s">
        <v>260</v>
      </c>
      <c r="AB119" s="131" t="s">
        <v>15</v>
      </c>
      <c r="AC119" s="128" t="s">
        <v>266</v>
      </c>
      <c r="AD119" s="109" t="s">
        <v>430</v>
      </c>
      <c r="AE119" s="132" t="s">
        <v>836</v>
      </c>
    </row>
    <row r="120" spans="1:31" s="102" customFormat="1" ht="42" x14ac:dyDescent="0.35">
      <c r="A120" s="109" t="s">
        <v>315</v>
      </c>
      <c r="B120" s="109" t="s">
        <v>740</v>
      </c>
      <c r="C120" s="109" t="s">
        <v>499</v>
      </c>
      <c r="D120" s="109" t="s">
        <v>318</v>
      </c>
      <c r="E120" s="109" t="s">
        <v>262</v>
      </c>
      <c r="F120" s="102" t="s">
        <v>260</v>
      </c>
      <c r="G120" s="131" t="s">
        <v>260</v>
      </c>
      <c r="H120" s="131" t="s">
        <v>260</v>
      </c>
      <c r="I120" s="109" t="s">
        <v>260</v>
      </c>
      <c r="J120" s="131" t="s">
        <v>260</v>
      </c>
      <c r="K120" s="109" t="s">
        <v>15</v>
      </c>
      <c r="L120" s="109" t="s">
        <v>260</v>
      </c>
      <c r="M120" s="109" t="s">
        <v>323</v>
      </c>
      <c r="N120" s="102" t="s">
        <v>260</v>
      </c>
      <c r="O120" s="102" t="s">
        <v>260</v>
      </c>
      <c r="P120" s="109" t="s">
        <v>500</v>
      </c>
      <c r="Q120" s="109" t="s">
        <v>326</v>
      </c>
      <c r="R120" s="109" t="s">
        <v>260</v>
      </c>
      <c r="S120" s="131" t="s">
        <v>241</v>
      </c>
      <c r="T120" s="131" t="s">
        <v>10</v>
      </c>
      <c r="U120" s="131" t="s">
        <v>834</v>
      </c>
      <c r="V120" s="131" t="s">
        <v>834</v>
      </c>
      <c r="W120" s="131">
        <f>P120*MW/24.45</f>
        <v>0.24262576687116569</v>
      </c>
      <c r="X120" s="131" t="str">
        <f>E120</f>
        <v>480</v>
      </c>
      <c r="Y120" s="131">
        <f t="shared" si="9"/>
        <v>0.24262576687116569</v>
      </c>
      <c r="Z120" s="109" t="s">
        <v>260</v>
      </c>
      <c r="AA120" s="109" t="s">
        <v>260</v>
      </c>
      <c r="AB120" s="131" t="s">
        <v>15</v>
      </c>
      <c r="AC120" s="128" t="s">
        <v>266</v>
      </c>
      <c r="AD120" s="109" t="s">
        <v>430</v>
      </c>
      <c r="AE120" s="132" t="s">
        <v>836</v>
      </c>
    </row>
    <row r="121" spans="1:31" customFormat="1" ht="58" hidden="1" x14ac:dyDescent="0.35">
      <c r="A121" s="83" t="s">
        <v>315</v>
      </c>
      <c r="B121" s="83" t="s">
        <v>260</v>
      </c>
      <c r="C121" s="83" t="s">
        <v>260</v>
      </c>
      <c r="D121" s="83" t="s">
        <v>260</v>
      </c>
      <c r="E121" s="83" t="s">
        <v>260</v>
      </c>
      <c r="F121" s="83" t="s">
        <v>545</v>
      </c>
      <c r="G121" s="4" t="s">
        <v>260</v>
      </c>
      <c r="H121" s="4" t="s">
        <v>260</v>
      </c>
      <c r="I121" s="83" t="s">
        <v>260</v>
      </c>
      <c r="J121" s="4" t="s">
        <v>260</v>
      </c>
      <c r="K121" s="83" t="s">
        <v>260</v>
      </c>
      <c r="L121" s="83" t="s">
        <v>260</v>
      </c>
      <c r="M121" s="83" t="s">
        <v>285</v>
      </c>
      <c r="N121" s="83" t="s">
        <v>260</v>
      </c>
      <c r="O121" s="83" t="s">
        <v>260</v>
      </c>
      <c r="P121" s="83" t="s">
        <v>473</v>
      </c>
      <c r="Q121" s="83" t="s">
        <v>493</v>
      </c>
      <c r="R121" s="83" t="s">
        <v>546</v>
      </c>
      <c r="S121" s="4" t="s">
        <v>241</v>
      </c>
      <c r="T121" s="4" t="s">
        <v>15</v>
      </c>
      <c r="U121" s="4">
        <v>0.01</v>
      </c>
      <c r="V121" s="4">
        <f>U121/2</f>
        <v>5.0000000000000001E-3</v>
      </c>
      <c r="W121" s="4">
        <f>V121*MW/24.45</f>
        <v>6.0656441717791422E-2</v>
      </c>
      <c r="X121" s="82">
        <v>480</v>
      </c>
      <c r="Y121" s="4">
        <f t="shared" si="9"/>
        <v>6.0656441717791422E-2</v>
      </c>
      <c r="Z121" s="83" t="s">
        <v>260</v>
      </c>
      <c r="AA121" s="83" t="s">
        <v>260</v>
      </c>
      <c r="AB121" s="4" t="s">
        <v>494</v>
      </c>
      <c r="AC121" s="4" t="s">
        <v>495</v>
      </c>
      <c r="AD121" s="83" t="s">
        <v>260</v>
      </c>
      <c r="AE121" s="83" t="s">
        <v>496</v>
      </c>
    </row>
    <row r="122" spans="1:31" s="102" customFormat="1" ht="42" x14ac:dyDescent="0.35">
      <c r="A122" s="109" t="s">
        <v>315</v>
      </c>
      <c r="B122" s="109" t="s">
        <v>740</v>
      </c>
      <c r="C122" s="109" t="s">
        <v>499</v>
      </c>
      <c r="D122" s="109" t="s">
        <v>318</v>
      </c>
      <c r="E122" s="109" t="s">
        <v>262</v>
      </c>
      <c r="F122" s="102" t="s">
        <v>260</v>
      </c>
      <c r="G122" s="131" t="s">
        <v>260</v>
      </c>
      <c r="H122" s="131" t="s">
        <v>260</v>
      </c>
      <c r="I122" s="109" t="s">
        <v>260</v>
      </c>
      <c r="J122" s="131" t="s">
        <v>260</v>
      </c>
      <c r="K122" s="109" t="s">
        <v>15</v>
      </c>
      <c r="L122" s="109" t="s">
        <v>260</v>
      </c>
      <c r="M122" s="109" t="s">
        <v>323</v>
      </c>
      <c r="N122" s="102" t="s">
        <v>260</v>
      </c>
      <c r="O122" s="102" t="s">
        <v>260</v>
      </c>
      <c r="P122" s="109" t="s">
        <v>547</v>
      </c>
      <c r="Q122" s="109" t="s">
        <v>326</v>
      </c>
      <c r="R122" s="109" t="s">
        <v>260</v>
      </c>
      <c r="S122" s="131" t="s">
        <v>241</v>
      </c>
      <c r="T122" s="131" t="s">
        <v>10</v>
      </c>
      <c r="U122" s="131" t="s">
        <v>834</v>
      </c>
      <c r="V122" s="131" t="s">
        <v>834</v>
      </c>
      <c r="W122" s="131">
        <f>P122*MW/24.45</f>
        <v>4.6098895705521477</v>
      </c>
      <c r="X122" s="131" t="str">
        <f>E122</f>
        <v>480</v>
      </c>
      <c r="Y122" s="131">
        <f t="shared" si="9"/>
        <v>4.6098895705521477</v>
      </c>
      <c r="Z122" s="109" t="s">
        <v>260</v>
      </c>
      <c r="AA122" s="109" t="s">
        <v>260</v>
      </c>
      <c r="AB122" s="131" t="s">
        <v>15</v>
      </c>
      <c r="AC122" s="128" t="s">
        <v>266</v>
      </c>
      <c r="AD122" s="109" t="s">
        <v>430</v>
      </c>
      <c r="AE122" s="132" t="s">
        <v>836</v>
      </c>
    </row>
    <row r="123" spans="1:31" s="102" customFormat="1" ht="42" x14ac:dyDescent="0.35">
      <c r="A123" s="109" t="s">
        <v>315</v>
      </c>
      <c r="B123" s="109" t="s">
        <v>740</v>
      </c>
      <c r="C123" s="109" t="s">
        <v>499</v>
      </c>
      <c r="D123" s="109" t="s">
        <v>318</v>
      </c>
      <c r="E123" s="109" t="s">
        <v>262</v>
      </c>
      <c r="F123" s="102" t="s">
        <v>260</v>
      </c>
      <c r="G123" s="131" t="s">
        <v>260</v>
      </c>
      <c r="H123" s="131" t="s">
        <v>260</v>
      </c>
      <c r="I123" s="109" t="s">
        <v>260</v>
      </c>
      <c r="J123" s="131" t="s">
        <v>260</v>
      </c>
      <c r="K123" s="109" t="s">
        <v>15</v>
      </c>
      <c r="L123" s="109" t="s">
        <v>260</v>
      </c>
      <c r="M123" s="109" t="s">
        <v>323</v>
      </c>
      <c r="N123" s="102" t="s">
        <v>260</v>
      </c>
      <c r="O123" s="102" t="s">
        <v>260</v>
      </c>
      <c r="P123" s="109" t="s">
        <v>548</v>
      </c>
      <c r="Q123" s="109" t="s">
        <v>326</v>
      </c>
      <c r="R123" s="109" t="s">
        <v>260</v>
      </c>
      <c r="S123" s="131" t="s">
        <v>241</v>
      </c>
      <c r="T123" s="131" t="s">
        <v>10</v>
      </c>
      <c r="U123" s="131" t="s">
        <v>834</v>
      </c>
      <c r="V123" s="131" t="s">
        <v>834</v>
      </c>
      <c r="W123" s="131">
        <f>P123*MW/24.45</f>
        <v>10.190282208588958</v>
      </c>
      <c r="X123" s="131" t="str">
        <f>E123</f>
        <v>480</v>
      </c>
      <c r="Y123" s="131">
        <f t="shared" si="9"/>
        <v>10.190282208588958</v>
      </c>
      <c r="Z123" s="109" t="s">
        <v>260</v>
      </c>
      <c r="AA123" s="109" t="s">
        <v>260</v>
      </c>
      <c r="AB123" s="131" t="s">
        <v>15</v>
      </c>
      <c r="AC123" s="128" t="s">
        <v>266</v>
      </c>
      <c r="AD123" s="109" t="s">
        <v>430</v>
      </c>
      <c r="AE123" s="132" t="s">
        <v>836</v>
      </c>
    </row>
    <row r="124" spans="1:31" customFormat="1" ht="58" hidden="1" x14ac:dyDescent="0.35">
      <c r="A124" s="83" t="s">
        <v>315</v>
      </c>
      <c r="B124" s="83" t="s">
        <v>260</v>
      </c>
      <c r="C124" s="83" t="s">
        <v>260</v>
      </c>
      <c r="D124" s="83" t="s">
        <v>260</v>
      </c>
      <c r="E124" s="83" t="s">
        <v>260</v>
      </c>
      <c r="F124" s="83" t="s">
        <v>549</v>
      </c>
      <c r="G124" s="4" t="s">
        <v>260</v>
      </c>
      <c r="H124" s="4" t="s">
        <v>260</v>
      </c>
      <c r="I124" s="83" t="s">
        <v>260</v>
      </c>
      <c r="J124" s="4" t="s">
        <v>260</v>
      </c>
      <c r="K124" s="83" t="s">
        <v>260</v>
      </c>
      <c r="L124" s="83" t="s">
        <v>260</v>
      </c>
      <c r="M124" s="83" t="s">
        <v>285</v>
      </c>
      <c r="N124" s="83" t="s">
        <v>260</v>
      </c>
      <c r="O124" s="83" t="s">
        <v>260</v>
      </c>
      <c r="P124" s="83" t="s">
        <v>473</v>
      </c>
      <c r="Q124" s="83" t="s">
        <v>493</v>
      </c>
      <c r="R124" s="83" t="s">
        <v>550</v>
      </c>
      <c r="S124" s="4" t="s">
        <v>241</v>
      </c>
      <c r="T124" s="4" t="s">
        <v>15</v>
      </c>
      <c r="U124" s="4">
        <v>0.01</v>
      </c>
      <c r="V124" s="4">
        <f>U124/2</f>
        <v>5.0000000000000001E-3</v>
      </c>
      <c r="W124" s="4">
        <f>V124*MW/24.45</f>
        <v>6.0656441717791422E-2</v>
      </c>
      <c r="X124" s="82">
        <v>480</v>
      </c>
      <c r="Y124" s="4">
        <f t="shared" si="9"/>
        <v>6.0656441717791422E-2</v>
      </c>
      <c r="Z124" s="83" t="s">
        <v>260</v>
      </c>
      <c r="AA124" s="83" t="s">
        <v>260</v>
      </c>
      <c r="AB124" s="4" t="s">
        <v>494</v>
      </c>
      <c r="AC124" s="4" t="s">
        <v>495</v>
      </c>
      <c r="AD124" s="83" t="s">
        <v>260</v>
      </c>
      <c r="AE124" s="83" t="s">
        <v>496</v>
      </c>
    </row>
    <row r="125" spans="1:31" s="102" customFormat="1" ht="42" x14ac:dyDescent="0.35">
      <c r="A125" s="109" t="s">
        <v>315</v>
      </c>
      <c r="B125" s="109" t="s">
        <v>740</v>
      </c>
      <c r="C125" s="109" t="s">
        <v>499</v>
      </c>
      <c r="D125" s="109" t="s">
        <v>318</v>
      </c>
      <c r="E125" s="109" t="s">
        <v>262</v>
      </c>
      <c r="F125" s="102" t="s">
        <v>260</v>
      </c>
      <c r="G125" s="131" t="s">
        <v>260</v>
      </c>
      <c r="H125" s="131" t="s">
        <v>260</v>
      </c>
      <c r="I125" s="109" t="s">
        <v>260</v>
      </c>
      <c r="J125" s="131" t="s">
        <v>260</v>
      </c>
      <c r="K125" s="109" t="s">
        <v>15</v>
      </c>
      <c r="L125" s="109" t="s">
        <v>260</v>
      </c>
      <c r="M125" s="109" t="s">
        <v>323</v>
      </c>
      <c r="N125" s="102" t="s">
        <v>260</v>
      </c>
      <c r="O125" s="102" t="s">
        <v>260</v>
      </c>
      <c r="P125" s="109" t="s">
        <v>551</v>
      </c>
      <c r="Q125" s="109" t="s">
        <v>326</v>
      </c>
      <c r="R125" s="109" t="s">
        <v>260</v>
      </c>
      <c r="S125" s="131" t="s">
        <v>241</v>
      </c>
      <c r="T125" s="131" t="s">
        <v>10</v>
      </c>
      <c r="U125" s="131" t="s">
        <v>834</v>
      </c>
      <c r="V125" s="131" t="s">
        <v>834</v>
      </c>
      <c r="W125" s="131">
        <f>P125*MW/24.45</f>
        <v>25.475705521472396</v>
      </c>
      <c r="X125" s="131" t="str">
        <f t="shared" ref="X125:X130" si="10">E125</f>
        <v>480</v>
      </c>
      <c r="Y125" s="131">
        <f t="shared" si="9"/>
        <v>25.475705521472396</v>
      </c>
      <c r="Z125" s="109" t="s">
        <v>260</v>
      </c>
      <c r="AA125" s="109" t="s">
        <v>260</v>
      </c>
      <c r="AB125" s="131" t="s">
        <v>15</v>
      </c>
      <c r="AC125" s="128" t="s">
        <v>266</v>
      </c>
      <c r="AD125" s="109" t="s">
        <v>430</v>
      </c>
      <c r="AE125" s="132" t="s">
        <v>836</v>
      </c>
    </row>
    <row r="126" spans="1:31" s="102" customFormat="1" ht="42" x14ac:dyDescent="0.35">
      <c r="A126" s="109" t="s">
        <v>315</v>
      </c>
      <c r="B126" s="109" t="s">
        <v>740</v>
      </c>
      <c r="C126" s="109" t="s">
        <v>499</v>
      </c>
      <c r="D126" s="109" t="s">
        <v>318</v>
      </c>
      <c r="E126" s="109" t="s">
        <v>262</v>
      </c>
      <c r="F126" s="102" t="s">
        <v>260</v>
      </c>
      <c r="G126" s="131" t="s">
        <v>260</v>
      </c>
      <c r="H126" s="131" t="s">
        <v>260</v>
      </c>
      <c r="I126" s="109" t="s">
        <v>260</v>
      </c>
      <c r="J126" s="131" t="s">
        <v>260</v>
      </c>
      <c r="K126" s="109" t="s">
        <v>15</v>
      </c>
      <c r="L126" s="109" t="s">
        <v>260</v>
      </c>
      <c r="M126" s="109" t="s">
        <v>323</v>
      </c>
      <c r="N126" s="102" t="s">
        <v>260</v>
      </c>
      <c r="O126" s="102" t="s">
        <v>260</v>
      </c>
      <c r="P126" s="109" t="s">
        <v>507</v>
      </c>
      <c r="Q126" s="109" t="s">
        <v>326</v>
      </c>
      <c r="R126" s="109" t="s">
        <v>260</v>
      </c>
      <c r="S126" s="131" t="s">
        <v>241</v>
      </c>
      <c r="T126" s="131" t="s">
        <v>10</v>
      </c>
      <c r="U126" s="131" t="s">
        <v>834</v>
      </c>
      <c r="V126" s="131" t="s">
        <v>834</v>
      </c>
      <c r="W126" s="131">
        <f>P126*MW/24.45</f>
        <v>0.72787730061349698</v>
      </c>
      <c r="X126" s="131" t="str">
        <f t="shared" si="10"/>
        <v>480</v>
      </c>
      <c r="Y126" s="131">
        <f t="shared" si="9"/>
        <v>0.72787730061349698</v>
      </c>
      <c r="Z126" s="109" t="s">
        <v>260</v>
      </c>
      <c r="AA126" s="109" t="s">
        <v>260</v>
      </c>
      <c r="AB126" s="131" t="s">
        <v>15</v>
      </c>
      <c r="AC126" s="128" t="s">
        <v>266</v>
      </c>
      <c r="AD126" s="109" t="s">
        <v>430</v>
      </c>
      <c r="AE126" s="132" t="s">
        <v>836</v>
      </c>
    </row>
    <row r="127" spans="1:31" s="102" customFormat="1" ht="42" x14ac:dyDescent="0.35">
      <c r="A127" s="109" t="s">
        <v>315</v>
      </c>
      <c r="B127" s="109" t="s">
        <v>740</v>
      </c>
      <c r="C127" s="109" t="s">
        <v>499</v>
      </c>
      <c r="D127" s="109" t="s">
        <v>318</v>
      </c>
      <c r="E127" s="109" t="s">
        <v>262</v>
      </c>
      <c r="F127" s="102" t="s">
        <v>260</v>
      </c>
      <c r="G127" s="131" t="s">
        <v>260</v>
      </c>
      <c r="H127" s="131" t="s">
        <v>260</v>
      </c>
      <c r="I127" s="109" t="s">
        <v>260</v>
      </c>
      <c r="J127" s="131" t="s">
        <v>260</v>
      </c>
      <c r="K127" s="109" t="s">
        <v>15</v>
      </c>
      <c r="L127" s="109" t="s">
        <v>260</v>
      </c>
      <c r="M127" s="109" t="s">
        <v>323</v>
      </c>
      <c r="N127" s="102" t="s">
        <v>260</v>
      </c>
      <c r="O127" s="102" t="s">
        <v>260</v>
      </c>
      <c r="P127" s="109" t="s">
        <v>514</v>
      </c>
      <c r="Q127" s="109" t="s">
        <v>326</v>
      </c>
      <c r="R127" s="109" t="s">
        <v>260</v>
      </c>
      <c r="S127" s="131" t="s">
        <v>241</v>
      </c>
      <c r="T127" s="131" t="s">
        <v>15</v>
      </c>
      <c r="U127" s="131">
        <v>3.4000000000000002E-2</v>
      </c>
      <c r="V127" s="131">
        <f>U127/2</f>
        <v>1.7000000000000001E-2</v>
      </c>
      <c r="W127" s="131">
        <f>V127*MW/24.45</f>
        <v>0.20623190184049084</v>
      </c>
      <c r="X127" s="131" t="str">
        <f t="shared" si="10"/>
        <v>480</v>
      </c>
      <c r="Y127" s="131">
        <f t="shared" si="9"/>
        <v>0.20623190184049084</v>
      </c>
      <c r="Z127" s="109" t="s">
        <v>260</v>
      </c>
      <c r="AA127" s="109" t="s">
        <v>260</v>
      </c>
      <c r="AB127" s="131" t="s">
        <v>15</v>
      </c>
      <c r="AC127" s="128" t="s">
        <v>266</v>
      </c>
      <c r="AD127" s="109" t="s">
        <v>430</v>
      </c>
      <c r="AE127" s="132" t="s">
        <v>836</v>
      </c>
    </row>
    <row r="128" spans="1:31" customFormat="1" ht="58" hidden="1" x14ac:dyDescent="0.35">
      <c r="A128" s="83" t="s">
        <v>315</v>
      </c>
      <c r="B128" s="83" t="s">
        <v>138</v>
      </c>
      <c r="C128" s="83" t="s">
        <v>552</v>
      </c>
      <c r="D128" s="83" t="s">
        <v>471</v>
      </c>
      <c r="E128" s="83" t="s">
        <v>343</v>
      </c>
      <c r="F128" s="83" t="s">
        <v>383</v>
      </c>
      <c r="G128" s="4" t="s">
        <v>260</v>
      </c>
      <c r="H128" s="4" t="s">
        <v>260</v>
      </c>
      <c r="I128" s="83" t="s">
        <v>504</v>
      </c>
      <c r="J128" s="4" t="s">
        <v>260</v>
      </c>
      <c r="K128" s="83" t="s">
        <v>15</v>
      </c>
      <c r="L128" s="83" t="s">
        <v>15</v>
      </c>
      <c r="M128" s="83" t="s">
        <v>553</v>
      </c>
      <c r="N128" s="83" t="s">
        <v>554</v>
      </c>
      <c r="O128" s="83" t="s">
        <v>260</v>
      </c>
      <c r="P128" s="83" t="s">
        <v>555</v>
      </c>
      <c r="Q128" s="83" t="s">
        <v>556</v>
      </c>
      <c r="R128" s="83" t="s">
        <v>260</v>
      </c>
      <c r="S128" s="4" t="s">
        <v>241</v>
      </c>
      <c r="T128" s="4" t="s">
        <v>10</v>
      </c>
      <c r="U128" s="4" t="s">
        <v>265</v>
      </c>
      <c r="V128" s="4" t="s">
        <v>265</v>
      </c>
      <c r="W128" s="4">
        <f>0.065*MW/24.45</f>
        <v>0.78853374233128837</v>
      </c>
      <c r="X128" s="82" t="str">
        <f t="shared" si="10"/>
        <v>720</v>
      </c>
      <c r="Y128" s="4" t="s">
        <v>260</v>
      </c>
      <c r="Z128" s="83" t="s">
        <v>260</v>
      </c>
      <c r="AA128" s="4">
        <f>W128</f>
        <v>0.78853374233128837</v>
      </c>
      <c r="AB128" s="4" t="s">
        <v>15</v>
      </c>
      <c r="AC128" s="4" t="s">
        <v>557</v>
      </c>
      <c r="AD128" s="83" t="s">
        <v>558</v>
      </c>
      <c r="AE128" s="83" t="s">
        <v>559</v>
      </c>
    </row>
    <row r="129" spans="1:31" s="102" customFormat="1" ht="42" x14ac:dyDescent="0.35">
      <c r="A129" s="109" t="s">
        <v>315</v>
      </c>
      <c r="B129" s="109" t="s">
        <v>740</v>
      </c>
      <c r="C129" s="109" t="s">
        <v>499</v>
      </c>
      <c r="D129" s="109" t="s">
        <v>560</v>
      </c>
      <c r="E129" s="109" t="s">
        <v>262</v>
      </c>
      <c r="F129" s="102" t="s">
        <v>260</v>
      </c>
      <c r="G129" s="131" t="s">
        <v>260</v>
      </c>
      <c r="H129" s="131" t="s">
        <v>260</v>
      </c>
      <c r="I129" s="109" t="s">
        <v>260</v>
      </c>
      <c r="J129" s="131" t="s">
        <v>260</v>
      </c>
      <c r="K129" s="109" t="s">
        <v>15</v>
      </c>
      <c r="L129" s="109" t="s">
        <v>260</v>
      </c>
      <c r="M129" s="109" t="s">
        <v>323</v>
      </c>
      <c r="N129" s="102" t="s">
        <v>260</v>
      </c>
      <c r="O129" s="102" t="s">
        <v>260</v>
      </c>
      <c r="P129" s="109" t="s">
        <v>514</v>
      </c>
      <c r="Q129" s="109" t="s">
        <v>326</v>
      </c>
      <c r="R129" s="109" t="s">
        <v>260</v>
      </c>
      <c r="S129" s="131" t="s">
        <v>241</v>
      </c>
      <c r="T129" s="131" t="s">
        <v>15</v>
      </c>
      <c r="U129" s="131">
        <v>3.4000000000000002E-2</v>
      </c>
      <c r="V129" s="131">
        <f>U129/2</f>
        <v>1.7000000000000001E-2</v>
      </c>
      <c r="W129" s="131">
        <f>V129*MW/24.45</f>
        <v>0.20623190184049084</v>
      </c>
      <c r="X129" s="131" t="str">
        <f t="shared" si="10"/>
        <v>480</v>
      </c>
      <c r="Y129" s="131">
        <f t="shared" ref="Y129:Y134" si="11">W129</f>
        <v>0.20623190184049084</v>
      </c>
      <c r="Z129" s="109" t="s">
        <v>260</v>
      </c>
      <c r="AA129" s="109" t="s">
        <v>260</v>
      </c>
      <c r="AB129" s="131" t="s">
        <v>15</v>
      </c>
      <c r="AC129" s="128" t="s">
        <v>266</v>
      </c>
      <c r="AD129" s="109" t="s">
        <v>430</v>
      </c>
      <c r="AE129" s="132" t="s">
        <v>836</v>
      </c>
    </row>
    <row r="130" spans="1:31" s="102" customFormat="1" ht="42" x14ac:dyDescent="0.35">
      <c r="A130" s="109" t="s">
        <v>315</v>
      </c>
      <c r="B130" s="109" t="s">
        <v>740</v>
      </c>
      <c r="C130" s="109" t="s">
        <v>499</v>
      </c>
      <c r="D130" s="109" t="s">
        <v>318</v>
      </c>
      <c r="E130" s="109" t="s">
        <v>262</v>
      </c>
      <c r="F130" s="102" t="s">
        <v>260</v>
      </c>
      <c r="G130" s="131" t="s">
        <v>260</v>
      </c>
      <c r="H130" s="131" t="s">
        <v>260</v>
      </c>
      <c r="I130" s="109" t="s">
        <v>260</v>
      </c>
      <c r="J130" s="131" t="s">
        <v>260</v>
      </c>
      <c r="K130" s="109" t="s">
        <v>15</v>
      </c>
      <c r="L130" s="109" t="s">
        <v>260</v>
      </c>
      <c r="M130" s="109" t="s">
        <v>323</v>
      </c>
      <c r="N130" s="102" t="s">
        <v>260</v>
      </c>
      <c r="O130" s="102" t="s">
        <v>260</v>
      </c>
      <c r="P130" s="109" t="s">
        <v>514</v>
      </c>
      <c r="Q130" s="109" t="s">
        <v>326</v>
      </c>
      <c r="R130" s="109" t="s">
        <v>260</v>
      </c>
      <c r="S130" s="131" t="s">
        <v>241</v>
      </c>
      <c r="T130" s="131" t="s">
        <v>15</v>
      </c>
      <c r="U130" s="131">
        <v>3.4000000000000002E-2</v>
      </c>
      <c r="V130" s="131">
        <f>U130/2</f>
        <v>1.7000000000000001E-2</v>
      </c>
      <c r="W130" s="131">
        <f>V130*MW/24.45</f>
        <v>0.20623190184049084</v>
      </c>
      <c r="X130" s="131" t="str">
        <f t="shared" si="10"/>
        <v>480</v>
      </c>
      <c r="Y130" s="131">
        <f t="shared" si="11"/>
        <v>0.20623190184049084</v>
      </c>
      <c r="Z130" s="109" t="s">
        <v>260</v>
      </c>
      <c r="AA130" s="109" t="s">
        <v>260</v>
      </c>
      <c r="AB130" s="131" t="s">
        <v>15</v>
      </c>
      <c r="AC130" s="128" t="s">
        <v>266</v>
      </c>
      <c r="AD130" s="109" t="s">
        <v>430</v>
      </c>
      <c r="AE130" s="132" t="s">
        <v>836</v>
      </c>
    </row>
    <row r="131" spans="1:31" customFormat="1" ht="58" hidden="1" x14ac:dyDescent="0.35">
      <c r="A131" s="83" t="s">
        <v>315</v>
      </c>
      <c r="B131" s="83" t="s">
        <v>260</v>
      </c>
      <c r="C131" s="83" t="s">
        <v>260</v>
      </c>
      <c r="D131" s="83" t="s">
        <v>260</v>
      </c>
      <c r="E131" s="83" t="s">
        <v>260</v>
      </c>
      <c r="F131" s="83" t="s">
        <v>561</v>
      </c>
      <c r="G131" s="4" t="s">
        <v>260</v>
      </c>
      <c r="H131" s="4" t="s">
        <v>260</v>
      </c>
      <c r="I131" s="83" t="s">
        <v>260</v>
      </c>
      <c r="J131" s="4" t="s">
        <v>260</v>
      </c>
      <c r="K131" s="83" t="s">
        <v>260</v>
      </c>
      <c r="L131" s="83" t="s">
        <v>260</v>
      </c>
      <c r="M131" s="83" t="s">
        <v>285</v>
      </c>
      <c r="N131" s="83" t="s">
        <v>260</v>
      </c>
      <c r="O131" s="83" t="s">
        <v>260</v>
      </c>
      <c r="P131" s="83" t="s">
        <v>473</v>
      </c>
      <c r="Q131" s="83" t="s">
        <v>493</v>
      </c>
      <c r="R131" s="83" t="s">
        <v>562</v>
      </c>
      <c r="S131" s="4" t="s">
        <v>241</v>
      </c>
      <c r="T131" s="4" t="s">
        <v>15</v>
      </c>
      <c r="U131" s="4">
        <v>0.01</v>
      </c>
      <c r="V131" s="4">
        <f>U131/2</f>
        <v>5.0000000000000001E-3</v>
      </c>
      <c r="W131" s="4">
        <f>V131*MW/24.45</f>
        <v>6.0656441717791422E-2</v>
      </c>
      <c r="X131" s="82">
        <v>480</v>
      </c>
      <c r="Y131" s="4">
        <f t="shared" si="11"/>
        <v>6.0656441717791422E-2</v>
      </c>
      <c r="Z131" s="83" t="s">
        <v>260</v>
      </c>
      <c r="AA131" s="83" t="s">
        <v>260</v>
      </c>
      <c r="AB131" s="4" t="s">
        <v>494</v>
      </c>
      <c r="AC131" s="4" t="s">
        <v>495</v>
      </c>
      <c r="AD131" s="83" t="s">
        <v>260</v>
      </c>
      <c r="AE131" s="83" t="s">
        <v>496</v>
      </c>
    </row>
    <row r="132" spans="1:31" s="102" customFormat="1" ht="42" x14ac:dyDescent="0.35">
      <c r="A132" s="109" t="s">
        <v>315</v>
      </c>
      <c r="B132" s="109" t="s">
        <v>740</v>
      </c>
      <c r="C132" s="109" t="s">
        <v>499</v>
      </c>
      <c r="D132" s="109" t="s">
        <v>318</v>
      </c>
      <c r="E132" s="109" t="s">
        <v>262</v>
      </c>
      <c r="F132" s="102" t="s">
        <v>260</v>
      </c>
      <c r="G132" s="131" t="s">
        <v>260</v>
      </c>
      <c r="H132" s="131" t="s">
        <v>260</v>
      </c>
      <c r="I132" s="109" t="s">
        <v>260</v>
      </c>
      <c r="J132" s="131" t="s">
        <v>260</v>
      </c>
      <c r="K132" s="109" t="s">
        <v>15</v>
      </c>
      <c r="L132" s="109" t="s">
        <v>260</v>
      </c>
      <c r="M132" s="109" t="s">
        <v>323</v>
      </c>
      <c r="N132" s="102" t="s">
        <v>260</v>
      </c>
      <c r="O132" s="102" t="s">
        <v>260</v>
      </c>
      <c r="P132" s="109" t="s">
        <v>563</v>
      </c>
      <c r="Q132" s="109" t="s">
        <v>326</v>
      </c>
      <c r="R132" s="109" t="s">
        <v>260</v>
      </c>
      <c r="S132" s="131" t="s">
        <v>241</v>
      </c>
      <c r="T132" s="131" t="s">
        <v>10</v>
      </c>
      <c r="U132" s="131" t="s">
        <v>834</v>
      </c>
      <c r="V132" s="131" t="s">
        <v>834</v>
      </c>
      <c r="W132" s="131">
        <f>P132*MW/24.45</f>
        <v>6.0656441717791418</v>
      </c>
      <c r="X132" s="131" t="str">
        <f>E132</f>
        <v>480</v>
      </c>
      <c r="Y132" s="131">
        <f t="shared" si="11"/>
        <v>6.0656441717791418</v>
      </c>
      <c r="Z132" s="109" t="s">
        <v>260</v>
      </c>
      <c r="AA132" s="109" t="s">
        <v>260</v>
      </c>
      <c r="AB132" s="131" t="s">
        <v>15</v>
      </c>
      <c r="AC132" s="128" t="s">
        <v>266</v>
      </c>
      <c r="AD132" s="109" t="s">
        <v>430</v>
      </c>
      <c r="AE132" s="132" t="s">
        <v>836</v>
      </c>
    </row>
    <row r="133" spans="1:31" customFormat="1" ht="58" hidden="1" x14ac:dyDescent="0.35">
      <c r="A133" s="83" t="s">
        <v>315</v>
      </c>
      <c r="B133" s="83" t="s">
        <v>260</v>
      </c>
      <c r="C133" s="83" t="s">
        <v>260</v>
      </c>
      <c r="D133" s="83" t="s">
        <v>260</v>
      </c>
      <c r="E133" s="83" t="s">
        <v>260</v>
      </c>
      <c r="F133" s="83" t="s">
        <v>564</v>
      </c>
      <c r="G133" s="4" t="s">
        <v>260</v>
      </c>
      <c r="H133" s="4" t="s">
        <v>260</v>
      </c>
      <c r="I133" s="83" t="s">
        <v>260</v>
      </c>
      <c r="J133" s="4" t="s">
        <v>260</v>
      </c>
      <c r="K133" s="83" t="s">
        <v>260</v>
      </c>
      <c r="L133" s="83" t="s">
        <v>260</v>
      </c>
      <c r="M133" s="83" t="s">
        <v>285</v>
      </c>
      <c r="N133" s="83" t="s">
        <v>260</v>
      </c>
      <c r="O133" s="83" t="s">
        <v>260</v>
      </c>
      <c r="P133" s="83" t="s">
        <v>473</v>
      </c>
      <c r="Q133" s="83" t="s">
        <v>493</v>
      </c>
      <c r="R133" s="83" t="s">
        <v>525</v>
      </c>
      <c r="S133" s="4" t="s">
        <v>241</v>
      </c>
      <c r="T133" s="4" t="s">
        <v>15</v>
      </c>
      <c r="U133" s="4">
        <v>0.01</v>
      </c>
      <c r="V133" s="4">
        <f>U133/2</f>
        <v>5.0000000000000001E-3</v>
      </c>
      <c r="W133" s="4">
        <f>V133*MW/24.45</f>
        <v>6.0656441717791422E-2</v>
      </c>
      <c r="X133" s="82">
        <v>480</v>
      </c>
      <c r="Y133" s="4">
        <f t="shared" si="11"/>
        <v>6.0656441717791422E-2</v>
      </c>
      <c r="Z133" s="83" t="s">
        <v>260</v>
      </c>
      <c r="AA133" s="83" t="s">
        <v>260</v>
      </c>
      <c r="AB133" s="4" t="s">
        <v>494</v>
      </c>
      <c r="AC133" s="4" t="s">
        <v>495</v>
      </c>
      <c r="AD133" s="83" t="s">
        <v>260</v>
      </c>
      <c r="AE133" s="83" t="s">
        <v>496</v>
      </c>
    </row>
    <row r="134" spans="1:31" s="102" customFormat="1" ht="42" x14ac:dyDescent="0.35">
      <c r="A134" s="109" t="s">
        <v>315</v>
      </c>
      <c r="B134" s="109" t="s">
        <v>740</v>
      </c>
      <c r="C134" s="109" t="s">
        <v>499</v>
      </c>
      <c r="D134" s="109" t="s">
        <v>318</v>
      </c>
      <c r="E134" s="109" t="s">
        <v>262</v>
      </c>
      <c r="F134" s="102" t="s">
        <v>260</v>
      </c>
      <c r="G134" s="131" t="s">
        <v>260</v>
      </c>
      <c r="H134" s="131" t="s">
        <v>260</v>
      </c>
      <c r="I134" s="109" t="s">
        <v>260</v>
      </c>
      <c r="J134" s="131" t="s">
        <v>260</v>
      </c>
      <c r="K134" s="109" t="s">
        <v>15</v>
      </c>
      <c r="L134" s="109" t="s">
        <v>15</v>
      </c>
      <c r="M134" s="109" t="s">
        <v>323</v>
      </c>
      <c r="N134" s="102" t="s">
        <v>260</v>
      </c>
      <c r="O134" s="102" t="s">
        <v>260</v>
      </c>
      <c r="P134" s="109" t="s">
        <v>565</v>
      </c>
      <c r="Q134" s="109" t="s">
        <v>326</v>
      </c>
      <c r="R134" s="109" t="s">
        <v>260</v>
      </c>
      <c r="S134" s="131" t="s">
        <v>241</v>
      </c>
      <c r="T134" s="131" t="s">
        <v>10</v>
      </c>
      <c r="U134" s="131" t="s">
        <v>834</v>
      </c>
      <c r="V134" s="131" t="s">
        <v>834</v>
      </c>
      <c r="W134" s="131">
        <f>P134*MW/24.45</f>
        <v>7.764024539877302</v>
      </c>
      <c r="X134" s="131" t="str">
        <f>E134</f>
        <v>480</v>
      </c>
      <c r="Y134" s="131">
        <f t="shared" si="11"/>
        <v>7.764024539877302</v>
      </c>
      <c r="Z134" s="109" t="s">
        <v>260</v>
      </c>
      <c r="AA134" s="109" t="s">
        <v>260</v>
      </c>
      <c r="AB134" s="131" t="s">
        <v>15</v>
      </c>
      <c r="AC134" s="128" t="s">
        <v>266</v>
      </c>
      <c r="AD134" s="109" t="s">
        <v>430</v>
      </c>
      <c r="AE134" s="132" t="s">
        <v>836</v>
      </c>
    </row>
    <row r="135" spans="1:31" customFormat="1" ht="29" hidden="1" x14ac:dyDescent="0.35">
      <c r="A135" s="83" t="s">
        <v>315</v>
      </c>
      <c r="B135" s="83" t="s">
        <v>138</v>
      </c>
      <c r="C135" s="83" t="s">
        <v>260</v>
      </c>
      <c r="D135" s="83" t="s">
        <v>260</v>
      </c>
      <c r="E135" s="83" t="s">
        <v>260</v>
      </c>
      <c r="F135" s="83" t="s">
        <v>260</v>
      </c>
      <c r="G135" s="4" t="s">
        <v>260</v>
      </c>
      <c r="H135" s="4" t="s">
        <v>260</v>
      </c>
      <c r="I135" s="83" t="s">
        <v>260</v>
      </c>
      <c r="J135" s="4" t="s">
        <v>260</v>
      </c>
      <c r="K135" s="83" t="s">
        <v>15</v>
      </c>
      <c r="L135" s="83" t="s">
        <v>15</v>
      </c>
      <c r="M135" s="83" t="s">
        <v>346</v>
      </c>
      <c r="N135" s="83" t="s">
        <v>374</v>
      </c>
      <c r="O135" s="83" t="s">
        <v>260</v>
      </c>
      <c r="P135" s="83" t="s">
        <v>566</v>
      </c>
      <c r="Q135" s="83" t="s">
        <v>326</v>
      </c>
      <c r="R135" s="83" t="s">
        <v>567</v>
      </c>
      <c r="S135" s="4" t="s">
        <v>241</v>
      </c>
      <c r="T135" s="4" t="s">
        <v>10</v>
      </c>
      <c r="U135" s="4" t="s">
        <v>265</v>
      </c>
      <c r="V135" s="4" t="s">
        <v>265</v>
      </c>
      <c r="W135" s="4">
        <f>P135*MW/24.45</f>
        <v>13.344417177914112</v>
      </c>
      <c r="X135" s="82" t="str">
        <f>R135</f>
        <v>419.00</v>
      </c>
      <c r="Y135" s="4">
        <f>W135*X135/480</f>
        <v>11.648564161554193</v>
      </c>
      <c r="Z135" s="83" t="s">
        <v>260</v>
      </c>
      <c r="AA135" s="83" t="s">
        <v>260</v>
      </c>
      <c r="AB135" s="4" t="s">
        <v>15</v>
      </c>
      <c r="AC135" s="4" t="s">
        <v>429</v>
      </c>
      <c r="AD135" s="83" t="s">
        <v>430</v>
      </c>
      <c r="AE135" s="83" t="s">
        <v>501</v>
      </c>
    </row>
    <row r="136" spans="1:31" customFormat="1" ht="58" hidden="1" x14ac:dyDescent="0.35">
      <c r="A136" s="83" t="s">
        <v>315</v>
      </c>
      <c r="B136" s="83" t="s">
        <v>260</v>
      </c>
      <c r="C136" s="83" t="s">
        <v>260</v>
      </c>
      <c r="D136" s="83" t="s">
        <v>260</v>
      </c>
      <c r="E136" s="83" t="s">
        <v>260</v>
      </c>
      <c r="F136" s="83" t="s">
        <v>568</v>
      </c>
      <c r="G136" s="4" t="s">
        <v>260</v>
      </c>
      <c r="H136" s="4" t="s">
        <v>260</v>
      </c>
      <c r="I136" s="83" t="s">
        <v>260</v>
      </c>
      <c r="J136" s="4" t="s">
        <v>260</v>
      </c>
      <c r="K136" s="83" t="s">
        <v>260</v>
      </c>
      <c r="L136" s="83" t="s">
        <v>260</v>
      </c>
      <c r="M136" s="83" t="s">
        <v>285</v>
      </c>
      <c r="N136" s="83" t="s">
        <v>260</v>
      </c>
      <c r="O136" s="83" t="s">
        <v>260</v>
      </c>
      <c r="P136" s="83" t="s">
        <v>473</v>
      </c>
      <c r="Q136" s="83" t="s">
        <v>493</v>
      </c>
      <c r="R136" s="83" t="s">
        <v>406</v>
      </c>
      <c r="S136" s="4" t="s">
        <v>241</v>
      </c>
      <c r="T136" s="4" t="s">
        <v>15</v>
      </c>
      <c r="U136" s="4">
        <v>0.01</v>
      </c>
      <c r="V136" s="4">
        <f>U136/2</f>
        <v>5.0000000000000001E-3</v>
      </c>
      <c r="W136" s="4">
        <f>V136*MW/24.45</f>
        <v>6.0656441717791422E-2</v>
      </c>
      <c r="X136" s="82">
        <v>480</v>
      </c>
      <c r="Y136" s="4">
        <f>W136</f>
        <v>6.0656441717791422E-2</v>
      </c>
      <c r="Z136" s="83" t="s">
        <v>260</v>
      </c>
      <c r="AA136" s="83" t="s">
        <v>260</v>
      </c>
      <c r="AB136" s="4" t="s">
        <v>494</v>
      </c>
      <c r="AC136" s="4" t="s">
        <v>495</v>
      </c>
      <c r="AD136" s="83" t="s">
        <v>260</v>
      </c>
      <c r="AE136" s="83" t="s">
        <v>496</v>
      </c>
    </row>
    <row r="137" spans="1:31" customFormat="1" ht="58" hidden="1" x14ac:dyDescent="0.35">
      <c r="A137" s="83" t="s">
        <v>315</v>
      </c>
      <c r="B137" s="83" t="s">
        <v>138</v>
      </c>
      <c r="C137" s="83" t="s">
        <v>260</v>
      </c>
      <c r="D137" s="83" t="s">
        <v>260</v>
      </c>
      <c r="E137" s="83" t="s">
        <v>260</v>
      </c>
      <c r="F137" s="83" t="s">
        <v>260</v>
      </c>
      <c r="G137" s="4" t="s">
        <v>260</v>
      </c>
      <c r="H137" s="4" t="s">
        <v>260</v>
      </c>
      <c r="I137" s="83" t="s">
        <v>260</v>
      </c>
      <c r="J137" s="4" t="s">
        <v>260</v>
      </c>
      <c r="K137" s="83" t="s">
        <v>260</v>
      </c>
      <c r="L137" s="83" t="s">
        <v>260</v>
      </c>
      <c r="M137" s="83" t="s">
        <v>260</v>
      </c>
      <c r="N137" s="83" t="s">
        <v>260</v>
      </c>
      <c r="O137" s="83" t="s">
        <v>260</v>
      </c>
      <c r="P137" s="83" t="s">
        <v>541</v>
      </c>
      <c r="Q137" s="83" t="s">
        <v>260</v>
      </c>
      <c r="R137" s="83" t="s">
        <v>260</v>
      </c>
      <c r="S137" s="4" t="s">
        <v>241</v>
      </c>
      <c r="T137" s="4" t="s">
        <v>10</v>
      </c>
      <c r="U137" s="4" t="s">
        <v>265</v>
      </c>
      <c r="V137" s="4" t="s">
        <v>265</v>
      </c>
      <c r="W137" s="4">
        <f>P137*MW/24.45</f>
        <v>0.48525153374233138</v>
      </c>
      <c r="X137" s="83" t="s">
        <v>260</v>
      </c>
      <c r="Y137" s="83" t="s">
        <v>260</v>
      </c>
      <c r="Z137" s="83" t="s">
        <v>260</v>
      </c>
      <c r="AA137" s="83" t="s">
        <v>260</v>
      </c>
      <c r="AB137" s="4" t="s">
        <v>464</v>
      </c>
      <c r="AC137" s="4" t="s">
        <v>465</v>
      </c>
      <c r="AD137" s="83" t="s">
        <v>260</v>
      </c>
      <c r="AE137" s="83" t="s">
        <v>445</v>
      </c>
    </row>
    <row r="138" spans="1:31" customFormat="1" ht="58" hidden="1" x14ac:dyDescent="0.35">
      <c r="A138" s="83" t="s">
        <v>315</v>
      </c>
      <c r="B138" s="83" t="s">
        <v>260</v>
      </c>
      <c r="C138" s="83" t="s">
        <v>260</v>
      </c>
      <c r="D138" s="83" t="s">
        <v>260</v>
      </c>
      <c r="E138" s="83" t="s">
        <v>260</v>
      </c>
      <c r="F138" s="83" t="s">
        <v>569</v>
      </c>
      <c r="G138" s="4" t="s">
        <v>260</v>
      </c>
      <c r="H138" s="4" t="s">
        <v>260</v>
      </c>
      <c r="I138" s="83" t="s">
        <v>260</v>
      </c>
      <c r="J138" s="4" t="s">
        <v>260</v>
      </c>
      <c r="K138" s="83" t="s">
        <v>260</v>
      </c>
      <c r="L138" s="83" t="s">
        <v>260</v>
      </c>
      <c r="M138" s="83" t="s">
        <v>285</v>
      </c>
      <c r="N138" s="83" t="s">
        <v>260</v>
      </c>
      <c r="O138" s="83" t="s">
        <v>260</v>
      </c>
      <c r="P138" s="83" t="s">
        <v>473</v>
      </c>
      <c r="Q138" s="83" t="s">
        <v>493</v>
      </c>
      <c r="R138" s="83" t="s">
        <v>570</v>
      </c>
      <c r="S138" s="4" t="s">
        <v>241</v>
      </c>
      <c r="T138" s="4" t="s">
        <v>15</v>
      </c>
      <c r="U138" s="4">
        <v>0.01</v>
      </c>
      <c r="V138" s="4">
        <f>U138/2</f>
        <v>5.0000000000000001E-3</v>
      </c>
      <c r="W138" s="4">
        <f>V138*MW/24.45</f>
        <v>6.0656441717791422E-2</v>
      </c>
      <c r="X138" s="82">
        <v>480</v>
      </c>
      <c r="Y138" s="4">
        <f>W138</f>
        <v>6.0656441717791422E-2</v>
      </c>
      <c r="Z138" s="83" t="s">
        <v>260</v>
      </c>
      <c r="AA138" s="83" t="s">
        <v>260</v>
      </c>
      <c r="AB138" s="4" t="s">
        <v>494</v>
      </c>
      <c r="AC138" s="4" t="s">
        <v>495</v>
      </c>
      <c r="AD138" s="83" t="s">
        <v>260</v>
      </c>
      <c r="AE138" s="83" t="s">
        <v>496</v>
      </c>
    </row>
    <row r="139" spans="1:31" customFormat="1" ht="58" hidden="1" x14ac:dyDescent="0.35">
      <c r="A139" s="83" t="s">
        <v>315</v>
      </c>
      <c r="B139" s="83" t="s">
        <v>138</v>
      </c>
      <c r="C139" s="83" t="s">
        <v>260</v>
      </c>
      <c r="D139" s="83" t="s">
        <v>260</v>
      </c>
      <c r="E139" s="83" t="s">
        <v>260</v>
      </c>
      <c r="F139" s="83" t="s">
        <v>260</v>
      </c>
      <c r="G139" s="4" t="s">
        <v>260</v>
      </c>
      <c r="H139" s="4" t="s">
        <v>260</v>
      </c>
      <c r="I139" s="83" t="s">
        <v>260</v>
      </c>
      <c r="J139" s="4" t="s">
        <v>260</v>
      </c>
      <c r="K139" s="83" t="s">
        <v>260</v>
      </c>
      <c r="L139" s="83" t="s">
        <v>260</v>
      </c>
      <c r="M139" s="83" t="s">
        <v>260</v>
      </c>
      <c r="N139" s="83" t="s">
        <v>260</v>
      </c>
      <c r="O139" s="83" t="s">
        <v>260</v>
      </c>
      <c r="P139" s="83" t="s">
        <v>498</v>
      </c>
      <c r="Q139" s="83" t="s">
        <v>260</v>
      </c>
      <c r="R139" s="83" t="s">
        <v>260</v>
      </c>
      <c r="S139" s="4" t="s">
        <v>241</v>
      </c>
      <c r="T139" s="4" t="s">
        <v>10</v>
      </c>
      <c r="U139" s="4" t="s">
        <v>265</v>
      </c>
      <c r="V139" s="4" t="s">
        <v>265</v>
      </c>
      <c r="W139" s="4">
        <f>P139*MW/24.45</f>
        <v>0.12131288343558284</v>
      </c>
      <c r="X139" s="83" t="s">
        <v>260</v>
      </c>
      <c r="Y139" s="83" t="s">
        <v>260</v>
      </c>
      <c r="Z139" s="83" t="s">
        <v>260</v>
      </c>
      <c r="AA139" s="83" t="s">
        <v>260</v>
      </c>
      <c r="AB139" s="4" t="s">
        <v>464</v>
      </c>
      <c r="AC139" s="4" t="s">
        <v>465</v>
      </c>
      <c r="AD139" s="83" t="s">
        <v>260</v>
      </c>
      <c r="AE139" s="83" t="s">
        <v>571</v>
      </c>
    </row>
  </sheetData>
  <sheetProtection sheet="1" objects="1" scenarios="1" formatCells="0" formatColumns="0" formatRows="0"/>
  <autoFilter ref="A1:AE139" xr:uid="{B4A2AEF2-C122-49AD-AF82-68FDB2B672A6}">
    <filterColumn colId="1">
      <filters>
        <filter val="Chemical Operator"/>
        <filter val="Production Operator"/>
      </filters>
    </filterColumn>
    <filterColumn colId="4">
      <filters>
        <filter val="480"/>
      </filters>
    </filterColumn>
    <sortState xmlns:xlrd2="http://schemas.microsoft.com/office/spreadsheetml/2017/richdata2" ref="A2:AE139">
      <sortCondition ref="B1:B139"/>
    </sortState>
  </autoFilter>
  <pageMargins left="0.7" right="0.7" top="0.75" bottom="0.75" header="0.3" footer="0.3"/>
  <ignoredErrors>
    <ignoredError sqref="E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e95dd583e1418bbab84cc60b808c79a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2f7c14c724f6fd5b0410ef8d6affcf61"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1869</Value>
      <Value>1205</Value>
      <Value>1756</Value>
      <Value>1868</Value>
      <Value>1266</Value>
      <Value>1757</Value>
      <Value>1535</Value>
      <Value>1755</Value>
      <Value>1193</Value>
      <Value>1191</Value>
    </TaxCatchAll>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octamethylcyclotetrasiloxane</TermName>
          <TermId xmlns="http://schemas.microsoft.com/office/infopath/2007/PartnerControls">035a888b-bf1e-4eac-a525-063599ca8691</TermId>
        </TermInfo>
        <TermInfo xmlns="http://schemas.microsoft.com/office/infopath/2007/PartnerControls">
          <TermName xmlns="http://schemas.microsoft.com/office/infopath/2007/PartnerControls">inhalation</TermName>
          <TermId xmlns="http://schemas.microsoft.com/office/infopath/2007/PartnerControls">db4a6ec7-8408-4f3a-99f3-1ea458bcea3a</TermId>
        </TermInfo>
        <TermInfo xmlns="http://schemas.microsoft.com/office/infopath/2007/PartnerControls">
          <TermName xmlns="http://schemas.microsoft.com/office/infopath/2007/PartnerControls">Occupational Non-user</TermName>
          <TermId xmlns="http://schemas.microsoft.com/office/infopath/2007/PartnerControls">79e4a734-14b7-4179-899c-f1b342791380</TermId>
        </TermInfo>
        <TermInfo xmlns="http://schemas.microsoft.com/office/infopath/2007/PartnerControls">
          <TermName xmlns="http://schemas.microsoft.com/office/infopath/2007/PartnerControls">D4</TermName>
          <TermId xmlns="http://schemas.microsoft.com/office/infopath/2007/PartnerControls">e42bb572-aeba-4dad-a3e2-dfc318fa019a</TermId>
        </TermInfo>
        <TermInfo xmlns="http://schemas.microsoft.com/office/infopath/2007/PartnerControls">
          <TermName xmlns="http://schemas.microsoft.com/office/infopath/2007/PartnerControls">occupational</TermName>
          <TermId xmlns="http://schemas.microsoft.com/office/infopath/2007/PartnerControls">4eaca312-31b2-4d01-8adc-174ba9820bec</TermId>
        </TermInfo>
        <TermInfo xmlns="http://schemas.microsoft.com/office/infopath/2007/PartnerControls">
          <TermName xmlns="http://schemas.microsoft.com/office/infopath/2007/PartnerControls">ONU</TermName>
          <TermId xmlns="http://schemas.microsoft.com/office/infopath/2007/PartnerControls">97ab5a74-330b-4af4-841d-725d0ebd2b4d</TermId>
        </TermInfo>
        <TermInfo xmlns="http://schemas.microsoft.com/office/infopath/2007/PartnerControls">
          <TermName xmlns="http://schemas.microsoft.com/office/infopath/2007/PartnerControls">occupational exposure scenario</TermName>
          <TermId xmlns="http://schemas.microsoft.com/office/infopath/2007/PartnerControls">14f3c03e-95ef-4b85-8f62-8037a4a4fb87</TermId>
        </TermInfo>
        <TermInfo xmlns="http://schemas.microsoft.com/office/infopath/2007/PartnerControls">
          <TermName xmlns="http://schemas.microsoft.com/office/infopath/2007/PartnerControls">Occupational Exposure Assessment</TermName>
          <TermId xmlns="http://schemas.microsoft.com/office/infopath/2007/PartnerControls">e7326949-889e-470c-9465-0032951e5f54</TermId>
        </TermInfo>
        <TermInfo xmlns="http://schemas.microsoft.com/office/infopath/2007/PartnerControls">
          <TermName xmlns="http://schemas.microsoft.com/office/infopath/2007/PartnerControls">Exposure</TermName>
          <TermId xmlns="http://schemas.microsoft.com/office/infopath/2007/PartnerControls">44a40c17-e1b9-4157-a85d-d32620a2144a</TermId>
        </TermInfo>
        <TermInfo xmlns="http://schemas.microsoft.com/office/infopath/2007/PartnerControls">
          <TermName xmlns="http://schemas.microsoft.com/office/infopath/2007/PartnerControls">occupational exposure</TermName>
          <TermId xmlns="http://schemas.microsoft.com/office/infopath/2007/PartnerControls">dc86747e-746f-435b-be39-b7773de656d7</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2024-11-01T15:04:37+00:00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e3f09c3df709400db2417a7161762d62 xmlns="4ffa91fb-a0ff-4ac5-b2db-65c790d184a4">
      <Terms xmlns="http://schemas.microsoft.com/office/infopath/2007/PartnerControls"/>
    </e3f09c3df709400db2417a7161762d62>
    <lcf76f155ced4ddcb4097134ff3c332f xmlns="ead8da0f-3542-4e50-96c8-f1f698624e86">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6438BA-F9AC-44F3-9D05-438375BAC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7EAF7D-8D04-4FA7-94FD-E4D5755D4D85}">
  <ds:schemaRefs>
    <ds:schemaRef ds:uri="http://schemas.microsoft.com/sharepoint/v3"/>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http://schemas.microsoft.com/office/2006/documentManagement/types"/>
    <ds:schemaRef ds:uri="fecc2597-e8fd-4279-ac06-bd7c891938be"/>
    <ds:schemaRef ds:uri="4ffa91fb-a0ff-4ac5-b2db-65c790d184a4"/>
    <ds:schemaRef ds:uri="http://purl.org/dc/elements/1.1/"/>
    <ds:schemaRef ds:uri="ead8da0f-3542-4e50-96c8-f1f698624e86"/>
    <ds:schemaRef ds:uri="http://schemas.microsoft.com/sharepoint/v3/fields"/>
    <ds:schemaRef ds:uri="http://schemas.microsoft.com/sharepoint.v3"/>
    <ds:schemaRef ds:uri="http://purl.org/dc/terms/"/>
  </ds:schemaRefs>
</ds:datastoreItem>
</file>

<file path=customXml/itemProps3.xml><?xml version="1.0" encoding="utf-8"?>
<ds:datastoreItem xmlns:ds="http://schemas.openxmlformats.org/officeDocument/2006/customXml" ds:itemID="{7E95BCEC-2D64-4F46-9B70-0EADB505BA07}">
  <ds:schemaRefs>
    <ds:schemaRef ds:uri="Microsoft.SharePoint.Taxonomy.ContentTypeSync"/>
  </ds:schemaRefs>
</ds:datastoreItem>
</file>

<file path=customXml/itemProps4.xml><?xml version="1.0" encoding="utf-8"?>
<ds:datastoreItem xmlns:ds="http://schemas.openxmlformats.org/officeDocument/2006/customXml" ds:itemID="{2D4C2957-53BF-4542-902B-A253ACD464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44</vt:i4>
      </vt:variant>
    </vt:vector>
  </HeadingPairs>
  <TitlesOfParts>
    <vt:vector size="64" baseType="lpstr">
      <vt:lpstr>Cover Page</vt:lpstr>
      <vt:lpstr>HERO-OES Tracking</vt:lpstr>
      <vt:lpstr>Manufacture W-ONU Key</vt:lpstr>
      <vt:lpstr>Read Me</vt:lpstr>
      <vt:lpstr>Exposure Summary</vt:lpstr>
      <vt:lpstr>Constants</vt:lpstr>
      <vt:lpstr>Column Header Key</vt:lpstr>
      <vt:lpstr>OES with Consortium Data_Calcs</vt:lpstr>
      <vt:lpstr>OES with Consortium Data_Raw</vt:lpstr>
      <vt:lpstr>Processing as a Reactant</vt:lpstr>
      <vt:lpstr>Spray App. of Paints Coatings</vt:lpstr>
      <vt:lpstr>Use of Adhesives and Sealants</vt:lpstr>
      <vt:lpstr>Aircraft Maintenance (CC)</vt:lpstr>
      <vt:lpstr>Aircraft Maintenance (PEN)</vt:lpstr>
      <vt:lpstr>Use of Auto Detailing Products</vt:lpstr>
      <vt:lpstr>Use of Animal Grooming Products</vt:lpstr>
      <vt:lpstr>Use of Cleaning Products</vt:lpstr>
      <vt:lpstr>Use of Laundry - Institutional</vt:lpstr>
      <vt:lpstr>Use of Laundry - Industrial</vt:lpstr>
      <vt:lpstr>Unknown</vt:lpstr>
      <vt:lpstr>AT_50th_non_cancer</vt:lpstr>
      <vt:lpstr>AT_50th_non_cancer_DC</vt:lpstr>
      <vt:lpstr>AT_95th_non_cancer</vt:lpstr>
      <vt:lpstr>AT_95th_non_cancer_DC</vt:lpstr>
      <vt:lpstr>AT_AC</vt:lpstr>
      <vt:lpstr>AT_AC_DC</vt:lpstr>
      <vt:lpstr>AT_acute</vt:lpstr>
      <vt:lpstr>AT_cancer</vt:lpstr>
      <vt:lpstr>AT_cancer_DC</vt:lpstr>
      <vt:lpstr>AWD</vt:lpstr>
      <vt:lpstr>AWD_10hr</vt:lpstr>
      <vt:lpstr>AWD_12hr</vt:lpstr>
      <vt:lpstr>AWD_DC_50th</vt:lpstr>
      <vt:lpstr>AWD_DC_95th</vt:lpstr>
      <vt:lpstr>BR</vt:lpstr>
      <vt:lpstr>C_mist_CT</vt:lpstr>
      <vt:lpstr>C_mist_HE</vt:lpstr>
      <vt:lpstr>ED_10</vt:lpstr>
      <vt:lpstr>ED_12</vt:lpstr>
      <vt:lpstr>ED_8</vt:lpstr>
      <vt:lpstr>ED_acute</vt:lpstr>
      <vt:lpstr>ED_intermediate</vt:lpstr>
      <vt:lpstr>ED_spray</vt:lpstr>
      <vt:lpstr>EF_1_spray</vt:lpstr>
      <vt:lpstr>EF_2_spray</vt:lpstr>
      <vt:lpstr>EF_250_spray</vt:lpstr>
      <vt:lpstr>EF_intermediate</vt:lpstr>
      <vt:lpstr>F_D4_CT_Mist</vt:lpstr>
      <vt:lpstr>F_D4_HE_Mist</vt:lpstr>
      <vt:lpstr>F_D4_prod_CT_spray</vt:lpstr>
      <vt:lpstr>F_D4_prod_HE_spray</vt:lpstr>
      <vt:lpstr>LT_cancer</vt:lpstr>
      <vt:lpstr>LT_cancer_DC</vt:lpstr>
      <vt:lpstr>MW</vt:lpstr>
      <vt:lpstr>'Cover Page'!Print_Area</vt:lpstr>
      <vt:lpstr>'Exposure Summary'!Print_Area</vt:lpstr>
      <vt:lpstr>'Read Me'!Print_Area</vt:lpstr>
      <vt:lpstr>'Exposure Summary'!Print_Titles</vt:lpstr>
      <vt:lpstr>TWA_8hr_CT</vt:lpstr>
      <vt:lpstr>TWA_8hr_HE</vt:lpstr>
      <vt:lpstr>WY_50th</vt:lpstr>
      <vt:lpstr>WY_50th_DC</vt:lpstr>
      <vt:lpstr>WY_95th</vt:lpstr>
      <vt:lpstr>WY_95th_DC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Inhalation Exposure Modeling Results for Octamethylcyclotetrasiloxane (D4)</dc:title>
  <dc:subject>Inhalation Modeling Results for D4 Occupational Exposures</dc:subject>
  <dc:creator>US EPA</dc:creator>
  <cp:keywords>inhalation ; Exposure ; D4 ; octamethylcyclotetrasiloxane ; ONU ; occupational ; occupational exposure scenario ; occupational exposure ; Occupational Non-user ; Occupational Exposure Assessment</cp:keywords>
  <dc:description/>
  <cp:lastModifiedBy>Lindsay, Sarah</cp:lastModifiedBy>
  <cp:revision/>
  <dcterms:created xsi:type="dcterms:W3CDTF">2018-04-24T21:11:25Z</dcterms:created>
  <dcterms:modified xsi:type="dcterms:W3CDTF">2025-09-16T17:12:34Z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MediaServiceImageTags">
    <vt:lpwstr/>
  </property>
  <property fmtid="{D5CDD505-2E9C-101B-9397-08002B2CF9AE}" pid="4" name="TaxKeyword">
    <vt:lpwstr>1869;#octamethylcyclotetrasiloxane|035a888b-bf1e-4eac-a525-063599ca8691;#1205;#inhalation|db4a6ec7-8408-4f3a-99f3-1ea458bcea3a;#1756;#Occupational Non-user|79e4a734-14b7-4179-899c-f1b342791380;#1868;#D4|e42bb572-aeba-4dad-a3e2-dfc318fa019a;#1266;#occupational|4eaca312-31b2-4d01-8adc-174ba9820bec;#1757;#ONU|97ab5a74-330b-4af4-841d-725d0ebd2b4d;#1535;#occupational exposure scenario|14f3c03e-95ef-4b85-8f62-8037a4a4fb87;#1755;#Occupational Exposure Assessment|e7326949-889e-470c-9465-0032951e5f54;#1193;#Exposure|44a40c17-e1b9-4157-a85d-d32620a2144a;#1191;#occupational exposure|dc86747e-746f-435b-be39-b7773de656d7</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