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defaultThemeVersion="124226"/>
  <mc:AlternateContent xmlns:mc="http://schemas.openxmlformats.org/markup-compatibility/2006">
    <mc:Choice Requires="x15">
      <x15ac:absPath xmlns:x15ac="http://schemas.microsoft.com/office/spreadsheetml/2010/11/ac" url="https://usepa.sharepoint.com/sites/ocspp_Work/wpc/TSCA Scoping Next 20 HPS Review/Phthalates/BBP/RE Documents - BBP/BBP QC Ready/Supplemental/"/>
    </mc:Choice>
  </mc:AlternateContent>
  <xr:revisionPtr revIDLastSave="32" documentId="8_{D864FE10-40DE-45ED-A927-30BFB4F442B9}" xr6:coauthVersionLast="47" xr6:coauthVersionMax="47" xr10:uidLastSave="{4FF961D6-6998-4C07-9E04-9BF9B92C1190}"/>
  <bookViews>
    <workbookView xWindow="28680" yWindow="-30" windowWidth="29040" windowHeight="15720" tabRatio="707" firstSheet="5" activeTab="6" xr2:uid="{120DC0ED-22FC-462E-B919-E1C547F9611B}"/>
  </bookViews>
  <sheets>
    <sheet name="Cover Page" sheetId="51" r:id="rId1"/>
    <sheet name="Read Me" sheetId="43" r:id="rId2"/>
    <sheet name="Calculation Summary" sheetId="45" r:id="rId3"/>
    <sheet name="Dashboard" sheetId="31" r:id="rId4"/>
    <sheet name="RR" sheetId="40" r:id="rId5"/>
    <sheet name="Aggregate RR" sheetId="47" r:id="rId6"/>
    <sheet name="Inhalation Exposure" sheetId="37" r:id="rId7"/>
    <sheet name="Dermal Exposure" sheetId="41" r:id="rId8"/>
    <sheet name="Tables for RE" sheetId="49" r:id="rId9"/>
    <sheet name="Tables for Report" sheetId="48" r:id="rId10"/>
    <sheet name="Hazard Values" sheetId="39" r:id="rId11"/>
    <sheet name="List Values" sheetId="35" r:id="rId12"/>
    <sheet name="Exposure Factors" sheetId="38" r:id="rId13"/>
  </sheets>
  <definedNames>
    <definedName name="_8_hr">8</definedName>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localSheetId="2" hidden="1">100</definedName>
    <definedName name="_AtRisk_SimSetting_ConvergenceTestingPeriod" hidden="1">10</definedName>
    <definedName name="_AtRisk_SimSetting_ConvergenceTolerance" localSheetId="2" hidden="1">0.03</definedName>
    <definedName name="_AtRisk_SimSetting_ConvergenceTolerance" hidden="1">0.01</definedName>
    <definedName name="_AtRisk_SimSetting_GoalSeekTargetValue" hidden="1">0</definedName>
    <definedName name="_AtRisk_SimSetting_LiveUpdate" hidden="1">TRUE</definedName>
    <definedName name="_AtRisk_SimSetting_LiveUpdatePeriod" hidden="1">-1</definedName>
    <definedName name="_AtRisk_SimSetting_MacroMode" hidden="1">0</definedName>
    <definedName name="_AtRisk_SimSetting_MacroRecalculationBehavior" hidden="1">0</definedName>
    <definedName name="_AtRisk_SimSetting_MaxAutoIterations" hidden="1">50000</definedName>
    <definedName name="_AtRisk_SimSetting_MultipleCPUCount" hidden="1">8</definedName>
    <definedName name="_AtRisk_SimSetting_MultipleCPUManualCount" hidden="1">8</definedName>
    <definedName name="_AtRisk_SimSetting_MultipleCPUMode" hidden="1">2</definedName>
    <definedName name="_AtRisk_SimSetting_MultipleCPUModeV8" hidden="1">2</definedName>
    <definedName name="_AtRisk_SimSetting_RandomNumberGenerator" hidden="1">0</definedName>
    <definedName name="_AtRisk_SimSetting_ReportOptionCustomItemCumulativeOverlay01" hidden="1">0</definedName>
    <definedName name="_AtRisk_SimSetting_ReportOptionCustomItemCumulativeOverlay02" hidden="1">0</definedName>
    <definedName name="_AtRisk_SimSetting_ReportOptionCustomItemCumulativeOverlay03" hidden="1">0</definedName>
    <definedName name="_AtRisk_SimSetting_ReportOptionCustomItemCumulativeOverlay04" hidden="1">0</definedName>
    <definedName name="_AtRisk_SimSetting_ReportOptionCustomItemCumulativeOverlay05" hidden="1">0</definedName>
    <definedName name="_AtRisk_SimSetting_ReportOptionCustomItemCumulativeOverlay06" hidden="1">0</definedName>
    <definedName name="_AtRisk_SimSetting_ReportOptionCustomItemDistributionFormat01" hidden="1">1</definedName>
    <definedName name="_AtRisk_SimSetting_ReportOptionCustomItemDistributionFormat02" hidden="1">1</definedName>
    <definedName name="_AtRisk_SimSetting_ReportOptionCustomItemDistributionFormat03" hidden="1">4</definedName>
    <definedName name="_AtRisk_SimSetting_ReportOptionCustomItemDistributionFormat04" hidden="1">1</definedName>
    <definedName name="_AtRisk_SimSetting_ReportOptionCustomItemDistributionFormat05" hidden="1">1</definedName>
    <definedName name="_AtRisk_SimSetting_ReportOptionCustomItemDistributionFormat06" hidden="1">1</definedName>
    <definedName name="_AtRisk_SimSetting_ReportOptionCustomItemGraphFormat01" hidden="1">1</definedName>
    <definedName name="_AtRisk_SimSetting_ReportOptionCustomItemGraphFormat02" hidden="1">1</definedName>
    <definedName name="_AtRisk_SimSetting_ReportOptionCustomItemGraphFormat03" hidden="1">1</definedName>
    <definedName name="_AtRisk_SimSetting_ReportOptionCustomItemGraphFormat04" hidden="1">1</definedName>
    <definedName name="_AtRisk_SimSetting_ReportOptionCustomItemGraphFormat05" hidden="1">1</definedName>
    <definedName name="_AtRisk_SimSetting_ReportOptionCustomItemGraphFormat06" hidden="1">1</definedName>
    <definedName name="_AtRisk_SimSetting_ReportOptionCustomItemItemSize01" hidden="1">0</definedName>
    <definedName name="_AtRisk_SimSetting_ReportOptionCustomItemItemSize02" hidden="1">0</definedName>
    <definedName name="_AtRisk_SimSetting_ReportOptionCustomItemItemSize03" hidden="1">0</definedName>
    <definedName name="_AtRisk_SimSetting_ReportOptionCustomItemItemSize04" hidden="1">0</definedName>
    <definedName name="_AtRisk_SimSetting_ReportOptionCustomItemItemSize05" hidden="1">0</definedName>
    <definedName name="_AtRisk_SimSetting_ReportOptionCustomItemItemSize06" hidden="1">0</definedName>
    <definedName name="_AtRisk_SimSetting_ReportOptionCustomItemItemType01" hidden="1">1</definedName>
    <definedName name="_AtRisk_SimSetting_ReportOptionCustomItemItemType02" hidden="1">5</definedName>
    <definedName name="_AtRisk_SimSetting_ReportOptionCustomItemItemType03" hidden="1">1</definedName>
    <definedName name="_AtRisk_SimSetting_ReportOptionCustomItemItemType04" hidden="1">3</definedName>
    <definedName name="_AtRisk_SimSetting_ReportOptionCustomItemItemType05" hidden="1">2</definedName>
    <definedName name="_AtRisk_SimSetting_ReportOptionCustomItemItemType06" hidden="1">4</definedName>
    <definedName name="_AtRisk_SimSetting_ReportOptionCustomItemLegendType01" hidden="1">0</definedName>
    <definedName name="_AtRisk_SimSetting_ReportOptionCustomItemLegendType02" hidden="1">0</definedName>
    <definedName name="_AtRisk_SimSetting_ReportOptionCustomItemLegendType03" hidden="1">0</definedName>
    <definedName name="_AtRisk_SimSetting_ReportOptionCustomItemLegendType04" hidden="1">0</definedName>
    <definedName name="_AtRisk_SimSetting_ReportOptionCustomItemLegendType05" hidden="1">0</definedName>
    <definedName name="_AtRisk_SimSetting_ReportOptionCustomItemLegendType06" hidden="1">0</definedName>
    <definedName name="_AtRisk_SimSetting_ReportOptionCustomItemsCount" hidden="1">0</definedName>
    <definedName name="_AtRisk_SimSetting_ReportOptionCustomItemSensitivityFormat01" hidden="1">1</definedName>
    <definedName name="_AtRisk_SimSetting_ReportOptionCustomItemSensitivityFormat02" hidden="1">1</definedName>
    <definedName name="_AtRisk_SimSetting_ReportOptionCustomItemSensitivityFormat03" hidden="1">1</definedName>
    <definedName name="_AtRisk_SimSetting_ReportOptionCustomItemSensitivityFormat04" hidden="1">1</definedName>
    <definedName name="_AtRisk_SimSetting_ReportOptionCustomItemSensitivityFormat05" hidden="1">1</definedName>
    <definedName name="_AtRisk_SimSetting_ReportOptionCustomItemSensitivityFormat06" hidden="1">1</definedName>
    <definedName name="_AtRisk_SimSetting_ReportOptionCustomItemSummaryGraphType01" hidden="1">0</definedName>
    <definedName name="_AtRisk_SimSetting_ReportOptionCustomItemSummaryGraphType02" hidden="1">0</definedName>
    <definedName name="_AtRisk_SimSetting_ReportOptionCustomItemSummaryGraphType03" hidden="1">0</definedName>
    <definedName name="_AtRisk_SimSetting_ReportOptionCustomItemSummaryGraphType04" hidden="1">0</definedName>
    <definedName name="_AtRisk_SimSetting_ReportOptionCustomItemSummaryGraphType05" hidden="1">0</definedName>
    <definedName name="_AtRisk_SimSetting_ReportOptionCustomItemSummaryGraphType06" hidden="1">0</definedName>
    <definedName name="_AtRisk_SimSetting_ReportOptionDataMode" hidden="1">1</definedName>
    <definedName name="_AtRisk_SimSetting_ReportOptionReportMultiSimType" hidden="1">1</definedName>
    <definedName name="_AtRisk_SimSetting_ReportOptionReportPlacement" hidden="1">1</definedName>
    <definedName name="_AtRisk_SimSetting_ReportOptionReportSelection" hidden="1">15</definedName>
    <definedName name="_AtRisk_SimSetting_ReportOptionReportsFileType" hidden="1">1</definedName>
    <definedName name="_AtRisk_SimSetting_ReportOptionSelectiveQR" hidden="1">FALSE</definedName>
    <definedName name="_AtRisk_SimSetting_ReportsList" hidden="1">15</definedName>
    <definedName name="_AtRisk_SimSetting_ShowSimulationProgressWindow" hidden="1">TRUE</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ActiveSimulationNumber"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xlnm._FilterDatabase" localSheetId="5" hidden="1">'Aggregate RR'!$A$17:$Y$49</definedName>
    <definedName name="_xlnm._FilterDatabase" localSheetId="11" hidden="1">'List Values'!$B$1:$B$15</definedName>
    <definedName name="_xlnm._FilterDatabase" localSheetId="8" hidden="1">'Tables for RE'!$C$124:$Q$238</definedName>
    <definedName name="AH1_cm2">'Exposure Factors'!$C$5</definedName>
    <definedName name="AH1_cm2_F">'Exposure Factors'!$D$5</definedName>
    <definedName name="AH2_cm2">'Exposure Factors'!$C$6</definedName>
    <definedName name="AH2_cm2_F">'Exposure Factors'!$D$6</definedName>
    <definedName name="AT">'List Values'!$H$12</definedName>
    <definedName name="AT_AC">'List Values'!$J$42</definedName>
    <definedName name="AT_ADC_high">'List Values'!$H$20</definedName>
    <definedName name="AT_ADC_mid">'List Values'!$H$19</definedName>
    <definedName name="AT_LADC">'List Values'!$H$21</definedName>
    <definedName name="BW_default">'Exposure Factors'!$C$4</definedName>
    <definedName name="BW_F">'Exposure Factors'!$D$4</definedName>
    <definedName name="ED_10">'List Values'!$H$11</definedName>
    <definedName name="ED_8">'List Values'!$H$10</definedName>
    <definedName name="EF">'List Values'!$H$13</definedName>
    <definedName name="EFID">'List Values'!$H$14</definedName>
    <definedName name="ID">'List Values'!$H$15</definedName>
    <definedName name="LT">'List Values'!$H$18</definedName>
    <definedName name="Mol_Vol">'List Values'!$G$7</definedName>
    <definedName name="MW">'List Values'!$G$6</definedName>
    <definedName name="Pal_Workbook_GUID" hidden="1">"QFFA8IQU6YFGRFCXE7L4LIWR"</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localSheetId="2" hidden="1">8</definedName>
    <definedName name="RiskHasSettings" hidden="1">8</definedName>
    <definedName name="RiskMinimizeOnStart" hidden="1">FALSE</definedName>
    <definedName name="RiskMonitorConvergence" hidden="1">FALSE</definedName>
    <definedName name="RiskMultipleCPUSupportEnabled" localSheetId="2" hidden="1">FALSE</definedName>
    <definedName name="RiskMultipleCPUSupportEnabled" hidden="1">FALSE</definedName>
    <definedName name="RiskNumIterations" localSheetId="2" hidden="1">100000</definedName>
    <definedName name="RiskNumIterations" hidden="1">1000000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localSheetId="2" hidden="1">FALSE</definedName>
    <definedName name="RiskUseMultipleCPUs" hidden="1">FALSE</definedName>
    <definedName name="solver_adj" localSheetId="5" hidden="1">'Aggregate RR'!#REF!</definedName>
    <definedName name="solver_adj" localSheetId="4" hidden="1">RR!#REF!</definedName>
    <definedName name="solver_cvg" localSheetId="5" hidden="1">0.0001</definedName>
    <definedName name="solver_cvg" localSheetId="4" hidden="1">0.0001</definedName>
    <definedName name="solver_drv" localSheetId="5" hidden="1">1</definedName>
    <definedName name="solver_drv" localSheetId="4" hidden="1">1</definedName>
    <definedName name="solver_eng" localSheetId="5" hidden="1">1</definedName>
    <definedName name="solver_eng" localSheetId="4" hidden="1">1</definedName>
    <definedName name="solver_est" localSheetId="5" hidden="1">1</definedName>
    <definedName name="solver_est" localSheetId="4" hidden="1">1</definedName>
    <definedName name="solver_itr" localSheetId="5" hidden="1">2147483647</definedName>
    <definedName name="solver_itr" localSheetId="4" hidden="1">2147483647</definedName>
    <definedName name="solver_mip" localSheetId="5" hidden="1">2147483647</definedName>
    <definedName name="solver_mip" localSheetId="4" hidden="1">2147483647</definedName>
    <definedName name="solver_mni" localSheetId="5" hidden="1">30</definedName>
    <definedName name="solver_mni" localSheetId="4" hidden="1">30</definedName>
    <definedName name="solver_mrt" localSheetId="5" hidden="1">0.075</definedName>
    <definedName name="solver_mrt" localSheetId="4" hidden="1">0.075</definedName>
    <definedName name="solver_msl" localSheetId="5" hidden="1">2</definedName>
    <definedName name="solver_msl" localSheetId="4" hidden="1">2</definedName>
    <definedName name="solver_neg" localSheetId="5" hidden="1">1</definedName>
    <definedName name="solver_neg" localSheetId="4" hidden="1">1</definedName>
    <definedName name="solver_nod" localSheetId="5" hidden="1">2147483647</definedName>
    <definedName name="solver_nod" localSheetId="4" hidden="1">2147483647</definedName>
    <definedName name="solver_num" localSheetId="5" hidden="1">0</definedName>
    <definedName name="solver_num" localSheetId="4" hidden="1">0</definedName>
    <definedName name="solver_nwt" localSheetId="5" hidden="1">1</definedName>
    <definedName name="solver_nwt" localSheetId="4" hidden="1">1</definedName>
    <definedName name="solver_opt" localSheetId="5" hidden="1">'Aggregate RR'!#REF!</definedName>
    <definedName name="solver_opt" localSheetId="4" hidden="1">RR!#REF!</definedName>
    <definedName name="solver_pre" localSheetId="5" hidden="1">0.000001</definedName>
    <definedName name="solver_pre" localSheetId="4" hidden="1">0.000001</definedName>
    <definedName name="solver_rbv" localSheetId="5" hidden="1">1</definedName>
    <definedName name="solver_rbv" localSheetId="4" hidden="1">1</definedName>
    <definedName name="solver_rlx" localSheetId="5" hidden="1">2</definedName>
    <definedName name="solver_rlx" localSheetId="4" hidden="1">2</definedName>
    <definedName name="solver_rsd" localSheetId="5" hidden="1">0</definedName>
    <definedName name="solver_rsd" localSheetId="4" hidden="1">0</definedName>
    <definedName name="solver_scl" localSheetId="5" hidden="1">1</definedName>
    <definedName name="solver_scl" localSheetId="4" hidden="1">1</definedName>
    <definedName name="solver_sho" localSheetId="5" hidden="1">2</definedName>
    <definedName name="solver_sho" localSheetId="4" hidden="1">2</definedName>
    <definedName name="solver_ssz" localSheetId="5" hidden="1">100</definedName>
    <definedName name="solver_ssz" localSheetId="4" hidden="1">100</definedName>
    <definedName name="solver_tim" localSheetId="5" hidden="1">2147483647</definedName>
    <definedName name="solver_tim" localSheetId="4" hidden="1">2147483647</definedName>
    <definedName name="solver_tol" localSheetId="5" hidden="1">0.01</definedName>
    <definedName name="solver_tol" localSheetId="4" hidden="1">0.01</definedName>
    <definedName name="solver_typ" localSheetId="5" hidden="1">3</definedName>
    <definedName name="solver_typ" localSheetId="4" hidden="1">3</definedName>
    <definedName name="solver_val" localSheetId="5" hidden="1">1</definedName>
    <definedName name="solver_val" localSheetId="4" hidden="1">1</definedName>
    <definedName name="solver_ver" localSheetId="5" hidden="1">3</definedName>
    <definedName name="solver_ver" localSheetId="4" hidden="1">3</definedName>
    <definedName name="WorkBreathRate">'Exposure Factors'!$C$10</definedName>
    <definedName name="WY_high">'List Values'!$H$17</definedName>
    <definedName name="WY_mid">'List Values'!$H$16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7" i="47" l="1"/>
  <c r="P17" i="47"/>
  <c r="O17" i="47"/>
  <c r="N17" i="47"/>
  <c r="R17" i="47"/>
  <c r="F24" i="31"/>
  <c r="O5" i="37"/>
  <c r="N5" i="37"/>
  <c r="C18" i="31"/>
  <c r="J20" i="41"/>
  <c r="R20" i="41" s="1"/>
  <c r="K12" i="41"/>
  <c r="O12" i="41" s="1"/>
  <c r="J12" i="41"/>
  <c r="K11" i="41"/>
  <c r="Q11" i="41" s="1"/>
  <c r="J11" i="41"/>
  <c r="P11" i="41" l="1"/>
  <c r="R11" i="41"/>
  <c r="N12" i="41"/>
  <c r="R12" i="41"/>
  <c r="P12" i="41"/>
  <c r="M12" i="41"/>
  <c r="Q12" i="41"/>
  <c r="L11" i="41"/>
  <c r="M11" i="41"/>
  <c r="N11" i="41"/>
  <c r="O11" i="41"/>
  <c r="L12" i="41"/>
  <c r="N39" i="37" l="1"/>
  <c r="N34" i="37"/>
  <c r="C126" i="49" a="1"/>
  <c r="C126" i="49" s="1"/>
  <c r="C127" i="49" a="1"/>
  <c r="C127" i="49" s="1"/>
  <c r="C128" i="49" a="1"/>
  <c r="C128" i="49" s="1"/>
  <c r="C129" i="49" a="1"/>
  <c r="C129" i="49" s="1"/>
  <c r="C130" i="49" a="1"/>
  <c r="C130" i="49" s="1"/>
  <c r="C131" i="49" a="1"/>
  <c r="C131" i="49" s="1"/>
  <c r="C132" i="49" a="1"/>
  <c r="C132" i="49" s="1"/>
  <c r="C133" i="49" a="1"/>
  <c r="C133" i="49" s="1"/>
  <c r="C134" i="49" a="1"/>
  <c r="C134" i="49" s="1"/>
  <c r="C135" i="49" a="1"/>
  <c r="C135" i="49" s="1"/>
  <c r="C136" i="49" a="1"/>
  <c r="C136" i="49" s="1"/>
  <c r="C137" i="49" a="1"/>
  <c r="C137" i="49" s="1"/>
  <c r="C138" i="49" a="1"/>
  <c r="C138" i="49" s="1"/>
  <c r="C139" i="49" a="1"/>
  <c r="C139" i="49" s="1"/>
  <c r="C140" i="49" a="1"/>
  <c r="C140" i="49" s="1"/>
  <c r="C141" i="49" a="1"/>
  <c r="C141" i="49" s="1"/>
  <c r="C142" i="49" a="1"/>
  <c r="C142" i="49" s="1"/>
  <c r="C143" i="49" a="1"/>
  <c r="C143" i="49" s="1"/>
  <c r="C144" i="49" a="1"/>
  <c r="C144" i="49" s="1"/>
  <c r="C145" i="49" a="1"/>
  <c r="C145" i="49" s="1"/>
  <c r="C146" i="49" a="1"/>
  <c r="C146" i="49" s="1"/>
  <c r="C147" i="49" a="1"/>
  <c r="C147" i="49" s="1"/>
  <c r="C148" i="49" a="1"/>
  <c r="C148" i="49" s="1"/>
  <c r="C149" i="49" a="1"/>
  <c r="C149" i="49" s="1"/>
  <c r="C150" i="49" a="1"/>
  <c r="C150" i="49" s="1"/>
  <c r="C151" i="49" a="1"/>
  <c r="C151" i="49" s="1"/>
  <c r="C152" i="49" a="1"/>
  <c r="C152" i="49" s="1"/>
  <c r="C153" i="49" a="1"/>
  <c r="C153" i="49" s="1"/>
  <c r="C154" i="49" a="1"/>
  <c r="C154" i="49" s="1"/>
  <c r="C155" i="49" a="1"/>
  <c r="C155" i="49" s="1"/>
  <c r="C156" i="49" a="1"/>
  <c r="C156" i="49" s="1"/>
  <c r="C157" i="49" a="1"/>
  <c r="C157" i="49" s="1"/>
  <c r="C158" i="49" a="1"/>
  <c r="C158" i="49" s="1"/>
  <c r="C159" i="49" a="1"/>
  <c r="C159" i="49" s="1"/>
  <c r="C160" i="49" a="1"/>
  <c r="C160" i="49" s="1"/>
  <c r="C161" i="49" a="1"/>
  <c r="C161" i="49" s="1"/>
  <c r="C162" i="49" a="1"/>
  <c r="C162" i="49" s="1"/>
  <c r="C163" i="49" a="1"/>
  <c r="C163" i="49" s="1"/>
  <c r="C164" i="49" a="1"/>
  <c r="C164" i="49" s="1"/>
  <c r="C165" i="49" a="1"/>
  <c r="C165" i="49" s="1"/>
  <c r="C166" i="49" a="1"/>
  <c r="C166" i="49" s="1"/>
  <c r="C167" i="49" a="1"/>
  <c r="C167" i="49" s="1"/>
  <c r="C168" i="49" a="1"/>
  <c r="C168" i="49" s="1"/>
  <c r="C169" i="49" a="1"/>
  <c r="C169" i="49" s="1"/>
  <c r="C170" i="49" a="1"/>
  <c r="C170" i="49" s="1"/>
  <c r="C171" i="49" a="1"/>
  <c r="C171" i="49" s="1"/>
  <c r="C172" i="49" a="1"/>
  <c r="C172" i="49" s="1"/>
  <c r="C173" i="49" a="1"/>
  <c r="C173" i="49" s="1"/>
  <c r="C174" i="49" a="1"/>
  <c r="C174" i="49" s="1"/>
  <c r="C175" i="49" a="1"/>
  <c r="C175" i="49" s="1"/>
  <c r="C176" i="49" a="1"/>
  <c r="C176" i="49" s="1"/>
  <c r="C177" i="49" a="1"/>
  <c r="C177" i="49" s="1"/>
  <c r="C178" i="49" a="1"/>
  <c r="C178" i="49" s="1"/>
  <c r="C179" i="49" a="1"/>
  <c r="C179" i="49" s="1"/>
  <c r="C180" i="49" a="1"/>
  <c r="C180" i="49" s="1"/>
  <c r="C181" i="49" a="1"/>
  <c r="C181" i="49" s="1"/>
  <c r="C182" i="49" a="1"/>
  <c r="C182" i="49" s="1"/>
  <c r="C183" i="49" a="1"/>
  <c r="C183" i="49" s="1"/>
  <c r="C184" i="49" a="1"/>
  <c r="C184" i="49" s="1"/>
  <c r="C185" i="49" a="1"/>
  <c r="C185" i="49" s="1"/>
  <c r="C186" i="49" a="1"/>
  <c r="C186" i="49" s="1"/>
  <c r="C187" i="49" a="1"/>
  <c r="C187" i="49" s="1"/>
  <c r="C188" i="49" a="1"/>
  <c r="C188" i="49" s="1"/>
  <c r="C189" i="49" a="1"/>
  <c r="C189" i="49" s="1"/>
  <c r="C190" i="49" a="1"/>
  <c r="C190" i="49" s="1"/>
  <c r="C191" i="49" a="1"/>
  <c r="C191" i="49" s="1"/>
  <c r="C192" i="49" a="1"/>
  <c r="C192" i="49" s="1"/>
  <c r="C193" i="49" a="1"/>
  <c r="C193" i="49" s="1"/>
  <c r="C194" i="49" a="1"/>
  <c r="C194" i="49" s="1"/>
  <c r="C195" i="49" a="1"/>
  <c r="C195" i="49" s="1"/>
  <c r="C196" i="49" a="1"/>
  <c r="C196" i="49" s="1"/>
  <c r="C197" i="49" a="1"/>
  <c r="C197" i="49" s="1"/>
  <c r="C198" i="49" a="1"/>
  <c r="C198" i="49" s="1"/>
  <c r="C199" i="49" a="1"/>
  <c r="C199" i="49" s="1"/>
  <c r="C200" i="49" a="1"/>
  <c r="C200" i="49" s="1"/>
  <c r="C201" i="49" a="1"/>
  <c r="C201" i="49" s="1"/>
  <c r="C202" i="49" a="1"/>
  <c r="C202" i="49" s="1"/>
  <c r="C203" i="49" a="1"/>
  <c r="C203" i="49" s="1"/>
  <c r="C204" i="49" a="1"/>
  <c r="C204" i="49" s="1"/>
  <c r="C205" i="49" a="1"/>
  <c r="C205" i="49" s="1"/>
  <c r="C206" i="49" a="1"/>
  <c r="C206" i="49" s="1"/>
  <c r="C207" i="49" a="1"/>
  <c r="C207" i="49" s="1"/>
  <c r="C208" i="49" a="1"/>
  <c r="C208" i="49" s="1"/>
  <c r="C209" i="49" a="1"/>
  <c r="C209" i="49" s="1"/>
  <c r="C210" i="49" a="1"/>
  <c r="C210" i="49" s="1"/>
  <c r="C211" i="49" a="1"/>
  <c r="C211" i="49" s="1"/>
  <c r="C212" i="49" a="1"/>
  <c r="C212" i="49" s="1"/>
  <c r="C213" i="49" a="1"/>
  <c r="C213" i="49" s="1"/>
  <c r="C214" i="49" a="1"/>
  <c r="C214" i="49" s="1"/>
  <c r="C215" i="49" a="1"/>
  <c r="C215" i="49" s="1"/>
  <c r="C216" i="49" a="1"/>
  <c r="C216" i="49" s="1"/>
  <c r="C217" i="49" a="1"/>
  <c r="C217" i="49" s="1"/>
  <c r="C218" i="49" a="1"/>
  <c r="C218" i="49" s="1"/>
  <c r="C219" i="49" a="1"/>
  <c r="C219" i="49" s="1"/>
  <c r="C220" i="49" a="1"/>
  <c r="C220" i="49" s="1"/>
  <c r="C221" i="49" a="1"/>
  <c r="C221" i="49" s="1"/>
  <c r="C222" i="49" a="1"/>
  <c r="C222" i="49" s="1"/>
  <c r="C223" i="49" a="1"/>
  <c r="C223" i="49" s="1"/>
  <c r="C224" i="49" a="1"/>
  <c r="C224" i="49" s="1"/>
  <c r="C225" i="49" a="1"/>
  <c r="C225" i="49" s="1"/>
  <c r="C226" i="49" a="1"/>
  <c r="C226" i="49" s="1"/>
  <c r="C227" i="49" a="1"/>
  <c r="C227" i="49" s="1"/>
  <c r="C228" i="49" a="1"/>
  <c r="C228" i="49" s="1"/>
  <c r="C229" i="49" a="1"/>
  <c r="C229" i="49" s="1"/>
  <c r="C230" i="49" a="1"/>
  <c r="C230" i="49" s="1"/>
  <c r="C231" i="49" a="1"/>
  <c r="C231" i="49" s="1"/>
  <c r="C232" i="49" a="1"/>
  <c r="C232" i="49" s="1"/>
  <c r="C233" i="49" a="1"/>
  <c r="C233" i="49" s="1"/>
  <c r="C234" i="49" a="1"/>
  <c r="C234" i="49" s="1"/>
  <c r="C235" i="49" a="1"/>
  <c r="C235" i="49" s="1"/>
  <c r="C236" i="49" a="1"/>
  <c r="C236" i="49" s="1"/>
  <c r="C237" i="49" a="1"/>
  <c r="C237" i="49" s="1"/>
  <c r="C238" i="49" a="1"/>
  <c r="C238" i="49" s="1"/>
  <c r="C125" i="49" a="1"/>
  <c r="C125" i="49" s="1"/>
  <c r="P34" i="37" l="1"/>
  <c r="O34" i="37"/>
  <c r="Q34" i="37" s="1"/>
  <c r="N32" i="37"/>
  <c r="P32" i="37" s="1"/>
  <c r="O32" i="37"/>
  <c r="Q32" i="37" s="1"/>
  <c r="N33" i="37"/>
  <c r="P33" i="37" s="1"/>
  <c r="O33" i="37"/>
  <c r="Q33" i="37" s="1"/>
  <c r="N37" i="37"/>
  <c r="P37" i="37" s="1"/>
  <c r="O37" i="37"/>
  <c r="Q37" i="37" s="1"/>
  <c r="N35" i="37"/>
  <c r="P35" i="37" s="1"/>
  <c r="O35" i="37"/>
  <c r="Q35" i="37" s="1"/>
  <c r="N36" i="37"/>
  <c r="P36" i="37" s="1"/>
  <c r="O36" i="37"/>
  <c r="Q36" i="37" s="1"/>
  <c r="N38" i="37"/>
  <c r="P38" i="37" s="1"/>
  <c r="O38" i="37"/>
  <c r="Q38" i="37" s="1"/>
  <c r="P39" i="37"/>
  <c r="O39" i="37"/>
  <c r="Q39" i="37" s="1"/>
  <c r="N40" i="37"/>
  <c r="P40" i="37" s="1"/>
  <c r="O40" i="37"/>
  <c r="Q40" i="37" s="1"/>
  <c r="N41" i="37"/>
  <c r="P41" i="37" s="1"/>
  <c r="O41" i="37"/>
  <c r="Q41" i="37" s="1"/>
  <c r="N42" i="37"/>
  <c r="P42" i="37" s="1"/>
  <c r="O42" i="37"/>
  <c r="Q42" i="37" s="1"/>
  <c r="N43" i="37"/>
  <c r="P43" i="37" s="1"/>
  <c r="O43" i="37"/>
  <c r="Q43" i="37" s="1"/>
  <c r="O6" i="37"/>
  <c r="N6" i="37"/>
  <c r="O7" i="37"/>
  <c r="N7" i="37"/>
  <c r="O13" i="37"/>
  <c r="N13" i="37"/>
  <c r="O12" i="37"/>
  <c r="N12" i="37"/>
  <c r="O11" i="37"/>
  <c r="N11" i="37"/>
  <c r="O52" i="37"/>
  <c r="N52" i="37"/>
  <c r="O51" i="37"/>
  <c r="N51" i="37"/>
  <c r="O50" i="37"/>
  <c r="N50" i="37"/>
  <c r="M55" i="37"/>
  <c r="L55" i="37"/>
  <c r="M54" i="37"/>
  <c r="L54" i="37"/>
  <c r="M53" i="37"/>
  <c r="L53" i="37"/>
  <c r="P11" i="37" l="1"/>
  <c r="P12" i="37"/>
  <c r="P7" i="37"/>
  <c r="P5" i="37"/>
  <c r="P50" i="37"/>
  <c r="P51" i="37"/>
  <c r="R5" i="37" l="1"/>
  <c r="T5" i="37"/>
  <c r="J4" i="41"/>
  <c r="R4" i="41" s="1"/>
  <c r="O47" i="37"/>
  <c r="Q47" i="37" s="1"/>
  <c r="O48" i="37"/>
  <c r="Q48" i="37" s="1"/>
  <c r="O46" i="37"/>
  <c r="Q46" i="37" s="1"/>
  <c r="O44" i="37"/>
  <c r="Q44" i="37" s="1"/>
  <c r="O45" i="37"/>
  <c r="Q45" i="37" s="1"/>
  <c r="O53" i="37"/>
  <c r="Q53" i="37" s="1"/>
  <c r="S53" i="37" s="1"/>
  <c r="O54" i="37"/>
  <c r="Q54" i="37" s="1"/>
  <c r="S54" i="37" s="1"/>
  <c r="O55" i="37"/>
  <c r="Q55" i="37" s="1"/>
  <c r="S55" i="37" s="1"/>
  <c r="Q50" i="37"/>
  <c r="Q51" i="37"/>
  <c r="Q52" i="37"/>
  <c r="O56" i="37"/>
  <c r="Q56" i="37" s="1"/>
  <c r="O57" i="37"/>
  <c r="Q57" i="37" s="1"/>
  <c r="O58" i="37"/>
  <c r="Q58" i="37" s="1"/>
  <c r="O49" i="37"/>
  <c r="Q49" i="37" s="1"/>
  <c r="Q12" i="37"/>
  <c r="Q13" i="37"/>
  <c r="Q7" i="37"/>
  <c r="Q5" i="37"/>
  <c r="Q6" i="37"/>
  <c r="O16" i="37"/>
  <c r="Q16" i="37" s="1"/>
  <c r="O14" i="37"/>
  <c r="Q14" i="37" s="1"/>
  <c r="O15" i="37"/>
  <c r="Q15" i="37" s="1"/>
  <c r="O26" i="37"/>
  <c r="Q26" i="37" s="1"/>
  <c r="O27" i="37"/>
  <c r="Q27" i="37" s="1"/>
  <c r="O28" i="37"/>
  <c r="Q28" i="37" s="1"/>
  <c r="O22" i="37"/>
  <c r="Q22" i="37" s="1"/>
  <c r="O20" i="37"/>
  <c r="Q20" i="37" s="1"/>
  <c r="O21" i="37"/>
  <c r="Q21" i="37" s="1"/>
  <c r="Q11" i="37"/>
  <c r="N47" i="37"/>
  <c r="P47" i="37" s="1"/>
  <c r="N48" i="37"/>
  <c r="P48" i="37" s="1"/>
  <c r="N46" i="37"/>
  <c r="P46" i="37" s="1"/>
  <c r="N44" i="37"/>
  <c r="P44" i="37" s="1"/>
  <c r="N45" i="37"/>
  <c r="P45" i="37" s="1"/>
  <c r="N53" i="37"/>
  <c r="N54" i="37"/>
  <c r="P54" i="37" s="1"/>
  <c r="T54" i="37" s="1"/>
  <c r="N55" i="37"/>
  <c r="P55" i="37" s="1"/>
  <c r="V55" i="37" s="1"/>
  <c r="P52" i="37"/>
  <c r="N56" i="37"/>
  <c r="P56" i="37" s="1"/>
  <c r="N57" i="37"/>
  <c r="P57" i="37" s="1"/>
  <c r="N58" i="37"/>
  <c r="P58" i="37" s="1"/>
  <c r="N49" i="37"/>
  <c r="P49" i="37" s="1"/>
  <c r="P13" i="37"/>
  <c r="P6" i="37"/>
  <c r="N16" i="37"/>
  <c r="P16" i="37" s="1"/>
  <c r="N14" i="37"/>
  <c r="P14" i="37" s="1"/>
  <c r="N15" i="37"/>
  <c r="P15" i="37" s="1"/>
  <c r="N26" i="37"/>
  <c r="P26" i="37" s="1"/>
  <c r="N27" i="37"/>
  <c r="P27" i="37" s="1"/>
  <c r="N28" i="37"/>
  <c r="P28" i="37" s="1"/>
  <c r="N22" i="37"/>
  <c r="P22" i="37" s="1"/>
  <c r="N20" i="37"/>
  <c r="P20" i="37" s="1"/>
  <c r="N21" i="37"/>
  <c r="P21" i="37" s="1"/>
  <c r="C117" i="49" a="1"/>
  <c r="C117" i="49" s="1"/>
  <c r="C118" i="49" a="1"/>
  <c r="C118" i="49" s="1"/>
  <c r="C6" i="49" a="1"/>
  <c r="C6" i="49" s="1"/>
  <c r="C7" i="49" a="1"/>
  <c r="C7" i="49" s="1"/>
  <c r="C8" i="49" a="1"/>
  <c r="C8" i="49" s="1"/>
  <c r="C9" i="49" a="1"/>
  <c r="C9" i="49" s="1"/>
  <c r="C10" i="49" a="1"/>
  <c r="C10" i="49" s="1"/>
  <c r="C11" i="49" a="1"/>
  <c r="C11" i="49" s="1"/>
  <c r="C12" i="49" a="1"/>
  <c r="C12" i="49" s="1"/>
  <c r="C13" i="49" a="1"/>
  <c r="C13" i="49" s="1"/>
  <c r="C14" i="49" a="1"/>
  <c r="C14" i="49" s="1"/>
  <c r="C15" i="49" a="1"/>
  <c r="C15" i="49" s="1"/>
  <c r="C16" i="49" a="1"/>
  <c r="C16" i="49" s="1"/>
  <c r="C17" i="49" a="1"/>
  <c r="C17" i="49" s="1"/>
  <c r="C18" i="49" a="1"/>
  <c r="C18" i="49" s="1"/>
  <c r="C19" i="49" a="1"/>
  <c r="C19" i="49" s="1"/>
  <c r="C20" i="49" a="1"/>
  <c r="C20" i="49" s="1"/>
  <c r="C21" i="49" a="1"/>
  <c r="C21" i="49" s="1"/>
  <c r="C22" i="49" a="1"/>
  <c r="C22" i="49" s="1"/>
  <c r="C23" i="49" a="1"/>
  <c r="C23" i="49" s="1"/>
  <c r="C24" i="49" a="1"/>
  <c r="C24" i="49" s="1"/>
  <c r="C25" i="49" a="1"/>
  <c r="C25" i="49" s="1"/>
  <c r="C26" i="49" a="1"/>
  <c r="C26" i="49" s="1"/>
  <c r="C27" i="49" a="1"/>
  <c r="C27" i="49" s="1"/>
  <c r="C28" i="49" a="1"/>
  <c r="C28" i="49" s="1"/>
  <c r="C29" i="49" a="1"/>
  <c r="C29" i="49" s="1"/>
  <c r="C30" i="49" a="1"/>
  <c r="C30" i="49" s="1"/>
  <c r="C31" i="49" a="1"/>
  <c r="C31" i="49" s="1"/>
  <c r="C32" i="49" a="1"/>
  <c r="C32" i="49" s="1"/>
  <c r="C33" i="49" a="1"/>
  <c r="C33" i="49" s="1"/>
  <c r="C34" i="49" a="1"/>
  <c r="C34" i="49" s="1"/>
  <c r="C35" i="49" a="1"/>
  <c r="C35" i="49" s="1"/>
  <c r="C36" i="49" a="1"/>
  <c r="C36" i="49" s="1"/>
  <c r="C37" i="49" a="1"/>
  <c r="C37" i="49" s="1"/>
  <c r="C38" i="49" a="1"/>
  <c r="C38" i="49" s="1"/>
  <c r="C39" i="49" a="1"/>
  <c r="C39" i="49" s="1"/>
  <c r="C40" i="49" a="1"/>
  <c r="C40" i="49" s="1"/>
  <c r="C41" i="49" a="1"/>
  <c r="C41" i="49" s="1"/>
  <c r="C42" i="49" a="1"/>
  <c r="C42" i="49" s="1"/>
  <c r="C43" i="49" a="1"/>
  <c r="C43" i="49" s="1"/>
  <c r="C44" i="49" a="1"/>
  <c r="C44" i="49" s="1"/>
  <c r="C45" i="49" a="1"/>
  <c r="C45" i="49" s="1"/>
  <c r="C46" i="49" a="1"/>
  <c r="C46" i="49" s="1"/>
  <c r="C47" i="49" a="1"/>
  <c r="C47" i="49" s="1"/>
  <c r="C48" i="49" a="1"/>
  <c r="C48" i="49" s="1"/>
  <c r="C49" i="49" a="1"/>
  <c r="C49" i="49" s="1"/>
  <c r="C50" i="49" a="1"/>
  <c r="C50" i="49" s="1"/>
  <c r="C51" i="49" a="1"/>
  <c r="C51" i="49" s="1"/>
  <c r="C52" i="49" a="1"/>
  <c r="C52" i="49" s="1"/>
  <c r="C53" i="49" a="1"/>
  <c r="C53" i="49" s="1"/>
  <c r="C54" i="49" a="1"/>
  <c r="C54" i="49" s="1"/>
  <c r="C55" i="49" a="1"/>
  <c r="C55" i="49" s="1"/>
  <c r="C56" i="49" a="1"/>
  <c r="C56" i="49" s="1"/>
  <c r="C57" i="49" a="1"/>
  <c r="C57" i="49" s="1"/>
  <c r="C58" i="49" a="1"/>
  <c r="C58" i="49" s="1"/>
  <c r="C59" i="49" a="1"/>
  <c r="C59" i="49" s="1"/>
  <c r="C60" i="49" a="1"/>
  <c r="C60" i="49" s="1"/>
  <c r="C61" i="49" a="1"/>
  <c r="C61" i="49" s="1"/>
  <c r="C62" i="49" a="1"/>
  <c r="C62" i="49" s="1"/>
  <c r="C63" i="49" a="1"/>
  <c r="C63" i="49" s="1"/>
  <c r="C64" i="49" a="1"/>
  <c r="C64" i="49" s="1"/>
  <c r="C65" i="49" a="1"/>
  <c r="C65" i="49" s="1"/>
  <c r="C66" i="49" a="1"/>
  <c r="C66" i="49" s="1"/>
  <c r="C67" i="49" a="1"/>
  <c r="C67" i="49" s="1"/>
  <c r="C68" i="49" a="1"/>
  <c r="C68" i="49" s="1"/>
  <c r="C69" i="49" a="1"/>
  <c r="C69" i="49" s="1"/>
  <c r="C70" i="49" a="1"/>
  <c r="C70" i="49" s="1"/>
  <c r="C71" i="49" a="1"/>
  <c r="C71" i="49" s="1"/>
  <c r="C72" i="49" a="1"/>
  <c r="C72" i="49" s="1"/>
  <c r="C73" i="49" a="1"/>
  <c r="C73" i="49" s="1"/>
  <c r="C74" i="49" a="1"/>
  <c r="C74" i="49" s="1"/>
  <c r="C75" i="49" a="1"/>
  <c r="C75" i="49" s="1"/>
  <c r="C76" i="49" a="1"/>
  <c r="C76" i="49" s="1"/>
  <c r="C77" i="49" a="1"/>
  <c r="C77" i="49" s="1"/>
  <c r="C78" i="49" a="1"/>
  <c r="C78" i="49" s="1"/>
  <c r="C79" i="49" a="1"/>
  <c r="C79" i="49" s="1"/>
  <c r="C80" i="49" a="1"/>
  <c r="C80" i="49" s="1"/>
  <c r="C81" i="49" a="1"/>
  <c r="C81" i="49" s="1"/>
  <c r="C82" i="49" a="1"/>
  <c r="C82" i="49" s="1"/>
  <c r="C83" i="49" a="1"/>
  <c r="C83" i="49" s="1"/>
  <c r="C84" i="49" a="1"/>
  <c r="C84" i="49" s="1"/>
  <c r="C85" i="49" a="1"/>
  <c r="C85" i="49" s="1"/>
  <c r="C86" i="49" a="1"/>
  <c r="C86" i="49" s="1"/>
  <c r="C87" i="49" a="1"/>
  <c r="C87" i="49" s="1"/>
  <c r="C88" i="49" a="1"/>
  <c r="C88" i="49" s="1"/>
  <c r="C89" i="49" a="1"/>
  <c r="C89" i="49" s="1"/>
  <c r="C90" i="49" a="1"/>
  <c r="C90" i="49" s="1"/>
  <c r="C91" i="49" a="1"/>
  <c r="C91" i="49" s="1"/>
  <c r="C92" i="49" a="1"/>
  <c r="C92" i="49" s="1"/>
  <c r="C93" i="49" a="1"/>
  <c r="C93" i="49" s="1"/>
  <c r="C94" i="49" a="1"/>
  <c r="C94" i="49" s="1"/>
  <c r="C95" i="49" a="1"/>
  <c r="C95" i="49" s="1"/>
  <c r="C96" i="49" a="1"/>
  <c r="C96" i="49" s="1"/>
  <c r="C97" i="49" a="1"/>
  <c r="C97" i="49" s="1"/>
  <c r="C98" i="49" a="1"/>
  <c r="C98" i="49" s="1"/>
  <c r="C99" i="49" a="1"/>
  <c r="C99" i="49" s="1"/>
  <c r="C100" i="49" a="1"/>
  <c r="C100" i="49" s="1"/>
  <c r="C101" i="49" a="1"/>
  <c r="C101" i="49" s="1"/>
  <c r="C102" i="49" a="1"/>
  <c r="C102" i="49" s="1"/>
  <c r="C103" i="49" a="1"/>
  <c r="C103" i="49" s="1"/>
  <c r="C104" i="49" a="1"/>
  <c r="C104" i="49" s="1"/>
  <c r="C105" i="49" a="1"/>
  <c r="C105" i="49" s="1"/>
  <c r="C106" i="49" a="1"/>
  <c r="C106" i="49" s="1"/>
  <c r="C107" i="49" a="1"/>
  <c r="C107" i="49" s="1"/>
  <c r="C108" i="49" a="1"/>
  <c r="C108" i="49" s="1"/>
  <c r="C109" i="49" a="1"/>
  <c r="C109" i="49" s="1"/>
  <c r="C110" i="49" a="1"/>
  <c r="C110" i="49" s="1"/>
  <c r="C111" i="49" a="1"/>
  <c r="C111" i="49" s="1"/>
  <c r="C112" i="49" a="1"/>
  <c r="C112" i="49" s="1"/>
  <c r="C113" i="49" a="1"/>
  <c r="C113" i="49" s="1"/>
  <c r="C114" i="49" a="1"/>
  <c r="C114" i="49" s="1"/>
  <c r="C115" i="49" a="1"/>
  <c r="C115" i="49" s="1"/>
  <c r="C116" i="49" a="1"/>
  <c r="C116" i="49" s="1"/>
  <c r="C5" i="49" a="1"/>
  <c r="C5" i="49" s="1"/>
  <c r="G5" i="49" s="1"/>
  <c r="J43" i="41"/>
  <c r="J44" i="41"/>
  <c r="J45" i="41"/>
  <c r="J46" i="41"/>
  <c r="J47" i="41"/>
  <c r="J48" i="41"/>
  <c r="J49" i="41"/>
  <c r="J50" i="41"/>
  <c r="J51" i="41"/>
  <c r="J52" i="41"/>
  <c r="K43" i="41"/>
  <c r="M43" i="41" s="1"/>
  <c r="K44" i="41"/>
  <c r="Q44" i="41" s="1"/>
  <c r="K45" i="41"/>
  <c r="Q45" i="41" s="1"/>
  <c r="K46" i="41"/>
  <c r="M46" i="41" s="1"/>
  <c r="K47" i="41"/>
  <c r="O47" i="41" s="1"/>
  <c r="K48" i="41"/>
  <c r="M48" i="41" s="1"/>
  <c r="K49" i="41"/>
  <c r="Q49" i="41" s="1"/>
  <c r="K50" i="41"/>
  <c r="M50" i="41" s="1"/>
  <c r="K51" i="41"/>
  <c r="M51" i="41" s="1"/>
  <c r="K52" i="41"/>
  <c r="D4" i="31"/>
  <c r="N51" i="41" l="1"/>
  <c r="R51" i="41"/>
  <c r="N50" i="41"/>
  <c r="R50" i="41"/>
  <c r="L48" i="41"/>
  <c r="R48" i="41"/>
  <c r="N47" i="41"/>
  <c r="R47" i="41"/>
  <c r="L46" i="41"/>
  <c r="R46" i="41"/>
  <c r="L45" i="41"/>
  <c r="R45" i="41"/>
  <c r="P44" i="41"/>
  <c r="R44" i="41"/>
  <c r="N43" i="41"/>
  <c r="R43" i="41"/>
  <c r="L49" i="41"/>
  <c r="R49" i="41"/>
  <c r="P52" i="41"/>
  <c r="R52" i="41"/>
  <c r="O44" i="41"/>
  <c r="L44" i="41"/>
  <c r="O50" i="41"/>
  <c r="M114" i="49" s="1"/>
  <c r="L52" i="41"/>
  <c r="L117" i="49" s="1"/>
  <c r="P51" i="41"/>
  <c r="P50" i="41"/>
  <c r="N113" i="49" s="1"/>
  <c r="P43" i="41"/>
  <c r="O46" i="41"/>
  <c r="M49" i="41"/>
  <c r="L112" i="49" s="1"/>
  <c r="L110" i="49"/>
  <c r="P53" i="37"/>
  <c r="R53" i="37" s="1"/>
  <c r="K114" i="49"/>
  <c r="W53" i="37"/>
  <c r="O52" i="41"/>
  <c r="M44" i="41"/>
  <c r="L114" i="49" s="1"/>
  <c r="Q52" i="41"/>
  <c r="L47" i="41"/>
  <c r="P47" i="41"/>
  <c r="M52" i="41"/>
  <c r="O45" i="41"/>
  <c r="K118" i="49"/>
  <c r="K116" i="49"/>
  <c r="K112" i="49"/>
  <c r="K110" i="49"/>
  <c r="P49" i="41"/>
  <c r="Q50" i="41"/>
  <c r="P48" i="41"/>
  <c r="M45" i="41"/>
  <c r="L116" i="49" s="1"/>
  <c r="Q48" i="41"/>
  <c r="O43" i="41"/>
  <c r="K117" i="49"/>
  <c r="K115" i="49"/>
  <c r="K113" i="49"/>
  <c r="K111" i="49"/>
  <c r="K109" i="49"/>
  <c r="Q46" i="41"/>
  <c r="N49" i="41"/>
  <c r="N48" i="41"/>
  <c r="W55" i="37"/>
  <c r="U55" i="37"/>
  <c r="U53" i="37"/>
  <c r="T55" i="37"/>
  <c r="P46" i="41"/>
  <c r="N112" i="49"/>
  <c r="P45" i="41"/>
  <c r="N46" i="41"/>
  <c r="L111" i="49"/>
  <c r="O48" i="41"/>
  <c r="Q51" i="41"/>
  <c r="Q43" i="41"/>
  <c r="N45" i="41"/>
  <c r="M115" i="49" s="1"/>
  <c r="L51" i="41"/>
  <c r="Q47" i="41"/>
  <c r="O51" i="41"/>
  <c r="O49" i="41"/>
  <c r="N52" i="41"/>
  <c r="N44" i="41"/>
  <c r="M47" i="41"/>
  <c r="L50" i="41"/>
  <c r="L113" i="49" s="1"/>
  <c r="L43" i="41"/>
  <c r="L109" i="49" s="1"/>
  <c r="V54" i="37"/>
  <c r="R54" i="37"/>
  <c r="U54" i="37"/>
  <c r="R55" i="37"/>
  <c r="W54" i="37"/>
  <c r="G59" i="49"/>
  <c r="M113" i="49" l="1"/>
  <c r="N117" i="49"/>
  <c r="M117" i="49"/>
  <c r="N110" i="49"/>
  <c r="N115" i="49"/>
  <c r="M112" i="49"/>
  <c r="N116" i="49"/>
  <c r="M118" i="49"/>
  <c r="N114" i="49"/>
  <c r="N111" i="49"/>
  <c r="N109" i="49"/>
  <c r="L118" i="49"/>
  <c r="N118" i="49"/>
  <c r="M110" i="49"/>
  <c r="M116" i="49"/>
  <c r="M111" i="49"/>
  <c r="M109" i="49"/>
  <c r="L115" i="49"/>
  <c r="T53" i="37"/>
  <c r="V53" i="37"/>
  <c r="M67" i="37"/>
  <c r="L67" i="37"/>
  <c r="M66" i="37"/>
  <c r="L66" i="37"/>
  <c r="M65" i="37"/>
  <c r="L65" i="37"/>
  <c r="M60" i="37"/>
  <c r="L60" i="37"/>
  <c r="M59" i="37"/>
  <c r="L59" i="37"/>
  <c r="M61" i="37"/>
  <c r="L61" i="37"/>
  <c r="M64" i="37"/>
  <c r="L64" i="37"/>
  <c r="M63" i="37"/>
  <c r="L63" i="37"/>
  <c r="M62" i="37"/>
  <c r="L62" i="37"/>
  <c r="O25" i="37"/>
  <c r="Q25" i="37" s="1"/>
  <c r="N25" i="37"/>
  <c r="P25" i="37" s="1"/>
  <c r="O24" i="37"/>
  <c r="Q24" i="37" s="1"/>
  <c r="N24" i="37"/>
  <c r="P24" i="37" s="1"/>
  <c r="O23" i="37"/>
  <c r="Q23" i="37" s="1"/>
  <c r="N23" i="37"/>
  <c r="P23" i="37" s="1"/>
  <c r="O31" i="37"/>
  <c r="Q31" i="37" s="1"/>
  <c r="N31" i="37"/>
  <c r="P31" i="37" s="1"/>
  <c r="O30" i="37"/>
  <c r="Q30" i="37" s="1"/>
  <c r="N30" i="37"/>
  <c r="P30" i="37" s="1"/>
  <c r="O29" i="37"/>
  <c r="Q29" i="37" s="1"/>
  <c r="N29" i="37"/>
  <c r="P29" i="37" s="1"/>
  <c r="O18" i="37"/>
  <c r="Q18" i="37" s="1"/>
  <c r="N18" i="37"/>
  <c r="P18" i="37" s="1"/>
  <c r="O17" i="37"/>
  <c r="Q17" i="37" s="1"/>
  <c r="N17" i="37"/>
  <c r="P17" i="37" s="1"/>
  <c r="O19" i="37"/>
  <c r="Q19" i="37" s="1"/>
  <c r="N19" i="37"/>
  <c r="P19" i="37" s="1"/>
  <c r="N63" i="37" l="1"/>
  <c r="P63" i="37" s="1"/>
  <c r="O9" i="37"/>
  <c r="Q9" i="37" s="1"/>
  <c r="O60" i="37"/>
  <c r="Q60" i="37" s="1"/>
  <c r="O62" i="37"/>
  <c r="O67" i="37"/>
  <c r="Q67" i="37" s="1"/>
  <c r="N9" i="37"/>
  <c r="P9" i="37" s="1"/>
  <c r="N64" i="37"/>
  <c r="P64" i="37" s="1"/>
  <c r="N65" i="37"/>
  <c r="O10" i="37"/>
  <c r="Q10" i="37" s="1"/>
  <c r="W10" i="37" s="1"/>
  <c r="N66" i="37"/>
  <c r="O59" i="37"/>
  <c r="Q59" i="37" s="1"/>
  <c r="O63" i="37"/>
  <c r="N61" i="37"/>
  <c r="P61" i="37" s="1"/>
  <c r="O61" i="37"/>
  <c r="O66" i="37"/>
  <c r="Q66" i="37" s="1"/>
  <c r="N8" i="37"/>
  <c r="P8" i="37" s="1"/>
  <c r="N60" i="37"/>
  <c r="P60" i="37" s="1"/>
  <c r="N10" i="37"/>
  <c r="P10" i="37" s="1"/>
  <c r="O64" i="37"/>
  <c r="Q64" i="37" s="1"/>
  <c r="O65" i="37"/>
  <c r="O8" i="37"/>
  <c r="N62" i="37"/>
  <c r="N59" i="37"/>
  <c r="P59" i="37" s="1"/>
  <c r="N67" i="37"/>
  <c r="G95" i="49"/>
  <c r="G96" i="49"/>
  <c r="G97" i="49"/>
  <c r="G98" i="49"/>
  <c r="G99" i="49"/>
  <c r="G100" i="49"/>
  <c r="Q8" i="37" l="1"/>
  <c r="S8" i="37" s="1"/>
  <c r="G105" i="49"/>
  <c r="G109" i="49"/>
  <c r="G107" i="49"/>
  <c r="G118" i="49"/>
  <c r="O118" i="49" s="1"/>
  <c r="G106" i="49"/>
  <c r="G110" i="49"/>
  <c r="G112" i="49"/>
  <c r="G111" i="49"/>
  <c r="G103" i="49"/>
  <c r="U8" i="37"/>
  <c r="I12" i="49" s="1"/>
  <c r="P66" i="37"/>
  <c r="Q62" i="37"/>
  <c r="U10" i="37"/>
  <c r="I16" i="49" s="1"/>
  <c r="P67" i="37"/>
  <c r="P65" i="37"/>
  <c r="Q61" i="37"/>
  <c r="Q63" i="37"/>
  <c r="Q65" i="37"/>
  <c r="P62" i="37"/>
  <c r="R9" i="37"/>
  <c r="T9" i="37"/>
  <c r="I13" i="49" s="1"/>
  <c r="V9" i="37"/>
  <c r="T10" i="37"/>
  <c r="I15" i="49" s="1"/>
  <c r="V10" i="37"/>
  <c r="R10" i="37"/>
  <c r="W9" i="37"/>
  <c r="U9" i="37"/>
  <c r="I14" i="49" s="1"/>
  <c r="S9" i="37"/>
  <c r="R8" i="37"/>
  <c r="T8" i="37"/>
  <c r="I11" i="49" s="1"/>
  <c r="V8" i="37"/>
  <c r="W8" i="37"/>
  <c r="S10" i="37"/>
  <c r="R24" i="37"/>
  <c r="T24" i="37"/>
  <c r="V24" i="37"/>
  <c r="S24" i="37"/>
  <c r="U24" i="37"/>
  <c r="W24" i="37"/>
  <c r="W18" i="37"/>
  <c r="U18" i="37"/>
  <c r="S18" i="37"/>
  <c r="R23" i="37"/>
  <c r="T23" i="37"/>
  <c r="V23" i="37"/>
  <c r="S19" i="37"/>
  <c r="W19" i="37"/>
  <c r="U19" i="37"/>
  <c r="U29" i="37"/>
  <c r="W29" i="37"/>
  <c r="S29" i="37"/>
  <c r="T30" i="37"/>
  <c r="V30" i="37"/>
  <c r="R30" i="37"/>
  <c r="U30" i="37"/>
  <c r="W30" i="37"/>
  <c r="S30" i="37"/>
  <c r="S31" i="37"/>
  <c r="U31" i="37"/>
  <c r="W31" i="37"/>
  <c r="T31" i="37"/>
  <c r="V31" i="37"/>
  <c r="R31" i="37"/>
  <c r="V18" i="37"/>
  <c r="T18" i="37"/>
  <c r="R18" i="37"/>
  <c r="R25" i="37"/>
  <c r="V25" i="37"/>
  <c r="T25" i="37"/>
  <c r="S23" i="37"/>
  <c r="U23" i="37"/>
  <c r="W23" i="37"/>
  <c r="W17" i="37"/>
  <c r="U17" i="37"/>
  <c r="S17" i="37"/>
  <c r="V17" i="37"/>
  <c r="R17" i="37"/>
  <c r="T17" i="37"/>
  <c r="W25" i="37"/>
  <c r="S25" i="37"/>
  <c r="U25" i="37"/>
  <c r="R19" i="37"/>
  <c r="T19" i="37"/>
  <c r="V19" i="37"/>
  <c r="V29" i="37"/>
  <c r="T29" i="37"/>
  <c r="R29" i="37"/>
  <c r="G66" i="49"/>
  <c r="G41" i="49"/>
  <c r="G9" i="49"/>
  <c r="G89" i="49"/>
  <c r="G48" i="49"/>
  <c r="G88" i="49"/>
  <c r="G80" i="49"/>
  <c r="G72" i="49"/>
  <c r="G64" i="49"/>
  <c r="G55" i="49"/>
  <c r="G47" i="49"/>
  <c r="G39" i="49"/>
  <c r="G31" i="49"/>
  <c r="G23" i="49"/>
  <c r="G15" i="49"/>
  <c r="G7" i="49"/>
  <c r="G90" i="49"/>
  <c r="G56" i="49"/>
  <c r="G24" i="49"/>
  <c r="G16" i="49"/>
  <c r="G87" i="49"/>
  <c r="G79" i="49"/>
  <c r="G71" i="49"/>
  <c r="G63" i="49"/>
  <c r="G54" i="49"/>
  <c r="G46" i="49"/>
  <c r="G38" i="49"/>
  <c r="G30" i="49"/>
  <c r="G22" i="49"/>
  <c r="G14" i="49"/>
  <c r="G6" i="49"/>
  <c r="G82" i="49"/>
  <c r="G94" i="49"/>
  <c r="G86" i="49"/>
  <c r="G78" i="49"/>
  <c r="G70" i="49"/>
  <c r="G62" i="49"/>
  <c r="G53" i="49"/>
  <c r="G45" i="49"/>
  <c r="G37" i="49"/>
  <c r="G29" i="49"/>
  <c r="G21" i="49"/>
  <c r="G13" i="49"/>
  <c r="G57" i="49"/>
  <c r="G25" i="49"/>
  <c r="G73" i="49"/>
  <c r="G32" i="49"/>
  <c r="G93" i="49"/>
  <c r="G85" i="49"/>
  <c r="G77" i="49"/>
  <c r="G69" i="49"/>
  <c r="G61" i="49"/>
  <c r="G52" i="49"/>
  <c r="G44" i="49"/>
  <c r="G36" i="49"/>
  <c r="G28" i="49"/>
  <c r="G20" i="49"/>
  <c r="G12" i="49"/>
  <c r="G65" i="49"/>
  <c r="G40" i="49"/>
  <c r="G8" i="49"/>
  <c r="G92" i="49"/>
  <c r="G84" i="49"/>
  <c r="G76" i="49"/>
  <c r="G68" i="49"/>
  <c r="G60" i="49"/>
  <c r="G51" i="49"/>
  <c r="G43" i="49"/>
  <c r="G35" i="49"/>
  <c r="G27" i="49"/>
  <c r="G19" i="49"/>
  <c r="G11" i="49"/>
  <c r="G74" i="49"/>
  <c r="G49" i="49"/>
  <c r="G33" i="49"/>
  <c r="G17" i="49"/>
  <c r="G81" i="49"/>
  <c r="G91" i="49"/>
  <c r="G83" i="49"/>
  <c r="G75" i="49"/>
  <c r="G67" i="49"/>
  <c r="G58" i="49"/>
  <c r="G50" i="49"/>
  <c r="G42" i="49"/>
  <c r="G34" i="49"/>
  <c r="G26" i="49"/>
  <c r="G18" i="49"/>
  <c r="G10" i="49"/>
  <c r="K4" i="41"/>
  <c r="K5" i="41"/>
  <c r="K6" i="41"/>
  <c r="K7" i="41"/>
  <c r="K8" i="41"/>
  <c r="K9" i="41"/>
  <c r="K10" i="41"/>
  <c r="K13" i="41"/>
  <c r="K14" i="41"/>
  <c r="K15" i="41"/>
  <c r="K16" i="41"/>
  <c r="K17" i="41"/>
  <c r="K18" i="41"/>
  <c r="K19" i="41"/>
  <c r="K20" i="41"/>
  <c r="K21" i="41"/>
  <c r="K22" i="41"/>
  <c r="K23" i="41"/>
  <c r="K24" i="41"/>
  <c r="K25" i="41"/>
  <c r="K26" i="41"/>
  <c r="K27" i="41"/>
  <c r="K28" i="41"/>
  <c r="K29" i="41"/>
  <c r="K30" i="41"/>
  <c r="K31" i="41"/>
  <c r="K32" i="41"/>
  <c r="K33" i="41"/>
  <c r="K34" i="41"/>
  <c r="K35" i="41"/>
  <c r="K36" i="41"/>
  <c r="K37" i="41"/>
  <c r="K38" i="41"/>
  <c r="K39" i="41"/>
  <c r="K102" i="49" s="1"/>
  <c r="K40" i="41"/>
  <c r="K104" i="49" s="1"/>
  <c r="K41" i="41"/>
  <c r="K106" i="49" s="1"/>
  <c r="K42" i="41"/>
  <c r="K108" i="49" s="1"/>
  <c r="J5" i="41"/>
  <c r="R5" i="41" s="1"/>
  <c r="J6" i="41"/>
  <c r="R6" i="41" s="1"/>
  <c r="J7" i="41"/>
  <c r="R7" i="41" s="1"/>
  <c r="J8" i="41"/>
  <c r="R8" i="41" s="1"/>
  <c r="J9" i="41"/>
  <c r="R9" i="41" s="1"/>
  <c r="J10" i="41"/>
  <c r="R10" i="41" s="1"/>
  <c r="J13" i="41"/>
  <c r="R13" i="41" s="1"/>
  <c r="J14" i="41"/>
  <c r="R14" i="41" s="1"/>
  <c r="J15" i="41"/>
  <c r="R15" i="41" s="1"/>
  <c r="J16" i="41"/>
  <c r="R16" i="41" s="1"/>
  <c r="J17" i="41"/>
  <c r="R17" i="41" s="1"/>
  <c r="J18" i="41"/>
  <c r="R18" i="41" s="1"/>
  <c r="J19" i="41"/>
  <c r="R19" i="41" s="1"/>
  <c r="J21" i="41"/>
  <c r="R21" i="41" s="1"/>
  <c r="J22" i="41"/>
  <c r="R22" i="41" s="1"/>
  <c r="J23" i="41"/>
  <c r="R23" i="41" s="1"/>
  <c r="J24" i="41"/>
  <c r="R24" i="41" s="1"/>
  <c r="J25" i="41"/>
  <c r="R25" i="41" s="1"/>
  <c r="J26" i="41"/>
  <c r="R26" i="41" s="1"/>
  <c r="J27" i="41"/>
  <c r="R27" i="41" s="1"/>
  <c r="J28" i="41"/>
  <c r="R28" i="41" s="1"/>
  <c r="J29" i="41"/>
  <c r="R29" i="41" s="1"/>
  <c r="J30" i="41"/>
  <c r="R30" i="41" s="1"/>
  <c r="J31" i="41"/>
  <c r="R31" i="41" s="1"/>
  <c r="J32" i="41"/>
  <c r="R32" i="41" s="1"/>
  <c r="J33" i="41"/>
  <c r="R33" i="41" s="1"/>
  <c r="J34" i="41"/>
  <c r="R34" i="41" s="1"/>
  <c r="J35" i="41"/>
  <c r="R35" i="41" s="1"/>
  <c r="J36" i="41"/>
  <c r="R36" i="41" s="1"/>
  <c r="J37" i="41"/>
  <c r="R37" i="41" s="1"/>
  <c r="J38" i="41"/>
  <c r="R38" i="41" s="1"/>
  <c r="J39" i="41"/>
  <c r="J40" i="41"/>
  <c r="J41" i="41"/>
  <c r="J42" i="41"/>
  <c r="K101" i="49" l="1"/>
  <c r="R39" i="41"/>
  <c r="K107" i="49"/>
  <c r="O107" i="49" s="1"/>
  <c r="R42" i="41"/>
  <c r="K105" i="49"/>
  <c r="O105" i="49" s="1"/>
  <c r="R41" i="41"/>
  <c r="K103" i="49"/>
  <c r="O103" i="49" s="1"/>
  <c r="R40" i="41"/>
  <c r="G115" i="49"/>
  <c r="O115" i="49" s="1"/>
  <c r="G114" i="49"/>
  <c r="O114" i="49" s="1"/>
  <c r="G102" i="49"/>
  <c r="G113" i="49"/>
  <c r="O113" i="49" s="1"/>
  <c r="G101" i="49"/>
  <c r="O111" i="49"/>
  <c r="G116" i="49"/>
  <c r="O116" i="49" s="1"/>
  <c r="G104" i="49"/>
  <c r="O112" i="49"/>
  <c r="O109" i="49"/>
  <c r="G108" i="49"/>
  <c r="O110" i="49"/>
  <c r="G117" i="49"/>
  <c r="O106" i="49"/>
  <c r="N10" i="48"/>
  <c r="P15" i="41"/>
  <c r="O15" i="41"/>
  <c r="L15" i="41"/>
  <c r="M15" i="41"/>
  <c r="N15" i="41"/>
  <c r="M10" i="41"/>
  <c r="L10" i="41"/>
  <c r="N10" i="41"/>
  <c r="P10" i="41"/>
  <c r="O102" i="49" l="1"/>
  <c r="O108" i="49"/>
  <c r="O117" i="49"/>
  <c r="O104" i="49"/>
  <c r="O101" i="49"/>
  <c r="N19" i="48"/>
  <c r="M10" i="48"/>
  <c r="N18" i="48" s="1"/>
  <c r="Q15" i="41"/>
  <c r="Q10" i="41"/>
  <c r="O10" i="41"/>
  <c r="P122" i="49"/>
  <c r="O122" i="49"/>
  <c r="N122" i="49"/>
  <c r="L122" i="49"/>
  <c r="K122" i="49"/>
  <c r="J122" i="49"/>
  <c r="H122" i="49"/>
  <c r="G122" i="49"/>
  <c r="F122" i="49"/>
  <c r="R10" i="40"/>
  <c r="I10" i="40"/>
  <c r="S10" i="31"/>
  <c r="C10" i="31"/>
  <c r="R22" i="37"/>
  <c r="R20" i="37"/>
  <c r="U22" i="37"/>
  <c r="W20" i="37"/>
  <c r="L16" i="41"/>
  <c r="L17" i="41"/>
  <c r="Q21" i="41"/>
  <c r="P6" i="41"/>
  <c r="N7" i="41"/>
  <c r="P8" i="41"/>
  <c r="N9" i="41"/>
  <c r="N13" i="41"/>
  <c r="N14" i="41"/>
  <c r="N18" i="41"/>
  <c r="N19" i="41"/>
  <c r="N20" i="41"/>
  <c r="N21" i="41"/>
  <c r="N22" i="41"/>
  <c r="P23" i="41"/>
  <c r="N24" i="41"/>
  <c r="P25" i="41"/>
  <c r="L26" i="41"/>
  <c r="N27" i="41"/>
  <c r="N28" i="41"/>
  <c r="N29" i="41"/>
  <c r="N30" i="41"/>
  <c r="L31" i="41"/>
  <c r="N32" i="41"/>
  <c r="N33" i="41"/>
  <c r="N34" i="41"/>
  <c r="N35" i="41"/>
  <c r="N36" i="41"/>
  <c r="N37" i="41"/>
  <c r="N38" i="41"/>
  <c r="P39" i="41"/>
  <c r="N101" i="49" s="1"/>
  <c r="N40" i="41"/>
  <c r="M103" i="49" s="1"/>
  <c r="N41" i="41"/>
  <c r="M105" i="49" s="1"/>
  <c r="P42" i="41"/>
  <c r="N107" i="49" s="1"/>
  <c r="N5" i="41"/>
  <c r="P4" i="41"/>
  <c r="R13" i="37"/>
  <c r="H9" i="49" s="1"/>
  <c r="H13" i="49"/>
  <c r="T6" i="37"/>
  <c r="R15" i="37"/>
  <c r="R27" i="37"/>
  <c r="H25" i="49" s="1"/>
  <c r="T28" i="37"/>
  <c r="I27" i="49" s="1"/>
  <c r="R38" i="37"/>
  <c r="T39" i="37"/>
  <c r="R42" i="37"/>
  <c r="V34" i="37"/>
  <c r="T32" i="37"/>
  <c r="R33" i="37"/>
  <c r="T37" i="37"/>
  <c r="R49" i="37"/>
  <c r="T48" i="37"/>
  <c r="T46" i="37"/>
  <c r="T44" i="37"/>
  <c r="T45" i="37"/>
  <c r="R52" i="37"/>
  <c r="V57" i="37"/>
  <c r="T62" i="37"/>
  <c r="T64" i="37"/>
  <c r="V61" i="37"/>
  <c r="R65" i="37"/>
  <c r="S7" i="37"/>
  <c r="H12" i="49" s="1"/>
  <c r="U5" i="37"/>
  <c r="W6" i="37"/>
  <c r="J16" i="49" s="1"/>
  <c r="U16" i="37"/>
  <c r="U14" i="37"/>
  <c r="S15" i="37"/>
  <c r="U27" i="37"/>
  <c r="I26" i="49" s="1"/>
  <c r="S28" i="37"/>
  <c r="H28" i="49" s="1"/>
  <c r="W39" i="37"/>
  <c r="U40" i="37"/>
  <c r="U41" i="37"/>
  <c r="W42" i="37"/>
  <c r="U34" i="37"/>
  <c r="S32" i="37"/>
  <c r="U33" i="37"/>
  <c r="W37" i="37"/>
  <c r="U35" i="37"/>
  <c r="U36" i="37"/>
  <c r="W49" i="37"/>
  <c r="U48" i="37"/>
  <c r="S46" i="37"/>
  <c r="U44" i="37"/>
  <c r="U45" i="37"/>
  <c r="U52" i="37"/>
  <c r="U57" i="37"/>
  <c r="S58" i="37"/>
  <c r="U62" i="37"/>
  <c r="S63" i="37"/>
  <c r="U64" i="37"/>
  <c r="U61" i="37"/>
  <c r="U12" i="37"/>
  <c r="I8" i="49" s="1"/>
  <c r="U13" i="37"/>
  <c r="I10" i="49" s="1"/>
  <c r="R11" i="37"/>
  <c r="H5" i="49" s="1"/>
  <c r="I49" i="49" l="1"/>
  <c r="I52" i="49"/>
  <c r="H43" i="49"/>
  <c r="I76" i="49"/>
  <c r="I106" i="49"/>
  <c r="I87" i="49"/>
  <c r="I88" i="49"/>
  <c r="I20" i="49"/>
  <c r="I64" i="49"/>
  <c r="I80" i="49"/>
  <c r="I30" i="49"/>
  <c r="W67" i="37"/>
  <c r="U65" i="37"/>
  <c r="I114" i="49" s="1"/>
  <c r="V67" i="37"/>
  <c r="V63" i="37"/>
  <c r="T7" i="37"/>
  <c r="I17" i="49" s="1"/>
  <c r="V58" i="37"/>
  <c r="U38" i="37"/>
  <c r="I48" i="49" s="1"/>
  <c r="N12" i="48"/>
  <c r="N11" i="48"/>
  <c r="Q42" i="41"/>
  <c r="N108" i="49" s="1"/>
  <c r="Q41" i="41"/>
  <c r="N106" i="49" s="1"/>
  <c r="M40" i="41"/>
  <c r="L104" i="49" s="1"/>
  <c r="Q40" i="41"/>
  <c r="N104" i="49" s="1"/>
  <c r="O39" i="41"/>
  <c r="M102" i="49" s="1"/>
  <c r="Q39" i="41"/>
  <c r="N102" i="49" s="1"/>
  <c r="O38" i="41"/>
  <c r="Q38" i="41"/>
  <c r="Q37" i="41"/>
  <c r="Q36" i="41"/>
  <c r="Q35" i="41"/>
  <c r="M34" i="41"/>
  <c r="Q34" i="41"/>
  <c r="O33" i="41"/>
  <c r="Q33" i="41"/>
  <c r="O32" i="41"/>
  <c r="Q32" i="41"/>
  <c r="O31" i="41"/>
  <c r="Q31" i="41"/>
  <c r="Q30" i="41"/>
  <c r="M29" i="41"/>
  <c r="Q29" i="41"/>
  <c r="Q28" i="41"/>
  <c r="O27" i="41"/>
  <c r="Q27" i="41"/>
  <c r="O26" i="41"/>
  <c r="Q26" i="41"/>
  <c r="O25" i="41"/>
  <c r="Q25" i="41"/>
  <c r="Q24" i="41"/>
  <c r="Q23" i="41"/>
  <c r="M22" i="41"/>
  <c r="Q22" i="41"/>
  <c r="O20" i="41"/>
  <c r="Q20" i="41"/>
  <c r="N15" i="48"/>
  <c r="N14" i="48"/>
  <c r="N13" i="48"/>
  <c r="O19" i="41"/>
  <c r="Q19" i="41"/>
  <c r="Q18" i="41"/>
  <c r="O14" i="41"/>
  <c r="Q14" i="41"/>
  <c r="Q13" i="41"/>
  <c r="O9" i="41"/>
  <c r="Q9" i="41"/>
  <c r="O8" i="41"/>
  <c r="Q8" i="41"/>
  <c r="Q7" i="41"/>
  <c r="Q6" i="41"/>
  <c r="Q5" i="41"/>
  <c r="O4" i="41"/>
  <c r="Q4" i="41"/>
  <c r="O17" i="41"/>
  <c r="Q17" i="41"/>
  <c r="M16" i="41"/>
  <c r="Q16" i="41"/>
  <c r="V10" i="40"/>
  <c r="M12" i="31"/>
  <c r="T11" i="40"/>
  <c r="M13" i="31"/>
  <c r="T10" i="40"/>
  <c r="T59" i="37"/>
  <c r="T40" i="37"/>
  <c r="I39" i="49" s="1"/>
  <c r="U50" i="37"/>
  <c r="T35" i="37"/>
  <c r="S59" i="37"/>
  <c r="V50" i="37"/>
  <c r="T16" i="37"/>
  <c r="V22" i="37"/>
  <c r="T22" i="37"/>
  <c r="U20" i="37"/>
  <c r="I32" i="49" s="1"/>
  <c r="S20" i="37"/>
  <c r="S22" i="37"/>
  <c r="S21" i="37"/>
  <c r="H34" i="49" s="1"/>
  <c r="V21" i="37"/>
  <c r="R21" i="37"/>
  <c r="H33" i="49" s="1"/>
  <c r="U21" i="37"/>
  <c r="T21" i="37"/>
  <c r="W22" i="37"/>
  <c r="V20" i="37"/>
  <c r="V60" i="37"/>
  <c r="R47" i="37"/>
  <c r="R43" i="37"/>
  <c r="R26" i="37"/>
  <c r="H23" i="49" s="1"/>
  <c r="R12" i="37"/>
  <c r="H7" i="49" s="1"/>
  <c r="V36" i="37"/>
  <c r="V41" i="37"/>
  <c r="V14" i="37"/>
  <c r="W51" i="37"/>
  <c r="W66" i="37"/>
  <c r="T20" i="37"/>
  <c r="W21" i="37"/>
  <c r="T51" i="37"/>
  <c r="U60" i="37"/>
  <c r="U47" i="37"/>
  <c r="U43" i="37"/>
  <c r="I70" i="49" s="1"/>
  <c r="U26" i="37"/>
  <c r="I24" i="49" s="1"/>
  <c r="T56" i="37"/>
  <c r="T66" i="37"/>
  <c r="U56" i="37"/>
  <c r="I108" i="49" s="1"/>
  <c r="N8" i="41"/>
  <c r="O16" i="41"/>
  <c r="N17" i="41"/>
  <c r="N16" i="41"/>
  <c r="P17" i="41"/>
  <c r="O42" i="41"/>
  <c r="M108" i="49" s="1"/>
  <c r="O5" i="41"/>
  <c r="P16" i="41"/>
  <c r="M18" i="41"/>
  <c r="M7" i="41"/>
  <c r="M37" i="41"/>
  <c r="M31" i="41"/>
  <c r="O37" i="41"/>
  <c r="M17" i="41"/>
  <c r="M24" i="41"/>
  <c r="O24" i="41"/>
  <c r="O7" i="41"/>
  <c r="N23" i="41"/>
  <c r="M30" i="41"/>
  <c r="M6" i="41"/>
  <c r="M23" i="41"/>
  <c r="N6" i="41"/>
  <c r="M42" i="41"/>
  <c r="L108" i="49" s="1"/>
  <c r="M36" i="41"/>
  <c r="M14" i="41"/>
  <c r="N25" i="41"/>
  <c r="O36" i="41"/>
  <c r="O41" i="41"/>
  <c r="M106" i="49" s="1"/>
  <c r="P37" i="41"/>
  <c r="P31" i="41"/>
  <c r="P18" i="41"/>
  <c r="P7" i="41"/>
  <c r="P30" i="41"/>
  <c r="P24" i="41"/>
  <c r="N4" i="41"/>
  <c r="Q12" i="48"/>
  <c r="O21" i="41"/>
  <c r="P36" i="41"/>
  <c r="P29" i="41"/>
  <c r="P22" i="41"/>
  <c r="P14" i="41"/>
  <c r="O35" i="41"/>
  <c r="O13" i="41"/>
  <c r="P41" i="41"/>
  <c r="N105" i="49" s="1"/>
  <c r="P35" i="41"/>
  <c r="P28" i="41"/>
  <c r="P21" i="41"/>
  <c r="P13" i="41"/>
  <c r="P5" i="41"/>
  <c r="P40" i="41"/>
  <c r="N103" i="49" s="1"/>
  <c r="P34" i="41"/>
  <c r="P20" i="41"/>
  <c r="P33" i="41"/>
  <c r="P27" i="41"/>
  <c r="P9" i="41"/>
  <c r="O28" i="41"/>
  <c r="P26" i="41"/>
  <c r="P38" i="41"/>
  <c r="P32" i="41"/>
  <c r="P19" i="41"/>
  <c r="O34" i="41"/>
  <c r="O40" i="41"/>
  <c r="M104" i="49" s="1"/>
  <c r="N42" i="41"/>
  <c r="M107" i="49" s="1"/>
  <c r="N26" i="41"/>
  <c r="L37" i="41"/>
  <c r="N31" i="41"/>
  <c r="L24" i="41"/>
  <c r="O29" i="41"/>
  <c r="O22" i="41"/>
  <c r="L18" i="41"/>
  <c r="L8" i="41"/>
  <c r="O18" i="41"/>
  <c r="L7" i="41"/>
  <c r="M20" i="41"/>
  <c r="L38" i="41"/>
  <c r="L32" i="41"/>
  <c r="L25" i="41"/>
  <c r="L19" i="41"/>
  <c r="M41" i="41"/>
  <c r="L106" i="49" s="1"/>
  <c r="M35" i="41"/>
  <c r="M28" i="41"/>
  <c r="M21" i="41"/>
  <c r="M13" i="41"/>
  <c r="M5" i="41"/>
  <c r="O30" i="41"/>
  <c r="O23" i="41"/>
  <c r="O6" i="41"/>
  <c r="L30" i="41"/>
  <c r="L23" i="41"/>
  <c r="L6" i="41"/>
  <c r="M39" i="41"/>
  <c r="L102" i="49" s="1"/>
  <c r="M33" i="41"/>
  <c r="M27" i="41"/>
  <c r="M9" i="41"/>
  <c r="L42" i="41"/>
  <c r="L107" i="49" s="1"/>
  <c r="L36" i="41"/>
  <c r="L29" i="41"/>
  <c r="L22" i="41"/>
  <c r="L14" i="41"/>
  <c r="M26" i="41"/>
  <c r="M8" i="41"/>
  <c r="L41" i="41"/>
  <c r="L105" i="49" s="1"/>
  <c r="L35" i="41"/>
  <c r="L28" i="41"/>
  <c r="L21" i="41"/>
  <c r="L13" i="41"/>
  <c r="L5" i="41"/>
  <c r="M38" i="41"/>
  <c r="M32" i="41"/>
  <c r="M25" i="41"/>
  <c r="M19" i="41"/>
  <c r="L40" i="41"/>
  <c r="L103" i="49" s="1"/>
  <c r="L34" i="41"/>
  <c r="L20" i="41"/>
  <c r="L4" i="41"/>
  <c r="L39" i="41"/>
  <c r="L101" i="49" s="1"/>
  <c r="L33" i="41"/>
  <c r="L27" i="41"/>
  <c r="L9" i="41"/>
  <c r="M4" i="41"/>
  <c r="N39" i="41"/>
  <c r="M101" i="49" s="1"/>
  <c r="W26" i="37"/>
  <c r="J24" i="49" s="1"/>
  <c r="V38" i="37"/>
  <c r="J47" i="49" s="1"/>
  <c r="W60" i="37"/>
  <c r="R46" i="37"/>
  <c r="W41" i="37"/>
  <c r="V65" i="37"/>
  <c r="S61" i="37"/>
  <c r="T33" i="37"/>
  <c r="S43" i="37"/>
  <c r="H46" i="49" s="1"/>
  <c r="W47" i="37"/>
  <c r="U15" i="37"/>
  <c r="S38" i="37"/>
  <c r="V48" i="37"/>
  <c r="T13" i="37"/>
  <c r="I9" i="49" s="1"/>
  <c r="V51" i="37"/>
  <c r="V32" i="37"/>
  <c r="R62" i="37"/>
  <c r="H113" i="49" s="1"/>
  <c r="R48" i="37"/>
  <c r="H75" i="49" s="1"/>
  <c r="S42" i="37"/>
  <c r="V13" i="37"/>
  <c r="J9" i="49" s="1"/>
  <c r="W15" i="37"/>
  <c r="J22" i="49" s="1"/>
  <c r="V39" i="37"/>
  <c r="W32" i="37"/>
  <c r="J50" i="49" s="1"/>
  <c r="V56" i="37"/>
  <c r="J107" i="49" s="1"/>
  <c r="T65" i="37"/>
  <c r="I113" i="49" s="1"/>
  <c r="R32" i="37"/>
  <c r="V7" i="37"/>
  <c r="J11" i="49" s="1"/>
  <c r="W56" i="37"/>
  <c r="R34" i="37"/>
  <c r="H47" i="49" s="1"/>
  <c r="S45" i="37"/>
  <c r="S26" i="37"/>
  <c r="H24" i="49" s="1"/>
  <c r="W7" i="37"/>
  <c r="J12" i="49" s="1"/>
  <c r="T27" i="37"/>
  <c r="I25" i="49" s="1"/>
  <c r="U42" i="37"/>
  <c r="V33" i="37"/>
  <c r="V46" i="37"/>
  <c r="T57" i="37"/>
  <c r="V66" i="37"/>
  <c r="R57" i="37"/>
  <c r="R28" i="37"/>
  <c r="H27" i="49" s="1"/>
  <c r="S44" i="37"/>
  <c r="V27" i="37"/>
  <c r="J25" i="49" s="1"/>
  <c r="V37" i="37"/>
  <c r="V45" i="37"/>
  <c r="V62" i="37"/>
  <c r="R67" i="37"/>
  <c r="R56" i="37"/>
  <c r="S47" i="37"/>
  <c r="S5" i="37"/>
  <c r="H14" i="49" s="1"/>
  <c r="V5" i="37"/>
  <c r="J13" i="49" s="1"/>
  <c r="V28" i="37"/>
  <c r="J27" i="49" s="1"/>
  <c r="W43" i="37"/>
  <c r="W36" i="37"/>
  <c r="W45" i="37"/>
  <c r="W61" i="37"/>
  <c r="R63" i="37"/>
  <c r="R66" i="37"/>
  <c r="R51" i="37"/>
  <c r="R7" i="37"/>
  <c r="H11" i="49" s="1"/>
  <c r="S49" i="37"/>
  <c r="S12" i="37"/>
  <c r="H8" i="49" s="1"/>
  <c r="V6" i="37"/>
  <c r="J15" i="49" s="1"/>
  <c r="W28" i="37"/>
  <c r="J28" i="49" s="1"/>
  <c r="T34" i="37"/>
  <c r="U49" i="37"/>
  <c r="I60" i="49" s="1"/>
  <c r="T50" i="37"/>
  <c r="U59" i="37"/>
  <c r="I110" i="49" s="1"/>
  <c r="S56" i="37"/>
  <c r="R50" i="37"/>
  <c r="S33" i="37"/>
  <c r="W12" i="37"/>
  <c r="J8" i="49" s="1"/>
  <c r="W14" i="37"/>
  <c r="J32" i="49" s="1"/>
  <c r="T38" i="37"/>
  <c r="W59" i="37"/>
  <c r="R41" i="37"/>
  <c r="S66" i="37"/>
  <c r="V40" i="37"/>
  <c r="V35" i="37"/>
  <c r="V49" i="37"/>
  <c r="V52" i="37"/>
  <c r="R16" i="37"/>
  <c r="W13" i="37"/>
  <c r="J10" i="49" s="1"/>
  <c r="W5" i="37"/>
  <c r="J14" i="49" s="1"/>
  <c r="W16" i="37"/>
  <c r="W27" i="37"/>
  <c r="J26" i="49" s="1"/>
  <c r="W44" i="37"/>
  <c r="W57" i="37"/>
  <c r="R61" i="37"/>
  <c r="R45" i="37"/>
  <c r="R37" i="37"/>
  <c r="R39" i="37"/>
  <c r="H37" i="49" s="1"/>
  <c r="R6" i="37"/>
  <c r="H15" i="49" s="1"/>
  <c r="S60" i="37"/>
  <c r="S51" i="37"/>
  <c r="S36" i="37"/>
  <c r="S41" i="37"/>
  <c r="S14" i="37"/>
  <c r="T12" i="37"/>
  <c r="I7" i="49" s="1"/>
  <c r="T14" i="37"/>
  <c r="T26" i="37"/>
  <c r="I23" i="49" s="1"/>
  <c r="T41" i="37"/>
  <c r="T43" i="37"/>
  <c r="T36" i="37"/>
  <c r="T47" i="37"/>
  <c r="I61" i="49" s="1"/>
  <c r="T58" i="37"/>
  <c r="T63" i="37"/>
  <c r="T61" i="37"/>
  <c r="T60" i="37"/>
  <c r="S64" i="37"/>
  <c r="R60" i="37"/>
  <c r="R36" i="37"/>
  <c r="R14" i="37"/>
  <c r="H19" i="49" s="1"/>
  <c r="V16" i="37"/>
  <c r="V15" i="37"/>
  <c r="V42" i="37"/>
  <c r="V44" i="37"/>
  <c r="V64" i="37"/>
  <c r="V59" i="37"/>
  <c r="R59" i="37"/>
  <c r="R35" i="37"/>
  <c r="H55" i="49" s="1"/>
  <c r="R40" i="37"/>
  <c r="S65" i="37"/>
  <c r="S52" i="37"/>
  <c r="W38" i="37"/>
  <c r="W40" i="37"/>
  <c r="W34" i="37"/>
  <c r="W33" i="37"/>
  <c r="W35" i="37"/>
  <c r="J56" i="49" s="1"/>
  <c r="W48" i="37"/>
  <c r="W50" i="37"/>
  <c r="W52" i="37"/>
  <c r="W62" i="37"/>
  <c r="W64" i="37"/>
  <c r="W65" i="37"/>
  <c r="R64" i="37"/>
  <c r="R44" i="37"/>
  <c r="S50" i="37"/>
  <c r="S35" i="37"/>
  <c r="S40" i="37"/>
  <c r="H40" i="49" s="1"/>
  <c r="S16" i="37"/>
  <c r="H18" i="49" s="1"/>
  <c r="U7" i="37"/>
  <c r="I18" i="49" s="1"/>
  <c r="U6" i="37"/>
  <c r="U28" i="37"/>
  <c r="I28" i="49" s="1"/>
  <c r="U39" i="37"/>
  <c r="I38" i="49" s="1"/>
  <c r="U32" i="37"/>
  <c r="U37" i="37"/>
  <c r="I54" i="49" s="1"/>
  <c r="U46" i="37"/>
  <c r="U51" i="37"/>
  <c r="U58" i="37"/>
  <c r="U63" i="37"/>
  <c r="U66" i="37"/>
  <c r="R58" i="37"/>
  <c r="S37" i="37"/>
  <c r="S39" i="37"/>
  <c r="H50" i="49" s="1"/>
  <c r="S6" i="37"/>
  <c r="H16" i="49" s="1"/>
  <c r="V12" i="37"/>
  <c r="J7" i="49" s="1"/>
  <c r="V26" i="37"/>
  <c r="J23" i="49" s="1"/>
  <c r="V43" i="37"/>
  <c r="V47" i="37"/>
  <c r="W46" i="37"/>
  <c r="W58" i="37"/>
  <c r="W63" i="37"/>
  <c r="T15" i="37"/>
  <c r="I21" i="49" s="1"/>
  <c r="T42" i="37"/>
  <c r="T49" i="37"/>
  <c r="T52" i="37"/>
  <c r="T67" i="37"/>
  <c r="I117" i="49" s="1"/>
  <c r="S67" i="37"/>
  <c r="S62" i="37"/>
  <c r="S57" i="37"/>
  <c r="S48" i="37"/>
  <c r="S34" i="37"/>
  <c r="S27" i="37"/>
  <c r="H26" i="49" s="1"/>
  <c r="S13" i="37"/>
  <c r="H10" i="49" s="1"/>
  <c r="U67" i="37"/>
  <c r="I118" i="49" s="1"/>
  <c r="P13" i="31" l="1"/>
  <c r="J58" i="49"/>
  <c r="H39" i="49"/>
  <c r="J117" i="49"/>
  <c r="N32" i="48"/>
  <c r="J113" i="49"/>
  <c r="R113" i="49" s="1"/>
  <c r="Q15" i="48"/>
  <c r="J37" i="49"/>
  <c r="J118" i="49"/>
  <c r="R118" i="49" s="1"/>
  <c r="H114" i="49"/>
  <c r="P114" i="49" s="1"/>
  <c r="H111" i="49"/>
  <c r="P111" i="49" s="1"/>
  <c r="I57" i="49"/>
  <c r="J111" i="49"/>
  <c r="R111" i="49" s="1"/>
  <c r="I51" i="49"/>
  <c r="J114" i="49"/>
  <c r="R114" i="49" s="1"/>
  <c r="H108" i="49"/>
  <c r="P108" i="49" s="1"/>
  <c r="H107" i="49"/>
  <c r="P107" i="49" s="1"/>
  <c r="H118" i="49"/>
  <c r="P118" i="49" s="1"/>
  <c r="H101" i="49"/>
  <c r="P101" i="49" s="1"/>
  <c r="I50" i="49"/>
  <c r="J40" i="49"/>
  <c r="I44" i="49"/>
  <c r="H67" i="49"/>
  <c r="H117" i="49"/>
  <c r="P117" i="49" s="1"/>
  <c r="J116" i="49"/>
  <c r="R116" i="49" s="1"/>
  <c r="I104" i="49"/>
  <c r="J110" i="49"/>
  <c r="R110" i="49" s="1"/>
  <c r="J109" i="49"/>
  <c r="R109" i="49" s="1"/>
  <c r="H48" i="49"/>
  <c r="J62" i="49"/>
  <c r="I66" i="49"/>
  <c r="H51" i="49"/>
  <c r="J36" i="49"/>
  <c r="J68" i="49"/>
  <c r="I45" i="49"/>
  <c r="H20" i="49"/>
  <c r="Q114" i="49"/>
  <c r="Q113" i="49"/>
  <c r="J115" i="49"/>
  <c r="R115" i="49" s="1"/>
  <c r="J52" i="49"/>
  <c r="J49" i="49"/>
  <c r="H105" i="49"/>
  <c r="J48" i="49"/>
  <c r="H52" i="49"/>
  <c r="H109" i="49"/>
  <c r="P109" i="49" s="1"/>
  <c r="J103" i="49"/>
  <c r="J106" i="49"/>
  <c r="R106" i="49" s="1"/>
  <c r="H36" i="49"/>
  <c r="Q13" i="48"/>
  <c r="H35" i="49"/>
  <c r="H116" i="49"/>
  <c r="H59" i="49"/>
  <c r="J102" i="49"/>
  <c r="H53" i="49"/>
  <c r="J51" i="49"/>
  <c r="J104" i="49"/>
  <c r="R104" i="49" s="1"/>
  <c r="H102" i="49"/>
  <c r="I111" i="49"/>
  <c r="H49" i="49"/>
  <c r="J105" i="49"/>
  <c r="I47" i="49"/>
  <c r="H115" i="49"/>
  <c r="J54" i="49"/>
  <c r="I36" i="49"/>
  <c r="H112" i="49"/>
  <c r="J39" i="49"/>
  <c r="H38" i="49"/>
  <c r="Q10" i="48"/>
  <c r="Q11" i="48"/>
  <c r="Q14" i="48"/>
  <c r="I37" i="49"/>
  <c r="I35" i="49"/>
  <c r="J35" i="49"/>
  <c r="I40" i="49"/>
  <c r="J38" i="49"/>
  <c r="H64" i="49"/>
  <c r="Q118" i="49"/>
  <c r="Q117" i="49"/>
  <c r="R117" i="49"/>
  <c r="P113" i="49"/>
  <c r="R107" i="49"/>
  <c r="Q110" i="49"/>
  <c r="H56" i="49"/>
  <c r="I19" i="49"/>
  <c r="J53" i="49"/>
  <c r="J65" i="49"/>
  <c r="I59" i="49"/>
  <c r="H70" i="49"/>
  <c r="I43" i="49"/>
  <c r="H58" i="49"/>
  <c r="J59" i="49"/>
  <c r="J45" i="49"/>
  <c r="J55" i="49"/>
  <c r="H60" i="49"/>
  <c r="J42" i="49"/>
  <c r="H41" i="49"/>
  <c r="H57" i="49"/>
  <c r="J61" i="49"/>
  <c r="H17" i="49"/>
  <c r="Q106" i="49"/>
  <c r="Q108" i="49"/>
  <c r="N24" i="48"/>
  <c r="M11" i="48"/>
  <c r="N23" i="48" s="1"/>
  <c r="M12" i="48"/>
  <c r="N28" i="48" s="1"/>
  <c r="N29" i="48"/>
  <c r="M15" i="48"/>
  <c r="M28" i="48" s="1"/>
  <c r="M29" i="48"/>
  <c r="M24" i="48"/>
  <c r="M14" i="48"/>
  <c r="M23" i="48" s="1"/>
  <c r="M19" i="48"/>
  <c r="M13" i="48"/>
  <c r="M18" i="48" s="1"/>
  <c r="I97" i="49"/>
  <c r="J71" i="49"/>
  <c r="J101" i="49"/>
  <c r="H76" i="49"/>
  <c r="H106" i="49"/>
  <c r="I89" i="49"/>
  <c r="I92" i="49"/>
  <c r="J78" i="49"/>
  <c r="J108" i="49"/>
  <c r="I77" i="49"/>
  <c r="I107" i="49"/>
  <c r="I79" i="49"/>
  <c r="I109" i="49"/>
  <c r="I71" i="49"/>
  <c r="I101" i="49"/>
  <c r="H73" i="49"/>
  <c r="H103" i="49"/>
  <c r="I96" i="49"/>
  <c r="I85" i="49"/>
  <c r="I115" i="49"/>
  <c r="J82" i="49"/>
  <c r="J112" i="49"/>
  <c r="J64" i="49"/>
  <c r="I72" i="49"/>
  <c r="I102" i="49"/>
  <c r="I82" i="49"/>
  <c r="I112" i="49"/>
  <c r="I93" i="49"/>
  <c r="I95" i="49"/>
  <c r="H80" i="49"/>
  <c r="H110" i="49"/>
  <c r="I100" i="49"/>
  <c r="I99" i="49"/>
  <c r="I98" i="49"/>
  <c r="I94" i="49"/>
  <c r="I91" i="49"/>
  <c r="I75" i="49"/>
  <c r="I105" i="49"/>
  <c r="I86" i="49"/>
  <c r="I116" i="49"/>
  <c r="H74" i="49"/>
  <c r="H104" i="49"/>
  <c r="I73" i="49"/>
  <c r="I103" i="49"/>
  <c r="J43" i="49"/>
  <c r="H54" i="49"/>
  <c r="J17" i="49"/>
  <c r="H69" i="49"/>
  <c r="J75" i="49"/>
  <c r="H68" i="49"/>
  <c r="J80" i="49"/>
  <c r="H77" i="49"/>
  <c r="J77" i="49"/>
  <c r="J57" i="49"/>
  <c r="I29" i="49"/>
  <c r="J66" i="49"/>
  <c r="J70" i="49"/>
  <c r="I34" i="49"/>
  <c r="I42" i="49"/>
  <c r="I41" i="49"/>
  <c r="H71" i="49"/>
  <c r="I56" i="49"/>
  <c r="I74" i="49"/>
  <c r="J67" i="49"/>
  <c r="J18" i="49"/>
  <c r="H78" i="49"/>
  <c r="J46" i="49"/>
  <c r="J69" i="49"/>
  <c r="J63" i="49"/>
  <c r="I31" i="49"/>
  <c r="H45" i="49"/>
  <c r="J33" i="49"/>
  <c r="I58" i="49"/>
  <c r="H21" i="49"/>
  <c r="I63" i="49"/>
  <c r="J76" i="49"/>
  <c r="H65" i="49"/>
  <c r="H61" i="49"/>
  <c r="H82" i="49"/>
  <c r="J79" i="49"/>
  <c r="J72" i="49"/>
  <c r="J21" i="49"/>
  <c r="H44" i="49"/>
  <c r="I22" i="49"/>
  <c r="J74" i="49"/>
  <c r="H30" i="49"/>
  <c r="I55" i="49"/>
  <c r="J44" i="49"/>
  <c r="I53" i="49"/>
  <c r="H72" i="49"/>
  <c r="I81" i="49"/>
  <c r="H63" i="49"/>
  <c r="I46" i="49"/>
  <c r="J19" i="49"/>
  <c r="J31" i="49"/>
  <c r="H32" i="49"/>
  <c r="I83" i="49"/>
  <c r="H29" i="49"/>
  <c r="H81" i="49"/>
  <c r="H42" i="49"/>
  <c r="J20" i="49"/>
  <c r="H62" i="49"/>
  <c r="I62" i="49"/>
  <c r="J41" i="49"/>
  <c r="J30" i="49"/>
  <c r="H86" i="49"/>
  <c r="H66" i="49"/>
  <c r="I65" i="49"/>
  <c r="I33" i="49"/>
  <c r="J89" i="49"/>
  <c r="H22" i="49"/>
  <c r="H79" i="49"/>
  <c r="J73" i="49"/>
  <c r="J29" i="49"/>
  <c r="J81" i="49"/>
  <c r="J60" i="49"/>
  <c r="I68" i="49"/>
  <c r="H31" i="49"/>
  <c r="I78" i="49"/>
  <c r="J34" i="49"/>
  <c r="I69" i="49"/>
  <c r="I84" i="49"/>
  <c r="I90" i="49"/>
  <c r="I67" i="49"/>
  <c r="H89" i="49"/>
  <c r="J96" i="49"/>
  <c r="J84" i="49"/>
  <c r="J98" i="49"/>
  <c r="J86" i="49"/>
  <c r="J92" i="49"/>
  <c r="J94" i="49"/>
  <c r="J93" i="49"/>
  <c r="H96" i="49"/>
  <c r="H84" i="49"/>
  <c r="H99" i="49"/>
  <c r="H87" i="49"/>
  <c r="H91" i="49"/>
  <c r="J90" i="49"/>
  <c r="J91" i="49"/>
  <c r="H93" i="49"/>
  <c r="H90" i="49"/>
  <c r="H97" i="49"/>
  <c r="H85" i="49"/>
  <c r="J100" i="49"/>
  <c r="J88" i="49"/>
  <c r="J99" i="49"/>
  <c r="J87" i="49"/>
  <c r="H100" i="49"/>
  <c r="H88" i="49"/>
  <c r="H94" i="49"/>
  <c r="J95" i="49"/>
  <c r="J83" i="49"/>
  <c r="H98" i="49"/>
  <c r="H95" i="49"/>
  <c r="H83" i="49"/>
  <c r="J97" i="49"/>
  <c r="J85" i="49"/>
  <c r="H92" i="49"/>
  <c r="V11" i="40"/>
  <c r="N12" i="31"/>
  <c r="P12" i="31"/>
  <c r="O10" i="48"/>
  <c r="O11" i="48"/>
  <c r="P14" i="48"/>
  <c r="P15" i="48"/>
  <c r="O12" i="48"/>
  <c r="P11" i="48"/>
  <c r="O14" i="48"/>
  <c r="O15" i="48"/>
  <c r="O13" i="48"/>
  <c r="P13" i="48"/>
  <c r="P10" i="48"/>
  <c r="P12" i="48"/>
  <c r="O12" i="31"/>
  <c r="O13" i="31"/>
  <c r="N13" i="31"/>
  <c r="U10" i="40"/>
  <c r="W11" i="40"/>
  <c r="U11" i="40"/>
  <c r="W10" i="40"/>
  <c r="M22" i="48" l="1"/>
  <c r="M32" i="48"/>
  <c r="N31" i="48"/>
  <c r="N21" i="48"/>
  <c r="M30" i="48"/>
  <c r="N25" i="48"/>
  <c r="N20" i="48"/>
  <c r="M21" i="48"/>
  <c r="M20" i="48"/>
  <c r="M25" i="48"/>
  <c r="N26" i="48"/>
  <c r="N30" i="48"/>
  <c r="M27" i="48"/>
  <c r="M31" i="48"/>
  <c r="N27" i="48"/>
  <c r="M26" i="48"/>
  <c r="N22" i="48"/>
  <c r="Q104" i="49"/>
  <c r="P115" i="49"/>
  <c r="R102" i="49"/>
  <c r="R105" i="49"/>
  <c r="R103" i="49"/>
  <c r="P102" i="49"/>
  <c r="P112" i="49"/>
  <c r="Q111" i="49"/>
  <c r="P105" i="49"/>
  <c r="P116" i="49"/>
  <c r="Q103" i="49"/>
  <c r="Q112" i="49"/>
  <c r="Q107" i="49"/>
  <c r="P106" i="49"/>
  <c r="P104" i="49"/>
  <c r="P110" i="49"/>
  <c r="Q102" i="49"/>
  <c r="P103" i="49"/>
  <c r="R108" i="49"/>
  <c r="R101" i="49"/>
  <c r="Q115" i="49"/>
  <c r="Q116" i="49"/>
  <c r="Q109" i="49"/>
  <c r="R112" i="49"/>
  <c r="Q101" i="49"/>
  <c r="Q105" i="49"/>
  <c r="Q123" i="49"/>
  <c r="Q231" i="49" s="1"/>
  <c r="P123" i="49"/>
  <c r="P237" i="49" s="1"/>
  <c r="O123" i="49"/>
  <c r="O228" i="49" s="1"/>
  <c r="N123" i="49"/>
  <c r="M123" i="49"/>
  <c r="L123" i="49"/>
  <c r="K123" i="49"/>
  <c r="J123" i="49"/>
  <c r="I123" i="49"/>
  <c r="I222" i="49" s="1"/>
  <c r="H123" i="49"/>
  <c r="H232" i="49" s="1"/>
  <c r="G123" i="49"/>
  <c r="G236" i="49" s="1"/>
  <c r="F123" i="49"/>
  <c r="P225" i="49" l="1"/>
  <c r="P229" i="49"/>
  <c r="Q221" i="49"/>
  <c r="G230" i="49"/>
  <c r="P227" i="49"/>
  <c r="O222" i="49"/>
  <c r="I230" i="49"/>
  <c r="Q235" i="49"/>
  <c r="O237" i="49"/>
  <c r="Q233" i="49"/>
  <c r="O234" i="49"/>
  <c r="H233" i="49"/>
  <c r="H228" i="49"/>
  <c r="H230" i="49"/>
  <c r="H226" i="49"/>
  <c r="H234" i="49"/>
  <c r="H238" i="49"/>
  <c r="H237" i="49"/>
  <c r="I228" i="49"/>
  <c r="O230" i="49"/>
  <c r="O236" i="49"/>
  <c r="Q223" i="49"/>
  <c r="P224" i="49"/>
  <c r="Q226" i="49"/>
  <c r="P230" i="49"/>
  <c r="Q229" i="49"/>
  <c r="I225" i="49"/>
  <c r="G234" i="49"/>
  <c r="G231" i="49"/>
  <c r="G221" i="49"/>
  <c r="G237" i="49"/>
  <c r="G228" i="49"/>
  <c r="G233" i="49"/>
  <c r="G238" i="49"/>
  <c r="I236" i="49"/>
  <c r="J232" i="49"/>
  <c r="J231" i="49"/>
  <c r="J237" i="49"/>
  <c r="J234" i="49"/>
  <c r="J230" i="49"/>
  <c r="J235" i="49"/>
  <c r="J238" i="49"/>
  <c r="J233" i="49"/>
  <c r="J236" i="49"/>
  <c r="J229" i="49"/>
  <c r="J221" i="49"/>
  <c r="J228" i="49"/>
  <c r="J224" i="49"/>
  <c r="J223" i="49"/>
  <c r="J222" i="49"/>
  <c r="J226" i="49"/>
  <c r="J227" i="49"/>
  <c r="J225" i="49"/>
  <c r="H221" i="49"/>
  <c r="H236" i="49"/>
  <c r="G223" i="49"/>
  <c r="G224" i="49"/>
  <c r="P232" i="49"/>
  <c r="I224" i="49"/>
  <c r="I235" i="49"/>
  <c r="I223" i="49"/>
  <c r="O231" i="49"/>
  <c r="Q237" i="49"/>
  <c r="H231" i="49"/>
  <c r="O227" i="49"/>
  <c r="K232" i="49"/>
  <c r="K236" i="49"/>
  <c r="K234" i="49"/>
  <c r="K230" i="49"/>
  <c r="K237" i="49"/>
  <c r="K233" i="49"/>
  <c r="K229" i="49"/>
  <c r="K231" i="49"/>
  <c r="K235" i="49"/>
  <c r="K238" i="49"/>
  <c r="K223" i="49"/>
  <c r="K221" i="49"/>
  <c r="K226" i="49"/>
  <c r="K228" i="49"/>
  <c r="K224" i="49"/>
  <c r="K222" i="49"/>
  <c r="K227" i="49"/>
  <c r="K225" i="49"/>
  <c r="P221" i="49"/>
  <c r="P236" i="49"/>
  <c r="O223" i="49"/>
  <c r="O224" i="49"/>
  <c r="P231" i="49"/>
  <c r="I226" i="49"/>
  <c r="G235" i="49"/>
  <c r="O221" i="49"/>
  <c r="Q234" i="49"/>
  <c r="O233" i="49"/>
  <c r="P233" i="49"/>
  <c r="L237" i="49"/>
  <c r="L235" i="49"/>
  <c r="L234" i="49"/>
  <c r="L233" i="49"/>
  <c r="L232" i="49"/>
  <c r="L231" i="49"/>
  <c r="L238" i="49"/>
  <c r="L236" i="49"/>
  <c r="L229" i="49"/>
  <c r="L230" i="49"/>
  <c r="L225" i="49"/>
  <c r="L223" i="49"/>
  <c r="L222" i="49"/>
  <c r="L226" i="49"/>
  <c r="L224" i="49"/>
  <c r="L221" i="49"/>
  <c r="L228" i="49"/>
  <c r="L227" i="49"/>
  <c r="I232" i="49"/>
  <c r="H235" i="49"/>
  <c r="G226" i="49"/>
  <c r="G232" i="49"/>
  <c r="Q222" i="49"/>
  <c r="P228" i="49"/>
  <c r="O238" i="49"/>
  <c r="P226" i="49"/>
  <c r="P234" i="49"/>
  <c r="O229" i="49"/>
  <c r="Q228" i="49"/>
  <c r="Q225" i="49"/>
  <c r="Q238" i="49"/>
  <c r="G225" i="49"/>
  <c r="Q227" i="49"/>
  <c r="M233" i="49"/>
  <c r="M230" i="49"/>
  <c r="M237" i="49"/>
  <c r="M235" i="49"/>
  <c r="M232" i="49"/>
  <c r="M231" i="49"/>
  <c r="M238" i="49"/>
  <c r="M234" i="49"/>
  <c r="M229" i="49"/>
  <c r="M236" i="49"/>
  <c r="M221" i="49"/>
  <c r="M227" i="49"/>
  <c r="M225" i="49"/>
  <c r="M224" i="49"/>
  <c r="M228" i="49"/>
  <c r="M222" i="49"/>
  <c r="M226" i="49"/>
  <c r="M223" i="49"/>
  <c r="Q232" i="49"/>
  <c r="P235" i="49"/>
  <c r="H222" i="49"/>
  <c r="O226" i="49"/>
  <c r="H223" i="49"/>
  <c r="O232" i="49"/>
  <c r="O235" i="49"/>
  <c r="G227" i="49"/>
  <c r="H224" i="49"/>
  <c r="Q230" i="49"/>
  <c r="P238" i="49"/>
  <c r="I237" i="49"/>
  <c r="I234" i="49"/>
  <c r="I227" i="49"/>
  <c r="I231" i="49"/>
  <c r="I238" i="49"/>
  <c r="I233" i="49"/>
  <c r="O225" i="49"/>
  <c r="F226" i="49"/>
  <c r="F232" i="49"/>
  <c r="F223" i="49"/>
  <c r="F227" i="49"/>
  <c r="F229" i="49"/>
  <c r="F225" i="49"/>
  <c r="F231" i="49"/>
  <c r="F230" i="49"/>
  <c r="F238" i="49"/>
  <c r="F235" i="49"/>
  <c r="F228" i="49"/>
  <c r="F236" i="49"/>
  <c r="F234" i="49"/>
  <c r="F222" i="49"/>
  <c r="F233" i="49"/>
  <c r="F237" i="49"/>
  <c r="F221" i="49"/>
  <c r="F224" i="49"/>
  <c r="N238" i="49"/>
  <c r="N236" i="49"/>
  <c r="N235" i="49"/>
  <c r="N225" i="49"/>
  <c r="N233" i="49"/>
  <c r="N223" i="49"/>
  <c r="N231" i="49"/>
  <c r="N232" i="49"/>
  <c r="N227" i="49"/>
  <c r="N226" i="49"/>
  <c r="N234" i="49"/>
  <c r="N229" i="49"/>
  <c r="N230" i="49"/>
  <c r="N224" i="49"/>
  <c r="N237" i="49"/>
  <c r="N228" i="49"/>
  <c r="N221" i="49"/>
  <c r="N222" i="49"/>
  <c r="H225" i="49"/>
  <c r="H229" i="49"/>
  <c r="I221" i="49"/>
  <c r="P222" i="49"/>
  <c r="H227" i="49"/>
  <c r="P223" i="49"/>
  <c r="G229" i="49"/>
  <c r="I229" i="49"/>
  <c r="Q236" i="49"/>
  <c r="Q224" i="49"/>
  <c r="G222" i="49"/>
  <c r="K51" i="49"/>
  <c r="J171" i="49" s="1"/>
  <c r="L51" i="49"/>
  <c r="K171" i="49" s="1"/>
  <c r="M51" i="49"/>
  <c r="L171" i="49" s="1"/>
  <c r="N51" i="49"/>
  <c r="M171" i="49" s="1"/>
  <c r="M19" i="49"/>
  <c r="K19" i="49"/>
  <c r="J139" i="49" s="1"/>
  <c r="L19" i="49"/>
  <c r="K139" i="49" s="1"/>
  <c r="N19" i="49"/>
  <c r="M139" i="49" s="1"/>
  <c r="K46" i="49"/>
  <c r="L46" i="49"/>
  <c r="N46" i="49"/>
  <c r="M46" i="49"/>
  <c r="K30" i="49"/>
  <c r="M30" i="49"/>
  <c r="N30" i="49"/>
  <c r="L30" i="49"/>
  <c r="K68" i="49"/>
  <c r="N68" i="49"/>
  <c r="M188" i="49" s="1"/>
  <c r="M68" i="49"/>
  <c r="L68" i="49"/>
  <c r="K188" i="49" s="1"/>
  <c r="M79" i="49"/>
  <c r="K79" i="49"/>
  <c r="J199" i="49" s="1"/>
  <c r="N79" i="49"/>
  <c r="L79" i="49"/>
  <c r="N84" i="49"/>
  <c r="K84" i="49"/>
  <c r="L84" i="49"/>
  <c r="M84" i="49"/>
  <c r="G204" i="49"/>
  <c r="N18" i="49"/>
  <c r="K18" i="49"/>
  <c r="M18" i="49"/>
  <c r="L18" i="49"/>
  <c r="K10" i="49"/>
  <c r="J130" i="49" s="1"/>
  <c r="L10" i="49"/>
  <c r="K130" i="49" s="1"/>
  <c r="M10" i="49"/>
  <c r="L130" i="49" s="1"/>
  <c r="N10" i="49"/>
  <c r="M130" i="49" s="1"/>
  <c r="M53" i="49"/>
  <c r="K53" i="49"/>
  <c r="J173" i="49" s="1"/>
  <c r="L53" i="49"/>
  <c r="N53" i="49"/>
  <c r="K45" i="49"/>
  <c r="J165" i="49" s="1"/>
  <c r="N45" i="49"/>
  <c r="M165" i="49" s="1"/>
  <c r="L45" i="49"/>
  <c r="K165" i="49" s="1"/>
  <c r="M45" i="49"/>
  <c r="L165" i="49" s="1"/>
  <c r="M37" i="49"/>
  <c r="K37" i="49"/>
  <c r="J157" i="49" s="1"/>
  <c r="L37" i="49"/>
  <c r="N37" i="49"/>
  <c r="K29" i="49"/>
  <c r="J149" i="49" s="1"/>
  <c r="L29" i="49"/>
  <c r="K149" i="49" s="1"/>
  <c r="N29" i="49"/>
  <c r="M29" i="49"/>
  <c r="M67" i="49"/>
  <c r="K67" i="49"/>
  <c r="J187" i="49" s="1"/>
  <c r="N67" i="49"/>
  <c r="L67" i="49"/>
  <c r="K187" i="49" s="1"/>
  <c r="M59" i="49"/>
  <c r="K59" i="49"/>
  <c r="J179" i="49" s="1"/>
  <c r="N59" i="49"/>
  <c r="L59" i="49"/>
  <c r="K78" i="49"/>
  <c r="N78" i="49"/>
  <c r="M78" i="49"/>
  <c r="L78" i="49"/>
  <c r="N70" i="49"/>
  <c r="K70" i="49"/>
  <c r="J190" i="49" s="1"/>
  <c r="M70" i="49"/>
  <c r="L70" i="49"/>
  <c r="K91" i="49"/>
  <c r="J211" i="49" s="1"/>
  <c r="F211" i="49"/>
  <c r="G211" i="49"/>
  <c r="M91" i="49"/>
  <c r="L211" i="49" s="1"/>
  <c r="H211" i="49"/>
  <c r="I211" i="49"/>
  <c r="L91" i="49"/>
  <c r="K211" i="49" s="1"/>
  <c r="N91" i="49"/>
  <c r="M211" i="49" s="1"/>
  <c r="M99" i="49"/>
  <c r="L219" i="49" s="1"/>
  <c r="F219" i="49"/>
  <c r="H219" i="49"/>
  <c r="K99" i="49"/>
  <c r="J219" i="49" s="1"/>
  <c r="G219" i="49"/>
  <c r="L99" i="49"/>
  <c r="K219" i="49" s="1"/>
  <c r="I219" i="49"/>
  <c r="N99" i="49"/>
  <c r="M219" i="49" s="1"/>
  <c r="K43" i="49"/>
  <c r="J163" i="49" s="1"/>
  <c r="N43" i="49"/>
  <c r="M163" i="49" s="1"/>
  <c r="M43" i="49"/>
  <c r="L43" i="49"/>
  <c r="N11" i="49"/>
  <c r="M131" i="49" s="1"/>
  <c r="K11" i="49"/>
  <c r="J131" i="49" s="1"/>
  <c r="L11" i="49"/>
  <c r="M11" i="49"/>
  <c r="K54" i="49"/>
  <c r="N54" i="49"/>
  <c r="L54" i="49"/>
  <c r="M54" i="49"/>
  <c r="K38" i="49"/>
  <c r="M38" i="49"/>
  <c r="N38" i="49"/>
  <c r="L38" i="49"/>
  <c r="K60" i="49"/>
  <c r="N60" i="49"/>
  <c r="M60" i="49"/>
  <c r="L60" i="49"/>
  <c r="L71" i="49"/>
  <c r="K191" i="49" s="1"/>
  <c r="K71" i="49"/>
  <c r="J191" i="49" s="1"/>
  <c r="M71" i="49"/>
  <c r="N71" i="49"/>
  <c r="F212" i="49"/>
  <c r="H212" i="49"/>
  <c r="K92" i="49"/>
  <c r="J212" i="49" s="1"/>
  <c r="G212" i="49"/>
  <c r="N92" i="49"/>
  <c r="M212" i="49" s="1"/>
  <c r="M92" i="49"/>
  <c r="L212" i="49" s="1"/>
  <c r="L92" i="49"/>
  <c r="K212" i="49" s="1"/>
  <c r="I212" i="49"/>
  <c r="N17" i="49"/>
  <c r="M137" i="49" s="1"/>
  <c r="K17" i="49"/>
  <c r="J137" i="49" s="1"/>
  <c r="M17" i="49"/>
  <c r="L17" i="49"/>
  <c r="K137" i="49" s="1"/>
  <c r="L9" i="49"/>
  <c r="K129" i="49" s="1"/>
  <c r="M9" i="49"/>
  <c r="N9" i="49"/>
  <c r="M129" i="49" s="1"/>
  <c r="K9" i="49"/>
  <c r="J129" i="49" s="1"/>
  <c r="K52" i="49"/>
  <c r="L52" i="49"/>
  <c r="N52" i="49"/>
  <c r="M52" i="49"/>
  <c r="K44" i="49"/>
  <c r="L44" i="49"/>
  <c r="M44" i="49"/>
  <c r="N44" i="49"/>
  <c r="K36" i="49"/>
  <c r="L36" i="49"/>
  <c r="N36" i="49"/>
  <c r="M36" i="49"/>
  <c r="K28" i="49"/>
  <c r="J148" i="49" s="1"/>
  <c r="L28" i="49"/>
  <c r="K148" i="49" s="1"/>
  <c r="M28" i="49"/>
  <c r="L148" i="49" s="1"/>
  <c r="N28" i="49"/>
  <c r="M148" i="49" s="1"/>
  <c r="K66" i="49"/>
  <c r="J186" i="49" s="1"/>
  <c r="L66" i="49"/>
  <c r="K186" i="49" s="1"/>
  <c r="N66" i="49"/>
  <c r="M186" i="49" s="1"/>
  <c r="M66" i="49"/>
  <c r="K58" i="49"/>
  <c r="M58" i="49"/>
  <c r="N58" i="49"/>
  <c r="L58" i="49"/>
  <c r="K77" i="49"/>
  <c r="J197" i="49" s="1"/>
  <c r="M77" i="49"/>
  <c r="L77" i="49"/>
  <c r="N77" i="49"/>
  <c r="G218" i="49"/>
  <c r="F218" i="49"/>
  <c r="K98" i="49"/>
  <c r="J218" i="49" s="1"/>
  <c r="M98" i="49"/>
  <c r="L218" i="49" s="1"/>
  <c r="L98" i="49"/>
  <c r="K218" i="49" s="1"/>
  <c r="I218" i="49"/>
  <c r="H218" i="49"/>
  <c r="N98" i="49"/>
  <c r="M218" i="49" s="1"/>
  <c r="K90" i="49"/>
  <c r="J210" i="49" s="1"/>
  <c r="F210" i="49"/>
  <c r="H210" i="49"/>
  <c r="I210" i="49"/>
  <c r="N90" i="49"/>
  <c r="M210" i="49" s="1"/>
  <c r="G210" i="49"/>
  <c r="M90" i="49"/>
  <c r="L210" i="49" s="1"/>
  <c r="L90" i="49"/>
  <c r="K210" i="49" s="1"/>
  <c r="F220" i="49"/>
  <c r="H220" i="49"/>
  <c r="K100" i="49"/>
  <c r="J220" i="49" s="1"/>
  <c r="I220" i="49"/>
  <c r="M100" i="49"/>
  <c r="L220" i="49" s="1"/>
  <c r="L100" i="49"/>
  <c r="K220" i="49" s="1"/>
  <c r="G220" i="49"/>
  <c r="N100" i="49"/>
  <c r="M220" i="49" s="1"/>
  <c r="M35" i="49"/>
  <c r="K35" i="49"/>
  <c r="J155" i="49" s="1"/>
  <c r="N35" i="49"/>
  <c r="M155" i="49" s="1"/>
  <c r="L35" i="49"/>
  <c r="K5" i="49"/>
  <c r="O5" i="49" s="1"/>
  <c r="N5" i="49"/>
  <c r="L5" i="49"/>
  <c r="P5" i="49" s="1"/>
  <c r="M5" i="49"/>
  <c r="K57" i="49"/>
  <c r="J177" i="49" s="1"/>
  <c r="M57" i="49"/>
  <c r="L177" i="49" s="1"/>
  <c r="N57" i="49"/>
  <c r="M177" i="49" s="1"/>
  <c r="L57" i="49"/>
  <c r="K177" i="49" s="1"/>
  <c r="M15" i="49"/>
  <c r="L135" i="49" s="1"/>
  <c r="N15" i="49"/>
  <c r="M135" i="49" s="1"/>
  <c r="K15" i="49"/>
  <c r="J135" i="49" s="1"/>
  <c r="L15" i="49"/>
  <c r="K135" i="49" s="1"/>
  <c r="M7" i="49"/>
  <c r="K7" i="49"/>
  <c r="N7" i="49"/>
  <c r="L7" i="49"/>
  <c r="K50" i="49"/>
  <c r="L50" i="49"/>
  <c r="N50" i="49"/>
  <c r="M50" i="49"/>
  <c r="N42" i="49"/>
  <c r="K42" i="49"/>
  <c r="M42" i="49"/>
  <c r="L42" i="49"/>
  <c r="K34" i="49"/>
  <c r="J154" i="49" s="1"/>
  <c r="L34" i="49"/>
  <c r="K154" i="49" s="1"/>
  <c r="M34" i="49"/>
  <c r="L154" i="49" s="1"/>
  <c r="N34" i="49"/>
  <c r="M154" i="49" s="1"/>
  <c r="K26" i="49"/>
  <c r="M26" i="49"/>
  <c r="L26" i="49"/>
  <c r="N26" i="49"/>
  <c r="K64" i="49"/>
  <c r="N64" i="49"/>
  <c r="M64" i="49"/>
  <c r="L64" i="49"/>
  <c r="K83" i="49"/>
  <c r="J203" i="49" s="1"/>
  <c r="L83" i="49"/>
  <c r="M83" i="49"/>
  <c r="N83" i="49"/>
  <c r="N75" i="49"/>
  <c r="M195" i="49" s="1"/>
  <c r="M75" i="49"/>
  <c r="K75" i="49"/>
  <c r="J195" i="49" s="1"/>
  <c r="L75" i="49"/>
  <c r="H216" i="49"/>
  <c r="F216" i="49"/>
  <c r="K96" i="49"/>
  <c r="J216" i="49" s="1"/>
  <c r="M96" i="49"/>
  <c r="L216" i="49" s="1"/>
  <c r="I216" i="49"/>
  <c r="L96" i="49"/>
  <c r="K216" i="49" s="1"/>
  <c r="G216" i="49"/>
  <c r="N96" i="49"/>
  <c r="M216" i="49" s="1"/>
  <c r="K88" i="49"/>
  <c r="J208" i="49" s="1"/>
  <c r="L88" i="49"/>
  <c r="M88" i="49"/>
  <c r="N88" i="49"/>
  <c r="M27" i="49"/>
  <c r="L147" i="49" s="1"/>
  <c r="N27" i="49"/>
  <c r="M147" i="49" s="1"/>
  <c r="K27" i="49"/>
  <c r="J147" i="49" s="1"/>
  <c r="L27" i="49"/>
  <c r="K147" i="49" s="1"/>
  <c r="F217" i="49"/>
  <c r="K97" i="49"/>
  <c r="J217" i="49" s="1"/>
  <c r="N97" i="49"/>
  <c r="M217" i="49" s="1"/>
  <c r="H217" i="49"/>
  <c r="M97" i="49"/>
  <c r="L217" i="49" s="1"/>
  <c r="L97" i="49"/>
  <c r="K217" i="49" s="1"/>
  <c r="G217" i="49"/>
  <c r="I217" i="49"/>
  <c r="K23" i="49"/>
  <c r="J143" i="49" s="1"/>
  <c r="M23" i="49"/>
  <c r="L23" i="49"/>
  <c r="N23" i="49"/>
  <c r="M143" i="49" s="1"/>
  <c r="K14" i="49"/>
  <c r="M14" i="49"/>
  <c r="L14" i="49"/>
  <c r="N14" i="49"/>
  <c r="K6" i="49"/>
  <c r="N6" i="49"/>
  <c r="M6" i="49"/>
  <c r="L6" i="49"/>
  <c r="K49" i="49"/>
  <c r="J169" i="49" s="1"/>
  <c r="L49" i="49"/>
  <c r="M49" i="49"/>
  <c r="L169" i="49" s="1"/>
  <c r="N49" i="49"/>
  <c r="M169" i="49" s="1"/>
  <c r="K41" i="49"/>
  <c r="J161" i="49" s="1"/>
  <c r="N41" i="49"/>
  <c r="M161" i="49" s="1"/>
  <c r="M41" i="49"/>
  <c r="L41" i="49"/>
  <c r="M33" i="49"/>
  <c r="L153" i="49" s="1"/>
  <c r="K33" i="49"/>
  <c r="J153" i="49" s="1"/>
  <c r="L33" i="49"/>
  <c r="K153" i="49" s="1"/>
  <c r="N33" i="49"/>
  <c r="M153" i="49" s="1"/>
  <c r="K25" i="49"/>
  <c r="J145" i="49" s="1"/>
  <c r="M25" i="49"/>
  <c r="N25" i="49"/>
  <c r="M145" i="49" s="1"/>
  <c r="L25" i="49"/>
  <c r="K145" i="49" s="1"/>
  <c r="K63" i="49"/>
  <c r="J183" i="49" s="1"/>
  <c r="M63" i="49"/>
  <c r="L183" i="49" s="1"/>
  <c r="N63" i="49"/>
  <c r="M183" i="49" s="1"/>
  <c r="L63" i="49"/>
  <c r="K183" i="49" s="1"/>
  <c r="K82" i="49"/>
  <c r="M82" i="49"/>
  <c r="N82" i="49"/>
  <c r="L82" i="49"/>
  <c r="K74" i="49"/>
  <c r="L74" i="49"/>
  <c r="N74" i="49"/>
  <c r="M74" i="49"/>
  <c r="F215" i="49"/>
  <c r="M95" i="49"/>
  <c r="L215" i="49" s="1"/>
  <c r="K95" i="49"/>
  <c r="J215" i="49" s="1"/>
  <c r="H215" i="49"/>
  <c r="G215" i="49"/>
  <c r="N95" i="49"/>
  <c r="M215" i="49" s="1"/>
  <c r="I215" i="49"/>
  <c r="L95" i="49"/>
  <c r="K215" i="49" s="1"/>
  <c r="M87" i="49"/>
  <c r="L207" i="49" s="1"/>
  <c r="N87" i="49"/>
  <c r="K87" i="49"/>
  <c r="J207" i="49" s="1"/>
  <c r="L87" i="49"/>
  <c r="K16" i="49"/>
  <c r="J136" i="49" s="1"/>
  <c r="L16" i="49"/>
  <c r="K136" i="49" s="1"/>
  <c r="M16" i="49"/>
  <c r="L136" i="49" s="1"/>
  <c r="N16" i="49"/>
  <c r="M136" i="49" s="1"/>
  <c r="N65" i="49"/>
  <c r="K65" i="49"/>
  <c r="J185" i="49" s="1"/>
  <c r="F185" i="49"/>
  <c r="L65" i="49"/>
  <c r="K185" i="49" s="1"/>
  <c r="M65" i="49"/>
  <c r="F209" i="49"/>
  <c r="M89" i="49"/>
  <c r="L209" i="49" s="1"/>
  <c r="K89" i="49"/>
  <c r="J209" i="49" s="1"/>
  <c r="G209" i="49"/>
  <c r="I209" i="49"/>
  <c r="L89" i="49"/>
  <c r="K209" i="49" s="1"/>
  <c r="H209" i="49"/>
  <c r="N89" i="49"/>
  <c r="M209" i="49" s="1"/>
  <c r="M21" i="49"/>
  <c r="L141" i="49" s="1"/>
  <c r="N21" i="49"/>
  <c r="M141" i="49" s="1"/>
  <c r="K21" i="49"/>
  <c r="J141" i="49" s="1"/>
  <c r="L21" i="49"/>
  <c r="K141" i="49" s="1"/>
  <c r="M13" i="49"/>
  <c r="K13" i="49"/>
  <c r="J133" i="49" s="1"/>
  <c r="N13" i="49"/>
  <c r="L13" i="49"/>
  <c r="K56" i="49"/>
  <c r="M56" i="49"/>
  <c r="N56" i="49"/>
  <c r="L56" i="49"/>
  <c r="K48" i="49"/>
  <c r="N48" i="49"/>
  <c r="L48" i="49"/>
  <c r="M48" i="49"/>
  <c r="K40" i="49"/>
  <c r="N40" i="49"/>
  <c r="M40" i="49"/>
  <c r="L40" i="49"/>
  <c r="K32" i="49"/>
  <c r="N32" i="49"/>
  <c r="M32" i="49"/>
  <c r="L32" i="49"/>
  <c r="K24" i="49"/>
  <c r="L24" i="49"/>
  <c r="N24" i="49"/>
  <c r="M24" i="49"/>
  <c r="N62" i="49"/>
  <c r="K62" i="49"/>
  <c r="L62" i="49"/>
  <c r="M62" i="49"/>
  <c r="M81" i="49"/>
  <c r="K81" i="49"/>
  <c r="J201" i="49" s="1"/>
  <c r="L81" i="49"/>
  <c r="N81" i="49"/>
  <c r="M201" i="49" s="1"/>
  <c r="M73" i="49"/>
  <c r="K73" i="49"/>
  <c r="J193" i="49" s="1"/>
  <c r="L73" i="49"/>
  <c r="K193" i="49" s="1"/>
  <c r="N73" i="49"/>
  <c r="M193" i="49" s="1"/>
  <c r="F214" i="49"/>
  <c r="K94" i="49"/>
  <c r="J214" i="49" s="1"/>
  <c r="G214" i="49"/>
  <c r="N94" i="49"/>
  <c r="M214" i="49" s="1"/>
  <c r="H214" i="49"/>
  <c r="I214" i="49"/>
  <c r="L94" i="49"/>
  <c r="K214" i="49" s="1"/>
  <c r="M94" i="49"/>
  <c r="L214" i="49" s="1"/>
  <c r="K86" i="49"/>
  <c r="N86" i="49"/>
  <c r="L86" i="49"/>
  <c r="M86" i="49"/>
  <c r="K8" i="49"/>
  <c r="M8" i="49"/>
  <c r="L128" i="49" s="1"/>
  <c r="L8" i="49"/>
  <c r="N8" i="49"/>
  <c r="L76" i="49"/>
  <c r="K76" i="49"/>
  <c r="M76" i="49"/>
  <c r="N76" i="49"/>
  <c r="K22" i="49"/>
  <c r="J142" i="49" s="1"/>
  <c r="L22" i="49"/>
  <c r="K142" i="49" s="1"/>
  <c r="M22" i="49"/>
  <c r="L142" i="49" s="1"/>
  <c r="N22" i="49"/>
  <c r="M142" i="49" s="1"/>
  <c r="K20" i="49"/>
  <c r="L20" i="49"/>
  <c r="N20" i="49"/>
  <c r="M20" i="49"/>
  <c r="K12" i="49"/>
  <c r="M12" i="49"/>
  <c r="N12" i="49"/>
  <c r="L12" i="49"/>
  <c r="M55" i="49"/>
  <c r="K55" i="49"/>
  <c r="J175" i="49" s="1"/>
  <c r="L55" i="49"/>
  <c r="N55" i="49"/>
  <c r="K47" i="49"/>
  <c r="J167" i="49" s="1"/>
  <c r="L47" i="49"/>
  <c r="K167" i="49" s="1"/>
  <c r="N47" i="49"/>
  <c r="M167" i="49" s="1"/>
  <c r="M47" i="49"/>
  <c r="L167" i="49" s="1"/>
  <c r="N39" i="49"/>
  <c r="M159" i="49" s="1"/>
  <c r="K39" i="49"/>
  <c r="J159" i="49" s="1"/>
  <c r="L39" i="49"/>
  <c r="K159" i="49" s="1"/>
  <c r="M39" i="49"/>
  <c r="L159" i="49" s="1"/>
  <c r="L31" i="49"/>
  <c r="K151" i="49" s="1"/>
  <c r="K31" i="49"/>
  <c r="J151" i="49" s="1"/>
  <c r="M31" i="49"/>
  <c r="N31" i="49"/>
  <c r="N69" i="49"/>
  <c r="M189" i="49" s="1"/>
  <c r="K69" i="49"/>
  <c r="J189" i="49" s="1"/>
  <c r="L69" i="49"/>
  <c r="K189" i="49" s="1"/>
  <c r="M69" i="49"/>
  <c r="L189" i="49" s="1"/>
  <c r="K61" i="49"/>
  <c r="J181" i="49" s="1"/>
  <c r="M61" i="49"/>
  <c r="N61" i="49"/>
  <c r="L61" i="49"/>
  <c r="K80" i="49"/>
  <c r="J200" i="49" s="1"/>
  <c r="L80" i="49"/>
  <c r="N80" i="49"/>
  <c r="M80" i="49"/>
  <c r="K72" i="49"/>
  <c r="N72" i="49"/>
  <c r="M72" i="49"/>
  <c r="L72" i="49"/>
  <c r="K93" i="49"/>
  <c r="J213" i="49" s="1"/>
  <c r="M93" i="49"/>
  <c r="L213" i="49" s="1"/>
  <c r="F213" i="49"/>
  <c r="G213" i="49"/>
  <c r="H213" i="49"/>
  <c r="N93" i="49"/>
  <c r="M213" i="49" s="1"/>
  <c r="I213" i="49"/>
  <c r="L93" i="49"/>
  <c r="K213" i="49" s="1"/>
  <c r="M85" i="49"/>
  <c r="K85" i="49"/>
  <c r="J205" i="49" s="1"/>
  <c r="N85" i="49"/>
  <c r="L85" i="49"/>
  <c r="L129" i="49" l="1"/>
  <c r="Q9" i="49"/>
  <c r="M191" i="49"/>
  <c r="K143" i="49"/>
  <c r="M133" i="49"/>
  <c r="L197" i="49"/>
  <c r="M202" i="49"/>
  <c r="M157" i="49"/>
  <c r="K169" i="49"/>
  <c r="K201" i="49"/>
  <c r="L202" i="49"/>
  <c r="L201" i="49"/>
  <c r="K208" i="49"/>
  <c r="L199" i="49"/>
  <c r="L195" i="49"/>
  <c r="M207" i="49"/>
  <c r="K195" i="49"/>
  <c r="K198" i="49"/>
  <c r="M208" i="49"/>
  <c r="K207" i="49"/>
  <c r="M200" i="49"/>
  <c r="L208" i="49"/>
  <c r="M185" i="49"/>
  <c r="M187" i="49"/>
  <c r="L139" i="49"/>
  <c r="L137" i="49"/>
  <c r="M203" i="49"/>
  <c r="M205" i="49"/>
  <c r="L155" i="49"/>
  <c r="L157" i="49"/>
  <c r="K161" i="49"/>
  <c r="K163" i="49"/>
  <c r="K197" i="49"/>
  <c r="K199" i="49"/>
  <c r="L185" i="49"/>
  <c r="L187" i="49"/>
  <c r="L131" i="49"/>
  <c r="L133" i="49"/>
  <c r="L163" i="49"/>
  <c r="L161" i="49"/>
  <c r="L145" i="49"/>
  <c r="L143" i="49"/>
  <c r="K179" i="49"/>
  <c r="K181" i="49"/>
  <c r="K173" i="49"/>
  <c r="K175" i="49"/>
  <c r="M199" i="49"/>
  <c r="M197" i="49"/>
  <c r="L149" i="49"/>
  <c r="L151" i="49"/>
  <c r="K155" i="49"/>
  <c r="K157" i="49"/>
  <c r="L198" i="49"/>
  <c r="L200" i="49"/>
  <c r="M175" i="49"/>
  <c r="M173" i="49"/>
  <c r="L179" i="49"/>
  <c r="K203" i="49"/>
  <c r="K205" i="49"/>
  <c r="M149" i="49"/>
  <c r="M151" i="49"/>
  <c r="L173" i="49"/>
  <c r="L175" i="49"/>
  <c r="L193" i="49"/>
  <c r="L191" i="49"/>
  <c r="K131" i="49"/>
  <c r="K133" i="49"/>
  <c r="L203" i="49"/>
  <c r="L205" i="49"/>
  <c r="M181" i="49"/>
  <c r="M179" i="49"/>
  <c r="L186" i="49"/>
  <c r="L188" i="49"/>
  <c r="L181" i="49" l="1"/>
  <c r="L33" i="31" l="1"/>
  <c r="N15" i="39"/>
  <c r="D33" i="31"/>
  <c r="J194" i="49"/>
  <c r="J182" i="49"/>
  <c r="J198" i="49" l="1"/>
  <c r="J188" i="49"/>
  <c r="J164" i="49"/>
  <c r="J162" i="49"/>
  <c r="J174" i="49"/>
  <c r="J176" i="49"/>
  <c r="J180" i="49"/>
  <c r="O17" i="49"/>
  <c r="N137" i="49" s="1"/>
  <c r="F137" i="49"/>
  <c r="V11" i="37"/>
  <c r="J5" i="49" s="1"/>
  <c r="R5" i="49" s="1"/>
  <c r="M180" i="49" l="1"/>
  <c r="M182" i="49"/>
  <c r="K180" i="49"/>
  <c r="K182" i="49"/>
  <c r="L192" i="49"/>
  <c r="L194" i="49"/>
  <c r="K192" i="49"/>
  <c r="K194" i="49"/>
  <c r="M192" i="49"/>
  <c r="M194" i="49"/>
  <c r="L180" i="49"/>
  <c r="L182" i="49"/>
  <c r="M174" i="49"/>
  <c r="M176" i="49"/>
  <c r="K174" i="49"/>
  <c r="K176" i="49"/>
  <c r="L176" i="49"/>
  <c r="L174" i="49"/>
  <c r="K162" i="49"/>
  <c r="K164" i="49"/>
  <c r="M162" i="49"/>
  <c r="M164" i="49"/>
  <c r="L162" i="49"/>
  <c r="L164" i="49"/>
  <c r="O11" i="49"/>
  <c r="N131" i="49" s="1"/>
  <c r="F131" i="49"/>
  <c r="R11" i="49"/>
  <c r="Q131" i="49" s="1"/>
  <c r="I131" i="49"/>
  <c r="T11" i="37" l="1"/>
  <c r="I5" i="49" s="1"/>
  <c r="E68" i="31"/>
  <c r="H125" i="49" l="1"/>
  <c r="Q5" i="49"/>
  <c r="F206" i="49"/>
  <c r="O88" i="49"/>
  <c r="N208" i="49" s="1"/>
  <c r="F198" i="49"/>
  <c r="F186" i="49"/>
  <c r="O70" i="49"/>
  <c r="N190" i="49" s="1"/>
  <c r="O100" i="49"/>
  <c r="N220" i="49" s="1"/>
  <c r="F202" i="49"/>
  <c r="F188" i="49"/>
  <c r="O68" i="49"/>
  <c r="N188" i="49" s="1"/>
  <c r="O60" i="49"/>
  <c r="N180" i="49" s="1"/>
  <c r="F180" i="49"/>
  <c r="O92" i="49"/>
  <c r="N212" i="49" s="1"/>
  <c r="F182" i="49"/>
  <c r="O62" i="49"/>
  <c r="N182" i="49" s="1"/>
  <c r="F184" i="49"/>
  <c r="F200" i="49"/>
  <c r="O80" i="49"/>
  <c r="N200" i="49" s="1"/>
  <c r="O90" i="49"/>
  <c r="N210" i="49" s="1"/>
  <c r="F138" i="49"/>
  <c r="O28" i="49"/>
  <c r="N148" i="49" s="1"/>
  <c r="F148" i="49"/>
  <c r="F158" i="49"/>
  <c r="F140" i="49"/>
  <c r="F168" i="49"/>
  <c r="F160" i="49"/>
  <c r="F204" i="49"/>
  <c r="O22" i="49"/>
  <c r="N142" i="49" s="1"/>
  <c r="F142" i="49"/>
  <c r="O42" i="49"/>
  <c r="N162" i="49" s="1"/>
  <c r="F162" i="49"/>
  <c r="F150" i="49"/>
  <c r="F192" i="49"/>
  <c r="Q11" i="49"/>
  <c r="P131" i="49" s="1"/>
  <c r="H131" i="49"/>
  <c r="F172" i="49"/>
  <c r="O54" i="49"/>
  <c r="N174" i="49" s="1"/>
  <c r="F174" i="49"/>
  <c r="O74" i="49"/>
  <c r="N194" i="49" s="1"/>
  <c r="F194" i="49"/>
  <c r="P11" i="49"/>
  <c r="O131" i="49" s="1"/>
  <c r="G131" i="49"/>
  <c r="F134" i="49"/>
  <c r="O16" i="49"/>
  <c r="N136" i="49" s="1"/>
  <c r="F136" i="49"/>
  <c r="O56" i="49"/>
  <c r="N176" i="49" s="1"/>
  <c r="F176" i="49"/>
  <c r="F196" i="49"/>
  <c r="F132" i="49"/>
  <c r="O44" i="49"/>
  <c r="N164" i="49" s="1"/>
  <c r="F164" i="49"/>
  <c r="O34" i="49"/>
  <c r="N154" i="49" s="1"/>
  <c r="F154" i="49"/>
  <c r="F144" i="49"/>
  <c r="F178" i="49"/>
  <c r="F170" i="49"/>
  <c r="F152" i="49"/>
  <c r="F146" i="49"/>
  <c r="F156" i="49"/>
  <c r="F128" i="49"/>
  <c r="U11" i="37"/>
  <c r="I6" i="49" s="1"/>
  <c r="W11" i="37"/>
  <c r="J6" i="49" s="1"/>
  <c r="F127" i="49" l="1"/>
  <c r="O66" i="49"/>
  <c r="N186" i="49" s="1"/>
  <c r="F208" i="49"/>
  <c r="F190" i="49"/>
  <c r="F201" i="49"/>
  <c r="O79" i="49"/>
  <c r="N199" i="49" s="1"/>
  <c r="O78" i="49"/>
  <c r="N198" i="49" s="1"/>
  <c r="O95" i="49"/>
  <c r="N215" i="49" s="1"/>
  <c r="O69" i="49"/>
  <c r="N189" i="49" s="1"/>
  <c r="O67" i="49"/>
  <c r="N187" i="49" s="1"/>
  <c r="O77" i="49"/>
  <c r="N197" i="49" s="1"/>
  <c r="F197" i="49"/>
  <c r="O61" i="49"/>
  <c r="N181" i="49" s="1"/>
  <c r="F181" i="49"/>
  <c r="F179" i="49"/>
  <c r="O59" i="49"/>
  <c r="N179" i="49" s="1"/>
  <c r="O89" i="49"/>
  <c r="N209" i="49" s="1"/>
  <c r="O99" i="49"/>
  <c r="N219" i="49" s="1"/>
  <c r="O93" i="49"/>
  <c r="N213" i="49" s="1"/>
  <c r="O63" i="49"/>
  <c r="N183" i="49" s="1"/>
  <c r="F183" i="49"/>
  <c r="O91" i="49"/>
  <c r="N211" i="49" s="1"/>
  <c r="O65" i="49"/>
  <c r="N185" i="49" s="1"/>
  <c r="O75" i="49"/>
  <c r="N195" i="49" s="1"/>
  <c r="F195" i="49"/>
  <c r="O55" i="49"/>
  <c r="N175" i="49" s="1"/>
  <c r="F175" i="49"/>
  <c r="O33" i="49"/>
  <c r="N153" i="49" s="1"/>
  <c r="F153" i="49"/>
  <c r="O15" i="49"/>
  <c r="N135" i="49" s="1"/>
  <c r="F135" i="49"/>
  <c r="O73" i="49"/>
  <c r="N193" i="49" s="1"/>
  <c r="F193" i="49"/>
  <c r="O53" i="49"/>
  <c r="N173" i="49" s="1"/>
  <c r="F173" i="49"/>
  <c r="O31" i="49"/>
  <c r="N151" i="49" s="1"/>
  <c r="F151" i="49"/>
  <c r="O13" i="49"/>
  <c r="N133" i="49" s="1"/>
  <c r="F133" i="49"/>
  <c r="O71" i="49"/>
  <c r="N191" i="49" s="1"/>
  <c r="F191" i="49"/>
  <c r="O51" i="49"/>
  <c r="N171" i="49" s="1"/>
  <c r="F171" i="49"/>
  <c r="O29" i="49"/>
  <c r="N149" i="49" s="1"/>
  <c r="F149" i="49"/>
  <c r="I132" i="49"/>
  <c r="O85" i="49"/>
  <c r="N205" i="49" s="1"/>
  <c r="F205" i="49"/>
  <c r="O49" i="49"/>
  <c r="N169" i="49" s="1"/>
  <c r="F169" i="49"/>
  <c r="O21" i="49"/>
  <c r="N141" i="49" s="1"/>
  <c r="F141" i="49"/>
  <c r="H132" i="49"/>
  <c r="O83" i="49"/>
  <c r="N203" i="49" s="1"/>
  <c r="F203" i="49"/>
  <c r="O47" i="49"/>
  <c r="N167" i="49" s="1"/>
  <c r="F167" i="49"/>
  <c r="O19" i="49"/>
  <c r="N139" i="49" s="1"/>
  <c r="F139" i="49"/>
  <c r="O41" i="49"/>
  <c r="N161" i="49" s="1"/>
  <c r="F161" i="49"/>
  <c r="O37" i="49"/>
  <c r="N157" i="49" s="1"/>
  <c r="F157" i="49"/>
  <c r="O27" i="49"/>
  <c r="N147" i="49" s="1"/>
  <c r="F147" i="49"/>
  <c r="F166" i="49"/>
  <c r="O43" i="49"/>
  <c r="N163" i="49" s="1"/>
  <c r="F163" i="49"/>
  <c r="O35" i="49"/>
  <c r="N155" i="49" s="1"/>
  <c r="F155" i="49"/>
  <c r="O25" i="49"/>
  <c r="N145" i="49" s="1"/>
  <c r="F145" i="49"/>
  <c r="H166" i="49"/>
  <c r="O87" i="49"/>
  <c r="N207" i="49" s="1"/>
  <c r="F207" i="49"/>
  <c r="O39" i="49"/>
  <c r="N159" i="49" s="1"/>
  <c r="F159" i="49"/>
  <c r="O57" i="49"/>
  <c r="N177" i="49" s="1"/>
  <c r="F177" i="49"/>
  <c r="O23" i="49"/>
  <c r="N143" i="49" s="1"/>
  <c r="F143" i="49"/>
  <c r="F126" i="49"/>
  <c r="O10" i="49"/>
  <c r="N130" i="49" s="1"/>
  <c r="F130" i="49"/>
  <c r="K10" i="31"/>
  <c r="D4" i="48"/>
  <c r="E10" i="48" s="1"/>
  <c r="E14" i="48" l="1"/>
  <c r="E11" i="48"/>
  <c r="E15" i="48"/>
  <c r="E13" i="48"/>
  <c r="E18" i="48" s="1"/>
  <c r="E12" i="48"/>
  <c r="F18" i="48"/>
  <c r="F11" i="48"/>
  <c r="U11" i="48" s="1"/>
  <c r="H13" i="48"/>
  <c r="G11" i="48"/>
  <c r="V11" i="48" s="1"/>
  <c r="F14" i="48"/>
  <c r="U14" i="48" s="1"/>
  <c r="H11" i="48"/>
  <c r="G14" i="48"/>
  <c r="V14" i="48" s="1"/>
  <c r="G13" i="48"/>
  <c r="V13" i="48" s="1"/>
  <c r="F12" i="48"/>
  <c r="U12" i="48" s="1"/>
  <c r="H14" i="48"/>
  <c r="G12" i="48"/>
  <c r="F15" i="48"/>
  <c r="U15" i="48" s="1"/>
  <c r="H10" i="48"/>
  <c r="F10" i="48"/>
  <c r="U10" i="48" s="1"/>
  <c r="V18" i="48" s="1"/>
  <c r="H12" i="48"/>
  <c r="G15" i="48"/>
  <c r="V15" i="48" s="1"/>
  <c r="G10" i="48"/>
  <c r="V10" i="48" s="1"/>
  <c r="V19" i="48" s="1"/>
  <c r="F13" i="48"/>
  <c r="U13" i="48" s="1"/>
  <c r="U18" i="48" s="1"/>
  <c r="H15" i="48"/>
  <c r="O11" i="31"/>
  <c r="N11" i="31"/>
  <c r="M11" i="31"/>
  <c r="P10" i="31"/>
  <c r="N10" i="31"/>
  <c r="O10" i="31"/>
  <c r="P11" i="31"/>
  <c r="M10" i="31"/>
  <c r="F199" i="49"/>
  <c r="O81" i="49"/>
  <c r="N201" i="49" s="1"/>
  <c r="O97" i="49"/>
  <c r="N217" i="49" s="1"/>
  <c r="F189" i="49"/>
  <c r="F187" i="49"/>
  <c r="J125" i="49"/>
  <c r="Q45" i="49"/>
  <c r="P165" i="49" s="1"/>
  <c r="H165" i="49"/>
  <c r="O45" i="49"/>
  <c r="N165" i="49" s="1"/>
  <c r="F165" i="49"/>
  <c r="O9" i="49"/>
  <c r="N129" i="49" s="1"/>
  <c r="F129" i="49"/>
  <c r="F125" i="49"/>
  <c r="F26" i="48" l="1"/>
  <c r="W11" i="48"/>
  <c r="V24" i="48" s="1"/>
  <c r="E31" i="48"/>
  <c r="W15" i="48"/>
  <c r="F31" i="48"/>
  <c r="W12" i="48"/>
  <c r="F21" i="48"/>
  <c r="W10" i="48"/>
  <c r="F30" i="48"/>
  <c r="V12" i="48"/>
  <c r="E21" i="48"/>
  <c r="W13" i="48"/>
  <c r="E26" i="48"/>
  <c r="W14" i="48"/>
  <c r="N125" i="49"/>
  <c r="J127" i="49"/>
  <c r="O7" i="49"/>
  <c r="N127" i="49" s="1"/>
  <c r="K127" i="49"/>
  <c r="K125" i="49"/>
  <c r="M127" i="49"/>
  <c r="M125" i="49"/>
  <c r="L125" i="49"/>
  <c r="L127" i="49"/>
  <c r="H46" i="47"/>
  <c r="H42" i="47"/>
  <c r="R25" i="40"/>
  <c r="H25" i="40"/>
  <c r="T33" i="31"/>
  <c r="M172" i="49" l="1"/>
  <c r="L172" i="49"/>
  <c r="K172" i="49"/>
  <c r="T71" i="31"/>
  <c r="L69" i="31"/>
  <c r="L68" i="31"/>
  <c r="E67" i="31"/>
  <c r="J172" i="49" l="1"/>
  <c r="O52" i="49"/>
  <c r="N172" i="49" s="1"/>
  <c r="J196" i="49" l="1"/>
  <c r="O76" i="49"/>
  <c r="N196" i="49" s="1"/>
  <c r="M184" i="49"/>
  <c r="L184" i="49"/>
  <c r="K184" i="49"/>
  <c r="K160" i="49"/>
  <c r="M160" i="49"/>
  <c r="L160" i="49"/>
  <c r="M178" i="49"/>
  <c r="L178" i="49"/>
  <c r="K178" i="49"/>
  <c r="M166" i="49"/>
  <c r="K166" i="49"/>
  <c r="Q29" i="49"/>
  <c r="P149" i="49" s="1"/>
  <c r="H149" i="49"/>
  <c r="F23" i="48"/>
  <c r="K190" i="49" l="1"/>
  <c r="K196" i="49"/>
  <c r="M190" i="49"/>
  <c r="M196" i="49"/>
  <c r="L190" i="49"/>
  <c r="L196" i="49"/>
  <c r="J166" i="49"/>
  <c r="O46" i="49"/>
  <c r="N166" i="49" s="1"/>
  <c r="M150" i="49"/>
  <c r="M152" i="49"/>
  <c r="J144" i="49"/>
  <c r="O24" i="49"/>
  <c r="N144" i="49" s="1"/>
  <c r="M198" i="49"/>
  <c r="M204" i="49"/>
  <c r="M206" i="49"/>
  <c r="K128" i="49"/>
  <c r="K126" i="49"/>
  <c r="K168" i="49"/>
  <c r="K170" i="49"/>
  <c r="J146" i="49"/>
  <c r="O26" i="49"/>
  <c r="N146" i="49" s="1"/>
  <c r="K150" i="49"/>
  <c r="K152" i="49"/>
  <c r="L146" i="49"/>
  <c r="L144" i="49"/>
  <c r="K200" i="49"/>
  <c r="K204" i="49"/>
  <c r="K206" i="49"/>
  <c r="J126" i="49"/>
  <c r="O6" i="49"/>
  <c r="N126" i="49" s="1"/>
  <c r="J202" i="49"/>
  <c r="O82" i="49"/>
  <c r="N202" i="49" s="1"/>
  <c r="J160" i="49"/>
  <c r="O40" i="49"/>
  <c r="N160" i="49" s="1"/>
  <c r="M168" i="49"/>
  <c r="M170" i="49"/>
  <c r="O96" i="49"/>
  <c r="N216" i="49" s="1"/>
  <c r="J152" i="49"/>
  <c r="O32" i="49"/>
  <c r="N152" i="49" s="1"/>
  <c r="J138" i="49"/>
  <c r="O18" i="49"/>
  <c r="N138" i="49" s="1"/>
  <c r="L204" i="49"/>
  <c r="L206" i="49"/>
  <c r="M126" i="49"/>
  <c r="M128" i="49"/>
  <c r="J178" i="49"/>
  <c r="O58" i="49"/>
  <c r="N178" i="49" s="1"/>
  <c r="K134" i="49"/>
  <c r="K132" i="49"/>
  <c r="L168" i="49"/>
  <c r="L170" i="49"/>
  <c r="O98" i="49"/>
  <c r="N218" i="49" s="1"/>
  <c r="J150" i="49"/>
  <c r="O30" i="49"/>
  <c r="N150" i="49" s="1"/>
  <c r="K140" i="49"/>
  <c r="K138" i="49"/>
  <c r="J206" i="49"/>
  <c r="O86" i="49"/>
  <c r="N206" i="49" s="1"/>
  <c r="L126" i="49"/>
  <c r="J132" i="49"/>
  <c r="O12" i="49"/>
  <c r="N132" i="49" s="1"/>
  <c r="K158" i="49"/>
  <c r="K156" i="49"/>
  <c r="L150" i="49"/>
  <c r="L152" i="49"/>
  <c r="J192" i="49"/>
  <c r="O72" i="49"/>
  <c r="N192" i="49" s="1"/>
  <c r="J128" i="49"/>
  <c r="O8" i="49"/>
  <c r="N128" i="49" s="1"/>
  <c r="M134" i="49"/>
  <c r="J158" i="49"/>
  <c r="O38" i="49"/>
  <c r="N158" i="49" s="1"/>
  <c r="K146" i="49"/>
  <c r="K144" i="49"/>
  <c r="M140" i="49"/>
  <c r="M138" i="49"/>
  <c r="O94" i="49"/>
  <c r="N214" i="49" s="1"/>
  <c r="J134" i="49"/>
  <c r="O14" i="49"/>
  <c r="N134" i="49" s="1"/>
  <c r="J184" i="49"/>
  <c r="O64" i="49"/>
  <c r="N184" i="49" s="1"/>
  <c r="M156" i="49"/>
  <c r="M158" i="49"/>
  <c r="J140" i="49"/>
  <c r="O20" i="49"/>
  <c r="N140" i="49" s="1"/>
  <c r="L166" i="49"/>
  <c r="Q46" i="49"/>
  <c r="P166" i="49" s="1"/>
  <c r="M144" i="49"/>
  <c r="M146" i="49"/>
  <c r="L138" i="49"/>
  <c r="L140" i="49"/>
  <c r="K202" i="49"/>
  <c r="L134" i="49"/>
  <c r="J170" i="49"/>
  <c r="O50" i="49"/>
  <c r="N170" i="49" s="1"/>
  <c r="J156" i="49"/>
  <c r="O36" i="49"/>
  <c r="N156" i="49" s="1"/>
  <c r="J204" i="49"/>
  <c r="O84" i="49"/>
  <c r="N204" i="49" s="1"/>
  <c r="J168" i="49"/>
  <c r="O48" i="49"/>
  <c r="N168" i="49" s="1"/>
  <c r="L158" i="49"/>
  <c r="L156" i="49"/>
  <c r="J19" i="40"/>
  <c r="J20" i="40"/>
  <c r="J21" i="40"/>
  <c r="J22" i="40"/>
  <c r="J23" i="40"/>
  <c r="J24" i="40"/>
  <c r="L6" i="47"/>
  <c r="K15" i="47"/>
  <c r="K49" i="47"/>
  <c r="K48" i="47"/>
  <c r="K47" i="47"/>
  <c r="K45" i="47"/>
  <c r="K44" i="47"/>
  <c r="K43" i="47"/>
  <c r="K41" i="47"/>
  <c r="K40" i="47"/>
  <c r="K39" i="47"/>
  <c r="K37" i="47"/>
  <c r="K36" i="47"/>
  <c r="K35" i="47"/>
  <c r="K33" i="47"/>
  <c r="K32" i="47"/>
  <c r="K31" i="47"/>
  <c r="K29" i="47"/>
  <c r="K28" i="47"/>
  <c r="K27" i="47"/>
  <c r="K25" i="47"/>
  <c r="K24" i="47"/>
  <c r="K23" i="47"/>
  <c r="K21" i="47"/>
  <c r="K20" i="47"/>
  <c r="K19" i="47"/>
  <c r="X18" i="40"/>
  <c r="W18" i="40"/>
  <c r="V18" i="40"/>
  <c r="P18" i="40"/>
  <c r="O18" i="40"/>
  <c r="N18" i="40"/>
  <c r="M18" i="40"/>
  <c r="L18" i="40"/>
  <c r="M17" i="47"/>
  <c r="U16" i="40"/>
  <c r="K16" i="40"/>
  <c r="L12" i="47"/>
  <c r="D18" i="31"/>
  <c r="F18" i="31"/>
  <c r="T24" i="40"/>
  <c r="T23" i="40"/>
  <c r="T22" i="40"/>
  <c r="T21" i="40"/>
  <c r="T20" i="40"/>
  <c r="T19" i="40"/>
  <c r="N29" i="31"/>
  <c r="N28" i="31"/>
  <c r="N24" i="31"/>
  <c r="N23" i="31"/>
  <c r="N19" i="31"/>
  <c r="N18" i="31"/>
  <c r="N12" i="47" l="1"/>
  <c r="N13" i="47"/>
  <c r="P12" i="47"/>
  <c r="Q12" i="47"/>
  <c r="O12" i="47"/>
  <c r="Q13" i="47"/>
  <c r="P13" i="47"/>
  <c r="O13" i="47"/>
  <c r="L132" i="49"/>
  <c r="Q12" i="49"/>
  <c r="P132" i="49" s="1"/>
  <c r="M132" i="49"/>
  <c r="R12" i="49"/>
  <c r="Q132" i="49" s="1"/>
  <c r="R88" i="49"/>
  <c r="Q208" i="49" s="1"/>
  <c r="G201" i="49"/>
  <c r="I181" i="49"/>
  <c r="R61" i="49"/>
  <c r="Q181" i="49" s="1"/>
  <c r="G186" i="49"/>
  <c r="P66" i="49"/>
  <c r="O186" i="49" s="1"/>
  <c r="H179" i="49"/>
  <c r="Q59" i="49"/>
  <c r="P179" i="49" s="1"/>
  <c r="Q79" i="49"/>
  <c r="P199" i="49" s="1"/>
  <c r="H199" i="49"/>
  <c r="P100" i="49"/>
  <c r="O220" i="49" s="1"/>
  <c r="H182" i="49"/>
  <c r="Q62" i="49"/>
  <c r="P182" i="49" s="1"/>
  <c r="G180" i="49"/>
  <c r="P60" i="49"/>
  <c r="O180" i="49" s="1"/>
  <c r="H183" i="49"/>
  <c r="Q63" i="49"/>
  <c r="P183" i="49" s="1"/>
  <c r="R64" i="49"/>
  <c r="Q184" i="49" s="1"/>
  <c r="I184" i="49"/>
  <c r="P40" i="49"/>
  <c r="O160" i="49" s="1"/>
  <c r="G160" i="49"/>
  <c r="R26" i="49"/>
  <c r="Q146" i="49" s="1"/>
  <c r="I146" i="49"/>
  <c r="Q55" i="49"/>
  <c r="P175" i="49" s="1"/>
  <c r="H175" i="49"/>
  <c r="Q33" i="49"/>
  <c r="P153" i="49" s="1"/>
  <c r="H153" i="49"/>
  <c r="P13" i="49"/>
  <c r="O133" i="49" s="1"/>
  <c r="G133" i="49"/>
  <c r="Q42" i="49"/>
  <c r="P162" i="49" s="1"/>
  <c r="H162" i="49"/>
  <c r="P38" i="49"/>
  <c r="O158" i="49" s="1"/>
  <c r="G158" i="49"/>
  <c r="P16" i="49"/>
  <c r="O136" i="49" s="1"/>
  <c r="G136" i="49"/>
  <c r="Q75" i="49"/>
  <c r="P195" i="49" s="1"/>
  <c r="H195" i="49"/>
  <c r="P53" i="49"/>
  <c r="O173" i="49" s="1"/>
  <c r="G173" i="49"/>
  <c r="P31" i="49"/>
  <c r="O151" i="49" s="1"/>
  <c r="G151" i="49"/>
  <c r="P18" i="49"/>
  <c r="O138" i="49" s="1"/>
  <c r="G138" i="49"/>
  <c r="P34" i="49"/>
  <c r="O154" i="49" s="1"/>
  <c r="G154" i="49"/>
  <c r="R14" i="49"/>
  <c r="Q134" i="49" s="1"/>
  <c r="I134" i="49"/>
  <c r="P73" i="49"/>
  <c r="O193" i="49" s="1"/>
  <c r="G193" i="49"/>
  <c r="P45" i="49"/>
  <c r="O165" i="49" s="1"/>
  <c r="G165" i="49"/>
  <c r="P51" i="49"/>
  <c r="O171" i="49" s="1"/>
  <c r="G171" i="49"/>
  <c r="P29" i="49"/>
  <c r="O149" i="49" s="1"/>
  <c r="G149" i="49"/>
  <c r="P15" i="49"/>
  <c r="O135" i="49" s="1"/>
  <c r="G135" i="49"/>
  <c r="Q58" i="49"/>
  <c r="P178" i="49" s="1"/>
  <c r="H178" i="49"/>
  <c r="P32" i="49"/>
  <c r="O152" i="49" s="1"/>
  <c r="G152" i="49"/>
  <c r="P71" i="49"/>
  <c r="O191" i="49" s="1"/>
  <c r="G191" i="49"/>
  <c r="P43" i="49"/>
  <c r="O163" i="49" s="1"/>
  <c r="G163" i="49"/>
  <c r="R49" i="49"/>
  <c r="Q169" i="49" s="1"/>
  <c r="I169" i="49"/>
  <c r="R21" i="49"/>
  <c r="Q141" i="49" s="1"/>
  <c r="I141" i="49"/>
  <c r="R36" i="49"/>
  <c r="Q156" i="49" s="1"/>
  <c r="I156" i="49"/>
  <c r="P76" i="49"/>
  <c r="O196" i="49" s="1"/>
  <c r="G196" i="49"/>
  <c r="P56" i="49"/>
  <c r="O176" i="49" s="1"/>
  <c r="G176" i="49"/>
  <c r="R30" i="49"/>
  <c r="Q150" i="49" s="1"/>
  <c r="I150" i="49"/>
  <c r="R41" i="49"/>
  <c r="Q161" i="49" s="1"/>
  <c r="I161" i="49"/>
  <c r="Q47" i="49"/>
  <c r="P167" i="49" s="1"/>
  <c r="H167" i="49"/>
  <c r="Q19" i="49"/>
  <c r="P139" i="49" s="1"/>
  <c r="H139" i="49"/>
  <c r="P28" i="49"/>
  <c r="O148" i="49" s="1"/>
  <c r="G148" i="49"/>
  <c r="P74" i="49"/>
  <c r="O194" i="49" s="1"/>
  <c r="G194" i="49"/>
  <c r="P46" i="49"/>
  <c r="O166" i="49" s="1"/>
  <c r="G166" i="49"/>
  <c r="R52" i="49"/>
  <c r="Q172" i="49" s="1"/>
  <c r="I172" i="49"/>
  <c r="Q22" i="49"/>
  <c r="P142" i="49" s="1"/>
  <c r="H142" i="49"/>
  <c r="Q39" i="49"/>
  <c r="P159" i="49" s="1"/>
  <c r="H159" i="49"/>
  <c r="P27" i="49"/>
  <c r="O147" i="49" s="1"/>
  <c r="G147" i="49"/>
  <c r="P17" i="49"/>
  <c r="O137" i="49" s="1"/>
  <c r="G137" i="49"/>
  <c r="R57" i="49"/>
  <c r="Q177" i="49" s="1"/>
  <c r="I177" i="49"/>
  <c r="R72" i="49"/>
  <c r="Q192" i="49" s="1"/>
  <c r="I192" i="49"/>
  <c r="R44" i="49"/>
  <c r="Q164" i="49" s="1"/>
  <c r="I164" i="49"/>
  <c r="Q50" i="49"/>
  <c r="P170" i="49" s="1"/>
  <c r="H170" i="49"/>
  <c r="P20" i="49"/>
  <c r="O140" i="49" s="1"/>
  <c r="G140" i="49"/>
  <c r="P37" i="49"/>
  <c r="O157" i="49" s="1"/>
  <c r="G157" i="49"/>
  <c r="P25" i="49"/>
  <c r="O145" i="49" s="1"/>
  <c r="G145" i="49"/>
  <c r="E23" i="48"/>
  <c r="R23" i="49"/>
  <c r="Q143" i="49" s="1"/>
  <c r="Q24" i="49"/>
  <c r="P144" i="49" s="1"/>
  <c r="Q14" i="49" l="1"/>
  <c r="P134" i="49" s="1"/>
  <c r="P8" i="49"/>
  <c r="O128" i="49" s="1"/>
  <c r="R13" i="49"/>
  <c r="Q133" i="49" s="1"/>
  <c r="I143" i="49"/>
  <c r="H144" i="49"/>
  <c r="P93" i="49"/>
  <c r="O213" i="49" s="1"/>
  <c r="P94" i="49"/>
  <c r="O214" i="49" s="1"/>
  <c r="G202" i="49"/>
  <c r="P82" i="49"/>
  <c r="O202" i="49" s="1"/>
  <c r="I200" i="49"/>
  <c r="R80" i="49"/>
  <c r="Q200" i="49" s="1"/>
  <c r="H198" i="49"/>
  <c r="Q78" i="49"/>
  <c r="P198" i="49" s="1"/>
  <c r="I197" i="49"/>
  <c r="R77" i="49"/>
  <c r="Q197" i="49" s="1"/>
  <c r="Q85" i="49"/>
  <c r="P205" i="49" s="1"/>
  <c r="R94" i="49"/>
  <c r="Q214" i="49" s="1"/>
  <c r="I208" i="49"/>
  <c r="Q80" i="49"/>
  <c r="P200" i="49" s="1"/>
  <c r="R87" i="49"/>
  <c r="Q207" i="49" s="1"/>
  <c r="I202" i="49"/>
  <c r="G199" i="49"/>
  <c r="P92" i="49"/>
  <c r="O212" i="49" s="1"/>
  <c r="Q84" i="49"/>
  <c r="P204" i="49" s="1"/>
  <c r="R86" i="49"/>
  <c r="Q206" i="49" s="1"/>
  <c r="H208" i="49"/>
  <c r="P81" i="49"/>
  <c r="O201" i="49" s="1"/>
  <c r="R91" i="49"/>
  <c r="Q211" i="49" s="1"/>
  <c r="I185" i="49"/>
  <c r="P99" i="49"/>
  <c r="O219" i="49" s="1"/>
  <c r="Q66" i="49"/>
  <c r="P186" i="49" s="1"/>
  <c r="I186" i="49"/>
  <c r="I188" i="49"/>
  <c r="P70" i="49"/>
  <c r="O190" i="49" s="1"/>
  <c r="G189" i="49"/>
  <c r="Q97" i="49"/>
  <c r="P217" i="49" s="1"/>
  <c r="P97" i="49"/>
  <c r="O217" i="49" s="1"/>
  <c r="P98" i="49"/>
  <c r="O218" i="49" s="1"/>
  <c r="P67" i="49"/>
  <c r="O187" i="49" s="1"/>
  <c r="G182" i="49"/>
  <c r="P62" i="49"/>
  <c r="O182" i="49" s="1"/>
  <c r="I187" i="49"/>
  <c r="R67" i="49"/>
  <c r="Q187" i="49" s="1"/>
  <c r="H189" i="49"/>
  <c r="Q69" i="49"/>
  <c r="P189" i="49" s="1"/>
  <c r="G183" i="49"/>
  <c r="P63" i="49"/>
  <c r="O183" i="49" s="1"/>
  <c r="I180" i="49"/>
  <c r="R60" i="49"/>
  <c r="Q180" i="49" s="1"/>
  <c r="H184" i="49"/>
  <c r="Q64" i="49"/>
  <c r="P184" i="49" s="1"/>
  <c r="H180" i="49"/>
  <c r="Q60" i="49"/>
  <c r="P180" i="49" s="1"/>
  <c r="R98" i="49"/>
  <c r="Q218" i="49" s="1"/>
  <c r="H202" i="49"/>
  <c r="Q82" i="49"/>
  <c r="P202" i="49" s="1"/>
  <c r="H181" i="49"/>
  <c r="Q61" i="49"/>
  <c r="P181" i="49" s="1"/>
  <c r="Q98" i="49"/>
  <c r="P218" i="49" s="1"/>
  <c r="R93" i="49"/>
  <c r="Q213" i="49" s="1"/>
  <c r="I182" i="49"/>
  <c r="R62" i="49"/>
  <c r="Q182" i="49" s="1"/>
  <c r="H201" i="49"/>
  <c r="Q81" i="49"/>
  <c r="P201" i="49" s="1"/>
  <c r="Q77" i="49"/>
  <c r="P197" i="49" s="1"/>
  <c r="H197" i="49"/>
  <c r="G197" i="49"/>
  <c r="P77" i="49"/>
  <c r="O197" i="49" s="1"/>
  <c r="Q65" i="49"/>
  <c r="P185" i="49" s="1"/>
  <c r="H185" i="49"/>
  <c r="R81" i="49"/>
  <c r="Q201" i="49" s="1"/>
  <c r="I201" i="49"/>
  <c r="Q91" i="49"/>
  <c r="P211" i="49" s="1"/>
  <c r="R92" i="49"/>
  <c r="Q212" i="49" s="1"/>
  <c r="Q90" i="49"/>
  <c r="P210" i="49" s="1"/>
  <c r="I199" i="49"/>
  <c r="R79" i="49"/>
  <c r="Q199" i="49" s="1"/>
  <c r="G181" i="49"/>
  <c r="P61" i="49"/>
  <c r="O181" i="49" s="1"/>
  <c r="G179" i="49"/>
  <c r="P59" i="49"/>
  <c r="O179" i="49" s="1"/>
  <c r="I198" i="49"/>
  <c r="R78" i="49"/>
  <c r="Q198" i="49" s="1"/>
  <c r="G184" i="49"/>
  <c r="P64" i="49"/>
  <c r="O184" i="49" s="1"/>
  <c r="R89" i="49"/>
  <c r="Q209" i="49" s="1"/>
  <c r="Q100" i="49"/>
  <c r="P220" i="49" s="1"/>
  <c r="R100" i="49"/>
  <c r="Q220" i="49" s="1"/>
  <c r="H188" i="49"/>
  <c r="Q68" i="49"/>
  <c r="P188" i="49" s="1"/>
  <c r="Q92" i="49"/>
  <c r="P212" i="49" s="1"/>
  <c r="I190" i="49"/>
  <c r="R70" i="49"/>
  <c r="Q190" i="49" s="1"/>
  <c r="G198" i="49"/>
  <c r="P78" i="49"/>
  <c r="O198" i="49" s="1"/>
  <c r="R97" i="49"/>
  <c r="Q217" i="49" s="1"/>
  <c r="I183" i="49"/>
  <c r="R63" i="49"/>
  <c r="Q183" i="49" s="1"/>
  <c r="Q99" i="49"/>
  <c r="P219" i="49" s="1"/>
  <c r="Q94" i="49"/>
  <c r="P214" i="49" s="1"/>
  <c r="I179" i="49"/>
  <c r="R59" i="49"/>
  <c r="Q179" i="49" s="1"/>
  <c r="G200" i="49"/>
  <c r="P80" i="49"/>
  <c r="O200" i="49" s="1"/>
  <c r="R42" i="49"/>
  <c r="Q162" i="49" s="1"/>
  <c r="I162" i="49"/>
  <c r="Q54" i="49"/>
  <c r="P174" i="49" s="1"/>
  <c r="H174" i="49"/>
  <c r="Q71" i="49"/>
  <c r="P191" i="49" s="1"/>
  <c r="H191" i="49"/>
  <c r="Q15" i="49"/>
  <c r="P135" i="49" s="1"/>
  <c r="H135" i="49"/>
  <c r="Q53" i="49"/>
  <c r="P173" i="49" s="1"/>
  <c r="H173" i="49"/>
  <c r="R75" i="49"/>
  <c r="Q195" i="49" s="1"/>
  <c r="I195" i="49"/>
  <c r="R20" i="49"/>
  <c r="Q140" i="49" s="1"/>
  <c r="I140" i="49"/>
  <c r="R56" i="49"/>
  <c r="Q176" i="49" s="1"/>
  <c r="I176" i="49"/>
  <c r="R32" i="49"/>
  <c r="Q152" i="49" s="1"/>
  <c r="I152" i="49"/>
  <c r="Q36" i="49"/>
  <c r="P156" i="49" s="1"/>
  <c r="H156" i="49"/>
  <c r="Q25" i="49"/>
  <c r="P145" i="49" s="1"/>
  <c r="H145" i="49"/>
  <c r="Q49" i="49"/>
  <c r="P169" i="49" s="1"/>
  <c r="H169" i="49"/>
  <c r="R71" i="49"/>
  <c r="Q191" i="49" s="1"/>
  <c r="I191" i="49"/>
  <c r="R73" i="49"/>
  <c r="Q193" i="49" s="1"/>
  <c r="I193" i="49"/>
  <c r="P23" i="49"/>
  <c r="O143" i="49" s="1"/>
  <c r="G143" i="49"/>
  <c r="P57" i="49"/>
  <c r="O177" i="49" s="1"/>
  <c r="G177" i="49"/>
  <c r="P48" i="49"/>
  <c r="O168" i="49" s="1"/>
  <c r="G168" i="49"/>
  <c r="Q18" i="49"/>
  <c r="P138" i="49" s="1"/>
  <c r="H138" i="49"/>
  <c r="P33" i="49"/>
  <c r="O153" i="49" s="1"/>
  <c r="G153" i="49"/>
  <c r="P30" i="49"/>
  <c r="O150" i="49" s="1"/>
  <c r="G150" i="49"/>
  <c r="P36" i="49"/>
  <c r="O156" i="49" s="1"/>
  <c r="G156" i="49"/>
  <c r="P72" i="49"/>
  <c r="O192" i="49" s="1"/>
  <c r="G192" i="49"/>
  <c r="P24" i="49"/>
  <c r="O144" i="49" s="1"/>
  <c r="G144" i="49"/>
  <c r="R38" i="49"/>
  <c r="Q158" i="49" s="1"/>
  <c r="I158" i="49"/>
  <c r="Q72" i="49"/>
  <c r="P192" i="49" s="1"/>
  <c r="H192" i="49"/>
  <c r="R51" i="49"/>
  <c r="Q171" i="49" s="1"/>
  <c r="I171" i="49"/>
  <c r="Q51" i="49"/>
  <c r="P171" i="49" s="1"/>
  <c r="H171" i="49"/>
  <c r="R15" i="49"/>
  <c r="Q135" i="49" s="1"/>
  <c r="I135" i="49"/>
  <c r="P75" i="49"/>
  <c r="O195" i="49" s="1"/>
  <c r="G195" i="49"/>
  <c r="P21" i="49"/>
  <c r="O141" i="49" s="1"/>
  <c r="G141" i="49"/>
  <c r="R35" i="49"/>
  <c r="Q155" i="49" s="1"/>
  <c r="I155" i="49"/>
  <c r="R47" i="49"/>
  <c r="Q167" i="49" s="1"/>
  <c r="I167" i="49"/>
  <c r="R24" i="49"/>
  <c r="Q144" i="49" s="1"/>
  <c r="I144" i="49"/>
  <c r="Q17" i="49"/>
  <c r="P137" i="49" s="1"/>
  <c r="H137" i="49"/>
  <c r="Q32" i="49"/>
  <c r="P152" i="49" s="1"/>
  <c r="H152" i="49"/>
  <c r="Q38" i="49"/>
  <c r="P158" i="49" s="1"/>
  <c r="H158" i="49"/>
  <c r="Q74" i="49"/>
  <c r="P194" i="49" s="1"/>
  <c r="H194" i="49"/>
  <c r="R16" i="49"/>
  <c r="Q136" i="49" s="1"/>
  <c r="I136" i="49"/>
  <c r="Q26" i="49"/>
  <c r="P146" i="49" s="1"/>
  <c r="H146" i="49"/>
  <c r="P42" i="49"/>
  <c r="O162" i="49" s="1"/>
  <c r="G162" i="49"/>
  <c r="R74" i="49"/>
  <c r="Q194" i="49" s="1"/>
  <c r="I194" i="49"/>
  <c r="Q57" i="49"/>
  <c r="P177" i="49" s="1"/>
  <c r="H177" i="49"/>
  <c r="R31" i="49"/>
  <c r="Q151" i="49" s="1"/>
  <c r="I151" i="49"/>
  <c r="Q87" i="49"/>
  <c r="P207" i="49" s="1"/>
  <c r="H207" i="49"/>
  <c r="P19" i="49"/>
  <c r="O139" i="49" s="1"/>
  <c r="G139" i="49"/>
  <c r="Q35" i="49"/>
  <c r="P155" i="49" s="1"/>
  <c r="H155" i="49"/>
  <c r="Q73" i="49"/>
  <c r="P193" i="49" s="1"/>
  <c r="H193" i="49"/>
  <c r="R25" i="49"/>
  <c r="Q145" i="49" s="1"/>
  <c r="I145" i="49"/>
  <c r="Q48" i="49"/>
  <c r="P168" i="49" s="1"/>
  <c r="H168" i="49"/>
  <c r="Q37" i="49"/>
  <c r="P157" i="49" s="1"/>
  <c r="H157" i="49"/>
  <c r="R19" i="49"/>
  <c r="Q139" i="49" s="1"/>
  <c r="I139" i="49"/>
  <c r="R39" i="49"/>
  <c r="Q159" i="49" s="1"/>
  <c r="I159" i="49"/>
  <c r="P14" i="49"/>
  <c r="O134" i="49" s="1"/>
  <c r="G134" i="49"/>
  <c r="R34" i="49"/>
  <c r="Q154" i="49" s="1"/>
  <c r="I154" i="49"/>
  <c r="R40" i="49"/>
  <c r="Q160" i="49" s="1"/>
  <c r="I160" i="49"/>
  <c r="R76" i="49"/>
  <c r="Q196" i="49" s="1"/>
  <c r="I196" i="49"/>
  <c r="R28" i="49"/>
  <c r="Q148" i="49" s="1"/>
  <c r="I148" i="49"/>
  <c r="Q44" i="49"/>
  <c r="P164" i="49" s="1"/>
  <c r="H164" i="49"/>
  <c r="Q41" i="49"/>
  <c r="P161" i="49" s="1"/>
  <c r="H161" i="49"/>
  <c r="P83" i="49"/>
  <c r="O203" i="49" s="1"/>
  <c r="G203" i="49"/>
  <c r="P55" i="49"/>
  <c r="O175" i="49" s="1"/>
  <c r="G175" i="49"/>
  <c r="P41" i="49"/>
  <c r="O161" i="49" s="1"/>
  <c r="G161" i="49"/>
  <c r="P58" i="49"/>
  <c r="O178" i="49" s="1"/>
  <c r="G178" i="49"/>
  <c r="R45" i="49"/>
  <c r="Q165" i="49" s="1"/>
  <c r="I165" i="49"/>
  <c r="R55" i="49"/>
  <c r="Q175" i="49" s="1"/>
  <c r="I175" i="49"/>
  <c r="R83" i="49"/>
  <c r="Q203" i="49" s="1"/>
  <c r="I203" i="49"/>
  <c r="Q76" i="49"/>
  <c r="P196" i="49" s="1"/>
  <c r="H196" i="49"/>
  <c r="Q16" i="49"/>
  <c r="P136" i="49" s="1"/>
  <c r="H136" i="49"/>
  <c r="P44" i="49"/>
  <c r="O164" i="49" s="1"/>
  <c r="G164" i="49"/>
  <c r="P50" i="49"/>
  <c r="O170" i="49" s="1"/>
  <c r="G170" i="49"/>
  <c r="R46" i="49"/>
  <c r="Q166" i="49" s="1"/>
  <c r="I166" i="49"/>
  <c r="Q21" i="49"/>
  <c r="P141" i="49" s="1"/>
  <c r="H141" i="49"/>
  <c r="R43" i="49"/>
  <c r="Q163" i="49" s="1"/>
  <c r="I163" i="49"/>
  <c r="Q43" i="49"/>
  <c r="P163" i="49" s="1"/>
  <c r="H163" i="49"/>
  <c r="R37" i="49"/>
  <c r="Q157" i="49" s="1"/>
  <c r="I157" i="49"/>
  <c r="P85" i="49"/>
  <c r="O205" i="49" s="1"/>
  <c r="G205" i="49"/>
  <c r="R17" i="49"/>
  <c r="Q137" i="49" s="1"/>
  <c r="I137" i="49"/>
  <c r="Q34" i="49"/>
  <c r="P154" i="49" s="1"/>
  <c r="H154" i="49"/>
  <c r="P88" i="49"/>
  <c r="O208" i="49" s="1"/>
  <c r="G208" i="49"/>
  <c r="R48" i="49"/>
  <c r="Q168" i="49" s="1"/>
  <c r="I168" i="49"/>
  <c r="R50" i="49"/>
  <c r="Q170" i="49" s="1"/>
  <c r="I170" i="49"/>
  <c r="P54" i="49"/>
  <c r="O174" i="49" s="1"/>
  <c r="G174" i="49"/>
  <c r="Q56" i="49"/>
  <c r="P176" i="49" s="1"/>
  <c r="H176" i="49"/>
  <c r="Q31" i="49"/>
  <c r="P151" i="49" s="1"/>
  <c r="H151" i="49"/>
  <c r="P26" i="49"/>
  <c r="O146" i="49" s="1"/>
  <c r="G146" i="49"/>
  <c r="Q20" i="49"/>
  <c r="P140" i="49" s="1"/>
  <c r="H140" i="49"/>
  <c r="R58" i="49"/>
  <c r="Q178" i="49" s="1"/>
  <c r="I178" i="49"/>
  <c r="R33" i="49"/>
  <c r="Q153" i="49" s="1"/>
  <c r="I153" i="49"/>
  <c r="Q28" i="49"/>
  <c r="P148" i="49" s="1"/>
  <c r="H148" i="49"/>
  <c r="R18" i="49"/>
  <c r="Q138" i="49" s="1"/>
  <c r="I138" i="49"/>
  <c r="Q52" i="49"/>
  <c r="P172" i="49" s="1"/>
  <c r="H172" i="49"/>
  <c r="R29" i="49"/>
  <c r="Q149" i="49" s="1"/>
  <c r="I149" i="49"/>
  <c r="R53" i="49"/>
  <c r="Q173" i="49" s="1"/>
  <c r="I173" i="49"/>
  <c r="P39" i="49"/>
  <c r="O159" i="49" s="1"/>
  <c r="G159" i="49"/>
  <c r="P49" i="49"/>
  <c r="O169" i="49" s="1"/>
  <c r="G169" i="49"/>
  <c r="Q30" i="49"/>
  <c r="P150" i="49" s="1"/>
  <c r="H150" i="49"/>
  <c r="R22" i="49"/>
  <c r="Q142" i="49" s="1"/>
  <c r="I142" i="49"/>
  <c r="Q40" i="49"/>
  <c r="P160" i="49" s="1"/>
  <c r="H160" i="49"/>
  <c r="Q27" i="49"/>
  <c r="P147" i="49" s="1"/>
  <c r="H147" i="49"/>
  <c r="P52" i="49"/>
  <c r="O172" i="49" s="1"/>
  <c r="G172" i="49"/>
  <c r="R84" i="49"/>
  <c r="Q204" i="49" s="1"/>
  <c r="I204" i="49"/>
  <c r="P22" i="49"/>
  <c r="O142" i="49" s="1"/>
  <c r="G142" i="49"/>
  <c r="R54" i="49"/>
  <c r="Q174" i="49" s="1"/>
  <c r="I174" i="49"/>
  <c r="P86" i="49"/>
  <c r="O206" i="49" s="1"/>
  <c r="G206" i="49"/>
  <c r="Q23" i="49"/>
  <c r="P143" i="49" s="1"/>
  <c r="H143" i="49"/>
  <c r="Q13" i="49"/>
  <c r="P133" i="49" s="1"/>
  <c r="H133" i="49"/>
  <c r="R27" i="49"/>
  <c r="Q147" i="49" s="1"/>
  <c r="I147" i="49"/>
  <c r="P35" i="49"/>
  <c r="O155" i="49" s="1"/>
  <c r="G155" i="49"/>
  <c r="P47" i="49"/>
  <c r="O167" i="49" s="1"/>
  <c r="G167" i="49"/>
  <c r="Q7" i="49"/>
  <c r="P127" i="49" s="1"/>
  <c r="H127" i="49"/>
  <c r="R8" i="49"/>
  <c r="Q128" i="49" s="1"/>
  <c r="I128" i="49"/>
  <c r="P10" i="49"/>
  <c r="O130" i="49" s="1"/>
  <c r="G130" i="49"/>
  <c r="P7" i="49"/>
  <c r="O127" i="49" s="1"/>
  <c r="G127" i="49"/>
  <c r="E29" i="48"/>
  <c r="E28" i="48"/>
  <c r="U26" i="48"/>
  <c r="E24" i="48"/>
  <c r="I13" i="48"/>
  <c r="P33" i="31"/>
  <c r="P34" i="31"/>
  <c r="E20" i="48"/>
  <c r="E25" i="48"/>
  <c r="E19" i="48"/>
  <c r="I12" i="48"/>
  <c r="I15" i="48"/>
  <c r="I14" i="48"/>
  <c r="F24" i="48"/>
  <c r="I11" i="48"/>
  <c r="U22" i="48"/>
  <c r="F28" i="48"/>
  <c r="V26" i="48"/>
  <c r="E22" i="48" l="1"/>
  <c r="X13" i="48"/>
  <c r="U21" i="48" s="1"/>
  <c r="F27" i="48"/>
  <c r="X11" i="48"/>
  <c r="F32" i="48"/>
  <c r="X12" i="48"/>
  <c r="V29" i="48" s="1"/>
  <c r="E32" i="48"/>
  <c r="X15" i="48"/>
  <c r="U29" i="48" s="1"/>
  <c r="E27" i="48"/>
  <c r="X14" i="48"/>
  <c r="U25" i="48" s="1"/>
  <c r="F25" i="48"/>
  <c r="G128" i="49"/>
  <c r="I133" i="49"/>
  <c r="H134" i="49"/>
  <c r="R7" i="49"/>
  <c r="Q127" i="49" s="1"/>
  <c r="I127" i="49"/>
  <c r="Q8" i="49"/>
  <c r="P128" i="49" s="1"/>
  <c r="H128" i="49"/>
  <c r="R82" i="49"/>
  <c r="Q202" i="49" s="1"/>
  <c r="R99" i="49"/>
  <c r="Q219" i="49" s="1"/>
  <c r="H205" i="49"/>
  <c r="Q88" i="49"/>
  <c r="P208" i="49" s="1"/>
  <c r="Q89" i="49"/>
  <c r="P209" i="49" s="1"/>
  <c r="I206" i="49"/>
  <c r="R65" i="49"/>
  <c r="Q185" i="49" s="1"/>
  <c r="P79" i="49"/>
  <c r="O199" i="49" s="1"/>
  <c r="R90" i="49"/>
  <c r="Q210" i="49" s="1"/>
  <c r="H200" i="49"/>
  <c r="H204" i="49"/>
  <c r="G190" i="49"/>
  <c r="H186" i="49"/>
  <c r="I207" i="49"/>
  <c r="R68" i="49"/>
  <c r="Q188" i="49" s="1"/>
  <c r="P69" i="49"/>
  <c r="O189" i="49" s="1"/>
  <c r="P89" i="49"/>
  <c r="O209" i="49" s="1"/>
  <c r="P84" i="49"/>
  <c r="O204" i="49" s="1"/>
  <c r="H206" i="49"/>
  <c r="Q86" i="49"/>
  <c r="P206" i="49" s="1"/>
  <c r="Q93" i="49"/>
  <c r="P213" i="49" s="1"/>
  <c r="P91" i="49"/>
  <c r="O211" i="49" s="1"/>
  <c r="P90" i="49"/>
  <c r="O210" i="49" s="1"/>
  <c r="R85" i="49"/>
  <c r="Q205" i="49" s="1"/>
  <c r="I205" i="49"/>
  <c r="G187" i="49"/>
  <c r="Q83" i="49"/>
  <c r="P203" i="49" s="1"/>
  <c r="H203" i="49"/>
  <c r="R66" i="49"/>
  <c r="Q186" i="49" s="1"/>
  <c r="P87" i="49"/>
  <c r="O207" i="49" s="1"/>
  <c r="G207" i="49"/>
  <c r="I189" i="49"/>
  <c r="R69" i="49"/>
  <c r="Q189" i="49" s="1"/>
  <c r="G188" i="49"/>
  <c r="P68" i="49"/>
  <c r="O188" i="49" s="1"/>
  <c r="H187" i="49"/>
  <c r="Q67" i="49"/>
  <c r="P187" i="49" s="1"/>
  <c r="G185" i="49"/>
  <c r="P65" i="49"/>
  <c r="O185" i="49" s="1"/>
  <c r="H190" i="49"/>
  <c r="Q70" i="49"/>
  <c r="P190" i="49" s="1"/>
  <c r="Q10" i="49"/>
  <c r="P130" i="49" s="1"/>
  <c r="H130" i="49"/>
  <c r="Q6" i="49"/>
  <c r="P126" i="49" s="1"/>
  <c r="H126" i="49"/>
  <c r="P125" i="49"/>
  <c r="P9" i="49"/>
  <c r="O129" i="49" s="1"/>
  <c r="G129" i="49"/>
  <c r="R9" i="49"/>
  <c r="Q129" i="49" s="1"/>
  <c r="I129" i="49"/>
  <c r="R10" i="49"/>
  <c r="Q130" i="49" s="1"/>
  <c r="I130" i="49"/>
  <c r="Q125" i="49"/>
  <c r="I125" i="49"/>
  <c r="P129" i="49"/>
  <c r="H129" i="49"/>
  <c r="O125" i="49"/>
  <c r="G125" i="49"/>
  <c r="R6" i="49"/>
  <c r="Q126" i="49" s="1"/>
  <c r="I126" i="49"/>
  <c r="U27" i="48"/>
  <c r="O34" i="31"/>
  <c r="Q34" i="31"/>
  <c r="U20" i="48"/>
  <c r="V28" i="48"/>
  <c r="F29" i="48"/>
  <c r="V27" i="48"/>
  <c r="E30" i="48"/>
  <c r="U28" i="48"/>
  <c r="U24" i="48"/>
  <c r="U23" i="48"/>
  <c r="U19" i="48"/>
  <c r="W26" i="40"/>
  <c r="V26" i="40"/>
  <c r="U26" i="40"/>
  <c r="X26" i="40"/>
  <c r="R96" i="49" l="1"/>
  <c r="Q216" i="49" s="1"/>
  <c r="S11" i="37"/>
  <c r="H6" i="49" s="1"/>
  <c r="P12" i="49" l="1"/>
  <c r="O132" i="49" s="1"/>
  <c r="Q96" i="49"/>
  <c r="P216" i="49" s="1"/>
  <c r="F20" i="48"/>
  <c r="P96" i="49"/>
  <c r="O216" i="49" s="1"/>
  <c r="R95" i="49"/>
  <c r="Q215" i="49" s="1"/>
  <c r="I10" i="48"/>
  <c r="D4" i="47"/>
  <c r="N6" i="47" s="1"/>
  <c r="H20" i="35"/>
  <c r="H21" i="35"/>
  <c r="H19" i="35"/>
  <c r="L18" i="47" l="1"/>
  <c r="R18" i="47"/>
  <c r="R21" i="47"/>
  <c r="R19" i="47"/>
  <c r="R20" i="47"/>
  <c r="F22" i="48"/>
  <c r="X10" i="48"/>
  <c r="F19" i="48"/>
  <c r="G132" i="49"/>
  <c r="P6" i="49"/>
  <c r="O126" i="49" s="1"/>
  <c r="G126" i="49"/>
  <c r="Q95" i="49"/>
  <c r="P215" i="49" s="1"/>
  <c r="P95" i="49"/>
  <c r="O215" i="49" s="1"/>
  <c r="Q7" i="47"/>
  <c r="P7" i="47"/>
  <c r="O7" i="47"/>
  <c r="N7" i="47"/>
  <c r="Q6" i="47"/>
  <c r="O6" i="47"/>
  <c r="P6" i="47"/>
  <c r="J38" i="47"/>
  <c r="H38" i="47"/>
  <c r="J34" i="47"/>
  <c r="H34" i="47"/>
  <c r="J30" i="47"/>
  <c r="H30" i="47"/>
  <c r="J26" i="47"/>
  <c r="H26" i="47"/>
  <c r="R32" i="47" l="1"/>
  <c r="R33" i="47"/>
  <c r="R30" i="47"/>
  <c r="R31" i="47"/>
  <c r="R43" i="47"/>
  <c r="R45" i="47"/>
  <c r="R44" i="47"/>
  <c r="R42" i="47"/>
  <c r="R25" i="47"/>
  <c r="R23" i="47"/>
  <c r="R22" i="47"/>
  <c r="R24" i="47"/>
  <c r="R49" i="47"/>
  <c r="R46" i="47"/>
  <c r="R47" i="47"/>
  <c r="R48" i="47"/>
  <c r="R40" i="47"/>
  <c r="R38" i="47"/>
  <c r="R39" i="47"/>
  <c r="R41" i="47"/>
  <c r="R37" i="47"/>
  <c r="R34" i="47"/>
  <c r="R35" i="47"/>
  <c r="R36" i="47"/>
  <c r="R28" i="47"/>
  <c r="R27" i="47"/>
  <c r="R26" i="47"/>
  <c r="R29" i="47"/>
  <c r="N48" i="47"/>
  <c r="Q47" i="47"/>
  <c r="P48" i="47"/>
  <c r="M46" i="47"/>
  <c r="N47" i="47"/>
  <c r="L47" i="47"/>
  <c r="O46" i="47"/>
  <c r="Q46" i="47"/>
  <c r="N46" i="47"/>
  <c r="L48" i="47"/>
  <c r="Q48" i="47"/>
  <c r="L46" i="47"/>
  <c r="O49" i="47"/>
  <c r="L49" i="47"/>
  <c r="Q49" i="47"/>
  <c r="M48" i="47"/>
  <c r="P47" i="47"/>
  <c r="P49" i="47"/>
  <c r="M47" i="47"/>
  <c r="N49" i="47"/>
  <c r="O48" i="47"/>
  <c r="P46" i="47"/>
  <c r="O47" i="47"/>
  <c r="M49" i="47"/>
  <c r="H22" i="47"/>
  <c r="F42" i="47"/>
  <c r="E42" i="47"/>
  <c r="D42" i="47"/>
  <c r="F34" i="47"/>
  <c r="E34" i="47"/>
  <c r="D34" i="47"/>
  <c r="F26" i="47"/>
  <c r="E26" i="47"/>
  <c r="D26" i="47"/>
  <c r="J22" i="47"/>
  <c r="J18" i="47"/>
  <c r="H18" i="47"/>
  <c r="F18" i="47"/>
  <c r="E18" i="47"/>
  <c r="D18" i="47"/>
  <c r="R21" i="40"/>
  <c r="H21" i="40"/>
  <c r="F21" i="40"/>
  <c r="E21" i="40"/>
  <c r="D21" i="40"/>
  <c r="V29" i="31"/>
  <c r="V24" i="31"/>
  <c r="V19" i="31"/>
  <c r="U22" i="40" l="1"/>
  <c r="W22" i="40"/>
  <c r="V22" i="40"/>
  <c r="X22" i="40"/>
  <c r="V23" i="31"/>
  <c r="T23" i="31"/>
  <c r="S23" i="31"/>
  <c r="L23" i="31"/>
  <c r="K23" i="31"/>
  <c r="F23" i="31"/>
  <c r="D23" i="31"/>
  <c r="C23" i="31"/>
  <c r="Q22" i="31"/>
  <c r="Z21" i="31"/>
  <c r="Y21" i="31"/>
  <c r="I21" i="31"/>
  <c r="Q24" i="31" l="1"/>
  <c r="P23" i="31"/>
  <c r="O24" i="31"/>
  <c r="P24" i="31"/>
  <c r="L22" i="47"/>
  <c r="L25" i="47"/>
  <c r="P23" i="47"/>
  <c r="Q24" i="47"/>
  <c r="O23" i="47"/>
  <c r="P24" i="47"/>
  <c r="N23" i="47"/>
  <c r="Q22" i="47"/>
  <c r="Q25" i="47"/>
  <c r="O24" i="47"/>
  <c r="M23" i="47"/>
  <c r="P22" i="47"/>
  <c r="P25" i="47"/>
  <c r="N24" i="47"/>
  <c r="L23" i="47"/>
  <c r="O22" i="47"/>
  <c r="O25" i="47"/>
  <c r="M24" i="47"/>
  <c r="N22" i="47"/>
  <c r="N25" i="47"/>
  <c r="L24" i="47"/>
  <c r="M22" i="47"/>
  <c r="M25" i="47"/>
  <c r="Q23" i="47"/>
  <c r="N32" i="47" l="1"/>
  <c r="P31" i="47"/>
  <c r="N30" i="47"/>
  <c r="M32" i="47"/>
  <c r="Q33" i="47"/>
  <c r="O31" i="47"/>
  <c r="M30" i="47"/>
  <c r="L32" i="47"/>
  <c r="P33" i="47"/>
  <c r="N31" i="47"/>
  <c r="L30" i="47"/>
  <c r="O33" i="47"/>
  <c r="M31" i="47"/>
  <c r="N33" i="47"/>
  <c r="L31" i="47"/>
  <c r="Q32" i="47"/>
  <c r="M33" i="47"/>
  <c r="Q30" i="47"/>
  <c r="P32" i="47"/>
  <c r="L33" i="47"/>
  <c r="P30" i="47"/>
  <c r="O32" i="47"/>
  <c r="Q31" i="47"/>
  <c r="O30" i="47"/>
  <c r="P40" i="47"/>
  <c r="N39" i="47"/>
  <c r="L38" i="47"/>
  <c r="Q41" i="47"/>
  <c r="O40" i="47"/>
  <c r="M39" i="47"/>
  <c r="P41" i="47"/>
  <c r="N40" i="47"/>
  <c r="L39" i="47"/>
  <c r="O41" i="47"/>
  <c r="M40" i="47"/>
  <c r="Q38" i="47"/>
  <c r="N41" i="47"/>
  <c r="L40" i="47"/>
  <c r="P38" i="47"/>
  <c r="M41" i="47"/>
  <c r="Q39" i="47"/>
  <c r="O38" i="47"/>
  <c r="L41" i="47"/>
  <c r="P39" i="47"/>
  <c r="N38" i="47"/>
  <c r="Q40" i="47"/>
  <c r="O39" i="47"/>
  <c r="M38" i="47"/>
  <c r="Z31" i="31"/>
  <c r="T70" i="31" s="1"/>
  <c r="Y31" i="31"/>
  <c r="T69" i="31" s="1"/>
  <c r="Z26" i="31"/>
  <c r="Y26" i="31"/>
  <c r="Z16" i="31"/>
  <c r="Y16" i="31"/>
  <c r="D4" i="40"/>
  <c r="S18" i="31"/>
  <c r="T18" i="31"/>
  <c r="V18" i="31"/>
  <c r="S28" i="31"/>
  <c r="T28" i="31"/>
  <c r="V28" i="31"/>
  <c r="S33" i="31"/>
  <c r="R23" i="40"/>
  <c r="R19" i="40"/>
  <c r="H23" i="40"/>
  <c r="H19" i="40"/>
  <c r="F25" i="40"/>
  <c r="E25" i="40"/>
  <c r="D25" i="40"/>
  <c r="F23" i="40"/>
  <c r="E23" i="40"/>
  <c r="D23" i="40"/>
  <c r="E19" i="40"/>
  <c r="F19" i="40"/>
  <c r="D19" i="40"/>
  <c r="F29" i="31"/>
  <c r="F28" i="31"/>
  <c r="F19" i="31"/>
  <c r="K33" i="31"/>
  <c r="C33" i="31"/>
  <c r="L28" i="31"/>
  <c r="O29" i="31" s="1"/>
  <c r="K18" i="31"/>
  <c r="K28" i="31"/>
  <c r="C28" i="31"/>
  <c r="L18" i="31"/>
  <c r="D28" i="31"/>
  <c r="D5" i="38"/>
  <c r="C5" i="38"/>
  <c r="D4" i="38"/>
  <c r="K10" i="40" l="1"/>
  <c r="L10" i="40"/>
  <c r="K21" i="40" s="1"/>
  <c r="M10" i="40"/>
  <c r="N10" i="40"/>
  <c r="K11" i="40"/>
  <c r="K20" i="40" s="1"/>
  <c r="L11" i="40"/>
  <c r="K22" i="40" s="1"/>
  <c r="M11" i="40"/>
  <c r="N11" i="40"/>
  <c r="H13" i="31"/>
  <c r="X13" i="31" s="1"/>
  <c r="X34" i="31" s="1"/>
  <c r="H11" i="31"/>
  <c r="X11" i="31" s="1"/>
  <c r="W34" i="31" s="1"/>
  <c r="E12" i="31"/>
  <c r="U12" i="31" s="1"/>
  <c r="X18" i="31" s="1"/>
  <c r="G11" i="31"/>
  <c r="W11" i="31" s="1"/>
  <c r="W29" i="31" s="1"/>
  <c r="H12" i="31"/>
  <c r="F12" i="31"/>
  <c r="F11" i="31"/>
  <c r="V11" i="31" s="1"/>
  <c r="W24" i="31" s="1"/>
  <c r="G12" i="31"/>
  <c r="E11" i="31"/>
  <c r="F13" i="31"/>
  <c r="E10" i="31"/>
  <c r="G13" i="31"/>
  <c r="W13" i="31" s="1"/>
  <c r="X29" i="31" s="1"/>
  <c r="P19" i="31"/>
  <c r="P18" i="31"/>
  <c r="O19" i="31"/>
  <c r="P28" i="31"/>
  <c r="P29" i="31"/>
  <c r="O18" i="31"/>
  <c r="U24" i="40"/>
  <c r="X24" i="40"/>
  <c r="V24" i="40"/>
  <c r="W24" i="40"/>
  <c r="W20" i="40"/>
  <c r="X20" i="40"/>
  <c r="V20" i="40"/>
  <c r="U20" i="40"/>
  <c r="E13" i="31"/>
  <c r="U13" i="31" s="1"/>
  <c r="X19" i="31" s="1"/>
  <c r="K19" i="40" l="1"/>
  <c r="M19" i="40"/>
  <c r="V12" i="31"/>
  <c r="X23" i="31" s="1"/>
  <c r="H23" i="31"/>
  <c r="X12" i="31"/>
  <c r="X33" i="31" s="1"/>
  <c r="H33" i="31"/>
  <c r="U10" i="31"/>
  <c r="Z18" i="31"/>
  <c r="AA18" i="31"/>
  <c r="Y18" i="31"/>
  <c r="W12" i="31"/>
  <c r="X28" i="31" s="1"/>
  <c r="H28" i="31"/>
  <c r="V13" i="31"/>
  <c r="X24" i="31" s="1"/>
  <c r="H24" i="31"/>
  <c r="U11" i="31"/>
  <c r="W19" i="31" s="1"/>
  <c r="Y19" i="31"/>
  <c r="L19" i="40"/>
  <c r="Q42" i="47"/>
  <c r="V22" i="48"/>
  <c r="H34" i="31"/>
  <c r="D68" i="31" s="1"/>
  <c r="O33" i="31"/>
  <c r="W25" i="40"/>
  <c r="O28" i="31"/>
  <c r="M18" i="47"/>
  <c r="H19" i="31"/>
  <c r="H18" i="31"/>
  <c r="H29" i="31"/>
  <c r="U19" i="40"/>
  <c r="X19" i="40"/>
  <c r="V19" i="40"/>
  <c r="W19" i="40"/>
  <c r="N19" i="40"/>
  <c r="P19" i="40"/>
  <c r="O19" i="40"/>
  <c r="P22" i="40"/>
  <c r="O22" i="40"/>
  <c r="N22" i="40"/>
  <c r="M22" i="40"/>
  <c r="L22" i="40"/>
  <c r="N20" i="40"/>
  <c r="O20" i="40"/>
  <c r="M20" i="40"/>
  <c r="P20" i="40"/>
  <c r="L20" i="40"/>
  <c r="O21" i="40"/>
  <c r="N21" i="40"/>
  <c r="M21" i="40"/>
  <c r="L21" i="40"/>
  <c r="P21" i="40"/>
  <c r="L21" i="47"/>
  <c r="Q19" i="47"/>
  <c r="P19" i="47"/>
  <c r="L20" i="47"/>
  <c r="N21" i="47"/>
  <c r="N18" i="47"/>
  <c r="L19" i="47"/>
  <c r="P20" i="47"/>
  <c r="O20" i="47"/>
  <c r="M20" i="47"/>
  <c r="Q21" i="47"/>
  <c r="Q20" i="47"/>
  <c r="O18" i="47"/>
  <c r="M21" i="47"/>
  <c r="Q18" i="47"/>
  <c r="N20" i="47"/>
  <c r="N19" i="47"/>
  <c r="O19" i="47"/>
  <c r="O21" i="47"/>
  <c r="P21" i="47"/>
  <c r="M19" i="47"/>
  <c r="P18" i="47"/>
  <c r="K23" i="40"/>
  <c r="K24" i="40"/>
  <c r="K26" i="40"/>
  <c r="K25" i="40"/>
  <c r="D69" i="31" l="1"/>
  <c r="Q23" i="31"/>
  <c r="O23" i="31"/>
  <c r="Q33" i="31"/>
  <c r="M44" i="47"/>
  <c r="M43" i="47"/>
  <c r="M42" i="47"/>
  <c r="M35" i="47"/>
  <c r="L35" i="47"/>
  <c r="L34" i="47"/>
  <c r="U25" i="40"/>
  <c r="V25" i="40"/>
  <c r="N43" i="47"/>
  <c r="O44" i="47"/>
  <c r="Q43" i="47"/>
  <c r="N44" i="47"/>
  <c r="O43" i="47"/>
  <c r="P43" i="47"/>
  <c r="P44" i="47"/>
  <c r="L44" i="47"/>
  <c r="N45" i="47"/>
  <c r="Q45" i="47"/>
  <c r="P45" i="47"/>
  <c r="Q44" i="47"/>
  <c r="L45" i="47"/>
  <c r="N42" i="47"/>
  <c r="L42" i="47"/>
  <c r="O42" i="47"/>
  <c r="O45" i="47"/>
  <c r="P42" i="47"/>
  <c r="M45" i="47"/>
  <c r="L43" i="47"/>
  <c r="X25" i="40"/>
  <c r="V25" i="48"/>
  <c r="V21" i="48"/>
  <c r="V20" i="48"/>
  <c r="P25" i="40"/>
  <c r="L25" i="40"/>
  <c r="N25" i="40"/>
  <c r="O25" i="40"/>
  <c r="M25" i="40"/>
  <c r="P26" i="40"/>
  <c r="L26" i="40"/>
  <c r="M26" i="40"/>
  <c r="O26" i="40"/>
  <c r="N26" i="40"/>
  <c r="V23" i="40"/>
  <c r="U23" i="40"/>
  <c r="X23" i="40"/>
  <c r="W23" i="40"/>
  <c r="V21" i="40"/>
  <c r="U21" i="40"/>
  <c r="X21" i="40"/>
  <c r="W21" i="40"/>
  <c r="P24" i="40"/>
  <c r="N24" i="40"/>
  <c r="O24" i="40"/>
  <c r="L24" i="40"/>
  <c r="M24" i="40"/>
  <c r="P23" i="40"/>
  <c r="O23" i="40"/>
  <c r="N23" i="40"/>
  <c r="M23" i="40"/>
  <c r="L23" i="40"/>
  <c r="V23" i="48" l="1"/>
  <c r="N30" i="35"/>
  <c r="N31" i="35"/>
  <c r="N32" i="35"/>
  <c r="N60" i="35"/>
  <c r="N61" i="35"/>
  <c r="N62" i="35"/>
  <c r="N52" i="35" l="1"/>
  <c r="N53" i="35"/>
  <c r="N54" i="35"/>
  <c r="N55" i="35"/>
  <c r="N56" i="35"/>
  <c r="N57" i="35"/>
  <c r="N58" i="35"/>
  <c r="N59" i="35"/>
  <c r="N3" i="35" l="1"/>
  <c r="N4" i="35"/>
  <c r="N5" i="35"/>
  <c r="N6" i="35"/>
  <c r="N7" i="35"/>
  <c r="N8" i="35"/>
  <c r="N9" i="35"/>
  <c r="N10" i="35"/>
  <c r="N11" i="35"/>
  <c r="N12" i="35"/>
  <c r="N13" i="35"/>
  <c r="N14" i="35"/>
  <c r="N15" i="35"/>
  <c r="N16" i="35"/>
  <c r="N17" i="35"/>
  <c r="N18" i="35"/>
  <c r="N19" i="35"/>
  <c r="N20" i="35"/>
  <c r="N21" i="35"/>
  <c r="N22" i="35"/>
  <c r="N23" i="35"/>
  <c r="N24" i="35"/>
  <c r="N25" i="35"/>
  <c r="N26" i="35"/>
  <c r="N27" i="35"/>
  <c r="N28" i="35"/>
  <c r="N29" i="35"/>
  <c r="N33" i="35"/>
  <c r="N34" i="35"/>
  <c r="N35" i="35"/>
  <c r="N36" i="35"/>
  <c r="N37" i="35"/>
  <c r="N38" i="35"/>
  <c r="N39" i="35"/>
  <c r="N40" i="35"/>
  <c r="N41" i="35"/>
  <c r="N42" i="35"/>
  <c r="N43" i="35"/>
  <c r="N44" i="35"/>
  <c r="N45" i="35"/>
  <c r="N46" i="35"/>
  <c r="N47" i="35"/>
  <c r="N48" i="35"/>
  <c r="N49" i="35"/>
  <c r="N50" i="35"/>
  <c r="N51" i="35"/>
  <c r="N2" i="35"/>
  <c r="Q32" i="31" l="1"/>
  <c r="Q27" i="31" l="1"/>
  <c r="Q17" i="31"/>
  <c r="P8" i="39" l="1"/>
  <c r="P7" i="39"/>
  <c r="P6" i="39"/>
  <c r="I31" i="31" l="1"/>
  <c r="I26" i="31"/>
  <c r="I16" i="31"/>
  <c r="O27" i="47" l="1"/>
  <c r="L28" i="47"/>
  <c r="O26" i="47"/>
  <c r="N27" i="47"/>
  <c r="P28" i="47"/>
  <c r="L27" i="47"/>
  <c r="Q26" i="47"/>
  <c r="M26" i="47"/>
  <c r="L26" i="47"/>
  <c r="P26" i="47"/>
  <c r="N26" i="47"/>
  <c r="O29" i="47"/>
  <c r="Q28" i="47"/>
  <c r="L29" i="47"/>
  <c r="O28" i="47"/>
  <c r="M28" i="47"/>
  <c r="Q29" i="47"/>
  <c r="P29" i="47"/>
  <c r="Q27" i="47"/>
  <c r="N28" i="47"/>
  <c r="P27" i="47"/>
  <c r="M29" i="47"/>
  <c r="M27" i="47"/>
  <c r="N29" i="47"/>
  <c r="P34" i="47"/>
  <c r="L36" i="47"/>
  <c r="Q37" i="47"/>
  <c r="Q34" i="47"/>
  <c r="O34" i="47"/>
  <c r="P35" i="47"/>
  <c r="L37" i="47"/>
  <c r="Q35" i="47"/>
  <c r="N35" i="47"/>
  <c r="Q36" i="47"/>
  <c r="O35" i="47"/>
  <c r="M37" i="47"/>
  <c r="P37" i="47"/>
  <c r="O36" i="47"/>
  <c r="N37" i="47"/>
  <c r="M34" i="47"/>
  <c r="O37" i="47"/>
  <c r="N34" i="47"/>
  <c r="M36" i="47"/>
  <c r="N36" i="47"/>
  <c r="P36" i="47"/>
  <c r="M68" i="31" l="1"/>
  <c r="Q29" i="31"/>
  <c r="Q28" i="31"/>
  <c r="M69" i="31"/>
  <c r="Q19" i="31"/>
  <c r="Q18" i="31"/>
  <c r="N68" i="31"/>
  <c r="N69" i="31"/>
  <c r="H10" i="31"/>
  <c r="X10" i="31" s="1"/>
  <c r="G10" i="31"/>
  <c r="F10" i="31"/>
  <c r="V10" i="31" s="1"/>
  <c r="W23" i="31" s="1"/>
  <c r="W10" i="31" l="1"/>
  <c r="W28" i="31" s="1"/>
  <c r="G28" i="31"/>
  <c r="I28" i="31" s="1"/>
  <c r="Z19" i="31"/>
  <c r="Z24" i="31"/>
  <c r="AA24" i="31"/>
  <c r="Y24" i="31"/>
  <c r="G23" i="31"/>
  <c r="I23" i="31" s="1"/>
  <c r="Y23" i="31"/>
  <c r="Z23" i="31"/>
  <c r="Z34" i="31"/>
  <c r="V70" i="31" s="1"/>
  <c r="Y34" i="31"/>
  <c r="V69" i="31" s="1"/>
  <c r="Z28" i="31"/>
  <c r="AA28" i="31"/>
  <c r="Y28" i="31"/>
  <c r="Z29" i="31"/>
  <c r="Y29" i="31"/>
  <c r="G33" i="31"/>
  <c r="I33" i="31" s="1"/>
  <c r="Z33" i="31"/>
  <c r="U70" i="31" s="1"/>
  <c r="Y33" i="31"/>
  <c r="U69" i="31" s="1"/>
  <c r="AA33" i="31"/>
  <c r="U71" i="31" s="1"/>
  <c r="G19" i="31"/>
  <c r="I19" i="31" s="1"/>
  <c r="G24" i="31"/>
  <c r="I24" i="31" s="1"/>
  <c r="G34" i="31"/>
  <c r="I34" i="31" s="1"/>
  <c r="G18" i="31"/>
  <c r="I18" i="31" s="1"/>
  <c r="G29" i="31"/>
  <c r="I29" i="31" s="1"/>
  <c r="AA29" i="31"/>
  <c r="AA19" i="31"/>
  <c r="W18" i="31"/>
  <c r="AA23" i="31"/>
  <c r="AA34" i="31"/>
  <c r="V71" i="31" s="1"/>
  <c r="W33" i="31"/>
  <c r="U68" i="31" l="1"/>
  <c r="V68" i="31"/>
  <c r="D70" i="31"/>
  <c r="E70" i="31"/>
  <c r="D71" i="31"/>
  <c r="E71" i="31" l="1"/>
  <c r="E69" i="3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<sst xmlns="http://schemas.openxmlformats.org/spreadsheetml/2006/main" count="2102" uniqueCount="476">
  <si>
    <t>Final Risk Evaluation for Benzyl Butyl Phthalate (BBP)</t>
  </si>
  <si>
    <t>Supplemental Information File:
Risk Calculator for Occupational Exposures</t>
  </si>
  <si>
    <t>CASRNs: 85-68-7</t>
  </si>
  <si>
    <t>December 2025</t>
  </si>
  <si>
    <t>Description of this workbook:</t>
  </si>
  <si>
    <t>The risk calculator workbook contains the following spreadsheets: Dashboard, RR, Inhalation Exposure, Dermal Crosswalk, Dermal Exposure, Exposure Factors, Hazard Values, and List Values. The workbook is designed such that the user need only to use the first two spreadsheets which have tabs colored green and contain the results of the risk calculator i.e. the Dashboard and the RR. The remaining spreadsheets contain data storage and calculation spreadsheets.</t>
  </si>
  <si>
    <t>Worksheet</t>
  </si>
  <si>
    <t>Description</t>
  </si>
  <si>
    <t>Calculation Summary</t>
  </si>
  <si>
    <t>An overview of the inhalation and dermal equations utilized to estimate the acute-; intermediate-; chronic, non-cancer-; and chronic, cancer-dose of each Occupational Exposure Scenario (OES) from an estimated concentration or dose to workers and ONUs.</t>
  </si>
  <si>
    <t>Dashboard</t>
  </si>
  <si>
    <t>The Dashboard is an interactive spreadsheet that allows a user to view exposure results for a selected OES and with a single PPE option of their choosing (i.e. respirator APF or Glove Protection Factor PF). The user can select the desired OES, PPE options and for dermal exposures the worker type (either an average adult or a female of reproductive age) from a drop-down menu. The exposure estimates are shown in the “Exposure Outputs” section for both inhalation and dermal routes and for high-end and central tendency exposures. For inhalation exposures the columns show results for both worker and ONU exposures. The “Risk Estimation” sections are separated into acute, chronic non-cancer and cancer sections. For each section there is a brief description of the hazard endpoint and the hazard value i.e. HEC for non-cancer effects from inhalation exposure, HED for non-cancer effects from dermal exposure or a slope factor for cancer and the benchmark MOEs or benchmark values for cancer risk are provided to the right of the hazard value. The risk estimations show two columns of risk estimates: one column for exposures without PPE and one column for the results of the user-selected PPE option. These two columns allow the user to compare with and without PPE results side-by-side. The Dashboard automatically shades the cancer risk and MOE cells when they exceed the cancer benchmark or the benchmark MOE value.</t>
  </si>
  <si>
    <t>RR</t>
  </si>
  <si>
    <t>The RR spreadsheet is an expanded version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(i.e. APF or PF). The RR spreadsheet has a row for each toxicity endpoint, and each row shows the cancer risk or MOE values. Similar to the Dashboard, the RR spreadsheet shades results if the MOE or cancer risk exceeds the benchmark MOE or cancer benchmark.</t>
  </si>
  <si>
    <t>Aggregate RR</t>
  </si>
  <si>
    <t>The Aggregate RR spreadsheet is an expanded version of the Aggregate section of the Dashboard.  Similar to the Dashboard the RR allows the user to select a OES. However, the user also selected to see results for a worker or ONU and instead of requiring a user to select a single exposure reduction option, the Heat Map displays all the PPE options. The RR spreadsheet has a column each for no PPE and each PPE option (i.e. APF or PF). The RR spreadsheet has a row for each toxicity endpoint, and each row shows the cancer risk or MOE values. Similar to the Dashboard, the RR spreadsheet shades results if the MOE or cancer risk exceeds the benchmark MOE or cancer benchmark.</t>
  </si>
  <si>
    <t>Exposure Results,
Dermal Exposure, 
Exposure Factors, 
Hazard Values, and 
List Values</t>
  </si>
  <si>
    <t>As described above the remaining spreadsheets are data storage and calculation spreadsheets. These worksheets store the exposure estimates, health values and store some of the risk calculations. The user does not need to access these worksheets to use the Dashboard and RR spreadsheets as described above; all results are automatically loaded into the Dashboard and RR spreadsheets.</t>
  </si>
  <si>
    <t>Equations and Calculations Used for Risk Calculator</t>
  </si>
  <si>
    <t>Exposure Type</t>
  </si>
  <si>
    <t>Equation</t>
  </si>
  <si>
    <t>Equation Parameters</t>
  </si>
  <si>
    <r>
      <t>Inhalation Exposure Calculations</t>
    </r>
    <r>
      <rPr>
        <b/>
        <vertAlign val="superscript"/>
        <sz val="10"/>
        <color theme="1"/>
        <rFont val="Times New Roman"/>
        <family val="1"/>
      </rPr>
      <t>a</t>
    </r>
  </si>
  <si>
    <t>Acute Dose (AD) (mg/kg/day)</t>
  </si>
  <si>
    <t>AD = 8-hr TWA Concentration x ED x BR / BW</t>
  </si>
  <si>
    <r>
      <t>- ED = 8 hr/day
- BR = Breathing Rate (worker): 1.25 m</t>
    </r>
    <r>
      <rPr>
        <vertAlign val="superscript"/>
        <sz val="10"/>
        <color theme="1"/>
        <rFont val="Times New Roman"/>
        <family val="1"/>
      </rPr>
      <t>3</t>
    </r>
    <r>
      <rPr>
        <sz val="10"/>
        <color theme="1"/>
        <rFont val="Times New Roman"/>
        <family val="1"/>
      </rPr>
      <t>/hr
- BW = Body weight: 80 kg (average adult worker), 72.4 kg (woman of childbearing age)</t>
    </r>
  </si>
  <si>
    <t>Intermediate Average Daily Dose (IADD)(mg/kg/day)</t>
  </si>
  <si>
    <t>IADD = 8-hr TWA concentration x ED x BR x EFint/ (BW x ID)</t>
  </si>
  <si>
    <t>- ED = 8 hr/day
- BR = Breathing Rate (worker): 1.25 m3/hr
- BW = Body weight: 80 kg (average adult worker), 72.4 kg (woman of childbearing age)
- EFint = The exposure days in the numerator will typically be 22 days/yr when the total exposure days/yr is &gt;22 days/yr or equal to the total exposure days/yr if the total is &lt;22 days/yr. This maximizes the number of exposure days in the Intermediate timeframe, acOESnting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30 days</t>
  </si>
  <si>
    <t>Chronic Average Daily Dose (ADD)(mg/kg/day)</t>
  </si>
  <si>
    <t>ADD = 8-hr TWA concentration x ED x BR  x EF x WY/ (BW x 365days/yr x WY)</t>
  </si>
  <si>
    <t>- ED = 8 hr/day
- BR = Breathing Rate (worker): 1.25 m3/hr
- BW = Body weight: 80 kg (average adult worker), 72.4 kg (woman of childbearing age)
- EF = 2 to 250 days depending on OES
- WY = 31 (central tendency) to 40 yr (high-end)</t>
  </si>
  <si>
    <t>Lifetime Average Daily Dose (LADD)(mg/kg/day)</t>
  </si>
  <si>
    <t>LADD = 8-hr TWA concentration x ED x BR  x EF x WY/ (BW x 365days/yr x LT)</t>
  </si>
  <si>
    <t>- ED = 8 hr/day
- BR = Breathing Rate (worker): 1.25 m3/hr
- BW = Body weight: 80 kg (average adult worker), 72.4 kg (woman of childbearing age)
- EF = 2 to 250 days depending on OES
- WY = 31 (central tendency) to 40 yr (high-end)
- LT = Lifetime (78 years)</t>
  </si>
  <si>
    <t>Inhalation Exposure Risk Calculations</t>
  </si>
  <si>
    <t>Human Equivalent Dose (HED) (mg/kg)</t>
  </si>
  <si>
    <t>see Health Data tab</t>
  </si>
  <si>
    <t>Benchmark Margin of Exposure (MOE) (unitless)</t>
  </si>
  <si>
    <t>Acute MOE (unitless)</t>
  </si>
  <si>
    <t>HED / AD</t>
  </si>
  <si>
    <t>The calculated MOE is then compared with the Benchmark MOE; if the calculated MOE is less than the benchmark MOE then there is risk.</t>
  </si>
  <si>
    <t>Intermediate MOE (unitless)</t>
  </si>
  <si>
    <t>HED / IADD</t>
  </si>
  <si>
    <t>Chronic, Non-Cancer MOE (unitless)</t>
  </si>
  <si>
    <t>HED / ADD</t>
  </si>
  <si>
    <t>Chronic, Cancer MOE (unitless)</t>
  </si>
  <si>
    <t>HED * LADD</t>
  </si>
  <si>
    <t>The calculated MOE is then compared with the Benchmark MOE; if the calculated MOE is greater than the benchmark MOE then there is risk.</t>
  </si>
  <si>
    <t>Dermal Exposures</t>
  </si>
  <si>
    <t>AD = APDR / BW</t>
  </si>
  <si>
    <t xml:space="preserve"> - AD	= Acute retained dose (mg/kg-day)
 - APDR	= Acute potential dose rate (mg/day)
 - BW	= Body weight (kg)</t>
  </si>
  <si>
    <t>Intermediate Daily Dose (IADD)(mg/kg/day)</t>
  </si>
  <si>
    <r>
      <t>IADD = APDR x EF</t>
    </r>
    <r>
      <rPr>
        <vertAlign val="subscript"/>
        <sz val="10"/>
        <color theme="1"/>
        <rFont val="Times New Roman"/>
        <family val="1"/>
      </rPr>
      <t>int</t>
    </r>
    <r>
      <rPr>
        <sz val="10"/>
        <color theme="1"/>
        <rFont val="Times New Roman"/>
        <family val="1"/>
      </rPr>
      <t xml:space="preserve"> / BW x ID</t>
    </r>
  </si>
  <si>
    <t>- APDR	= Acute potential dose rate (mg/day)
-  EFint = The exposure days in the numerator will typically be 22 days/yr when the total exposure days/yr is &gt;22 days/yr or equal to the total exposure days/yr if the total is &lt;22 days/yr. This maximizes the number of exposure days in the Intermediate timeframe, accounting for days off.  However, we may adjust this approach if we have specific information about the OES. For example, if we know that facilities operate using a single, week-long campaign, once per month (i.e., 7 days/month x 12 months). In this case, we would use 7 days for the Intermediate exposure days.
- ID = 30 days
- BW = Body weight: 80 kg (average adult worker), 72.4 kg (woman of childbearing age)
- IADD	=	Intermediate average daily dose (mg/kg-day)</t>
  </si>
  <si>
    <t>ADD = APDR x EF x WY/ (BW x 365days/yr x WY)</t>
  </si>
  <si>
    <t>-APDR = Acute potential dose rate (mg/day)
- BW = Body weight: 80 kg (average adult worker), 72.4 kg (woman of childbearing age)
- EF = 2 to 250 days depending on OES
- WY = 31 (central tendency) to 40 yr (high-end)</t>
  </si>
  <si>
    <t>LADD = APDR x EF x WY/ (BW x 365days/yr x LT)</t>
  </si>
  <si>
    <t>-APDR = Acute potential dose rate (mg/day)
- BW = Body weight: 80 kg (average adult worker), 72.4 kg (woman of childbearing age)
- EF = 2 to 250 days depending on OES
- WY = 31 (central tendency) to 40 yr (high-end)
- LT = Lifetime (78 years)</t>
  </si>
  <si>
    <t>Dermal Exposure Risk Calculations</t>
  </si>
  <si>
    <t>HED / ARD</t>
  </si>
  <si>
    <t>HED / SCRD</t>
  </si>
  <si>
    <t>HED / CRD (non-cancer)</t>
  </si>
  <si>
    <t>HED * CRD (cancer)</t>
  </si>
  <si>
    <t>Occupational Exposure Scenario</t>
  </si>
  <si>
    <t>Inhalation Exposure</t>
  </si>
  <si>
    <t>Personal Protective Equipment (PPE)</t>
  </si>
  <si>
    <t>Dermal</t>
  </si>
  <si>
    <t>Select the Occupational Exposure Scenario (select)</t>
  </si>
  <si>
    <t>Data Type
(Auto-Fill)</t>
  </si>
  <si>
    <t>Respirator Protection Factor (Select)</t>
  </si>
  <si>
    <t>Glove Protection Factor (Select)</t>
  </si>
  <si>
    <t>Worker Type
(Default)</t>
  </si>
  <si>
    <t>Application of paints and coatings</t>
  </si>
  <si>
    <t>Female of Reproductive Age</t>
  </si>
  <si>
    <t>Inhalation</t>
  </si>
  <si>
    <t>Aggregate Inhalation and Dermal</t>
  </si>
  <si>
    <t>Exposure Outputs</t>
  </si>
  <si>
    <t>Category</t>
  </si>
  <si>
    <t>Exposure Level</t>
  </si>
  <si>
    <t>Acute Dose</t>
  </si>
  <si>
    <t>Intermediate, Non-Cancer Exposures</t>
  </si>
  <si>
    <t>Average Daily Dose, Chronic Non-Cancer Exposures</t>
  </si>
  <si>
    <t>Lifetime Average Daily Dose, Cancer</t>
  </si>
  <si>
    <t>Intermediate Average Daily Dose</t>
  </si>
  <si>
    <t>AD (mg/kg/day)</t>
  </si>
  <si>
    <t>IADD (mg/kg/day)</t>
  </si>
  <si>
    <t>ADD (mg/kg/day)</t>
  </si>
  <si>
    <t>LADD (mg/kg/day)</t>
  </si>
  <si>
    <t>ADD, non-cancer (mg/kg/day)</t>
  </si>
  <si>
    <t>LADD, cancer (mg/kg/day)</t>
  </si>
  <si>
    <t>AD ((mg/kg/day))</t>
  </si>
  <si>
    <t>High-End</t>
  </si>
  <si>
    <t>Central Tendency</t>
  </si>
  <si>
    <t>ONU</t>
  </si>
  <si>
    <t>Risk Estimation for Acute, Non-Cancer Inhalation Exposures</t>
  </si>
  <si>
    <t>Risk Estimation for Acute, Non-Cancer Dermal Exposures</t>
  </si>
  <si>
    <t>Risk Estimation for Acute, Non-Cancer Aggregate Exposures</t>
  </si>
  <si>
    <t>Health Effect, Endpoint and Study</t>
  </si>
  <si>
    <t>POD (mg/kg/day)</t>
  </si>
  <si>
    <t>Benchmark MOE 
(= Total UF)</t>
  </si>
  <si>
    <t>Acute Exposure Estimates</t>
  </si>
  <si>
    <t>Gloved Scenarios</t>
  </si>
  <si>
    <t>Respirator and Glove Scenario</t>
  </si>
  <si>
    <t>Worker MOE</t>
  </si>
  <si>
    <t>ONU MOE</t>
  </si>
  <si>
    <t>Worker MOE, No Gloves</t>
  </si>
  <si>
    <t>ONU MOE, No Gloves</t>
  </si>
  <si>
    <t>Tox1</t>
  </si>
  <si>
    <t>Risk Estimation for Intermediate, Non-Cancer Inhalation Exposures</t>
  </si>
  <si>
    <t>Risk Estimation for Intermediate, Non-Cancer Dermal Exposures</t>
  </si>
  <si>
    <t>Risk Estimation for Intermediate, Non-Cancer Aggregate Exposures</t>
  </si>
  <si>
    <t>Intermediate Exposure Estimates</t>
  </si>
  <si>
    <t>Tox2</t>
  </si>
  <si>
    <t>Risk Estimation for Chronic, Non-Cancer Inhalation Exposures</t>
  </si>
  <si>
    <t>Risk Estimation for Chronic, Non-Cancer Dermal Exposures</t>
  </si>
  <si>
    <t>Risk Estimation for Chronic, Non-Cancer Aggregate Exposures</t>
  </si>
  <si>
    <t>Chronic Exposure Estimates</t>
  </si>
  <si>
    <t>HED (mg/kg)</t>
  </si>
  <si>
    <t>Tox3</t>
  </si>
  <si>
    <t>Cancer Risks</t>
  </si>
  <si>
    <t>Chronic Cancer Exposure Estimates</t>
  </si>
  <si>
    <t>Aggregate Cancer Risks</t>
  </si>
  <si>
    <t>Risk Estimate</t>
  </si>
  <si>
    <r>
      <t>CSF (mg/kg-day</t>
    </r>
    <r>
      <rPr>
        <b/>
        <vertAlign val="superscript"/>
        <sz val="10"/>
        <color theme="1"/>
        <rFont val="Times New Roman"/>
        <family val="1"/>
      </rPr>
      <t>-1</t>
    </r>
    <r>
      <rPr>
        <b/>
        <sz val="10"/>
        <color theme="1"/>
        <rFont val="Times New Roman"/>
        <family val="1"/>
      </rPr>
      <t>)</t>
    </r>
  </si>
  <si>
    <t>Benchmark</t>
  </si>
  <si>
    <t xml:space="preserve">Worker </t>
  </si>
  <si>
    <t xml:space="preserve">ONU </t>
  </si>
  <si>
    <t>Worker No Gloves</t>
  </si>
  <si>
    <t>ONU No Gloves</t>
  </si>
  <si>
    <t>Worker</t>
  </si>
  <si>
    <t>Tox4</t>
  </si>
  <si>
    <t>Inhalation Cancer Risk Estimates</t>
  </si>
  <si>
    <t>Cancer Risk</t>
  </si>
  <si>
    <t>Dermal Cancer Risk Estimates</t>
  </si>
  <si>
    <t>Aggregate Cancer Risk Estimates</t>
  </si>
  <si>
    <t>ONU: 50th Percentile</t>
  </si>
  <si>
    <t>Baseline Worker</t>
  </si>
  <si>
    <t>ONU: 95th Percentile</t>
  </si>
  <si>
    <t>Worker: 50th Percentile</t>
  </si>
  <si>
    <t>Worker: 95th Percentile</t>
  </si>
  <si>
    <t>PVC Plastics Compounding</t>
  </si>
  <si>
    <t>8-hr TWA Inhalation Exposures</t>
  </si>
  <si>
    <t>Acute Exposures</t>
  </si>
  <si>
    <t>Chronic, Non-Cancer Exposures</t>
  </si>
  <si>
    <t>Chronic, Cancer Exposures</t>
  </si>
  <si>
    <t>Acute Retained Dose</t>
  </si>
  <si>
    <t>Chronic Retained Dose, Non-Cancer</t>
  </si>
  <si>
    <t>Chronic Retained Dose, Cancer</t>
  </si>
  <si>
    <t>AD (mg/kg-day)</t>
  </si>
  <si>
    <t>ADD (mg/kg-day)</t>
  </si>
  <si>
    <t>LADD (mg/kg-day)</t>
  </si>
  <si>
    <t>Risk Estimation for Inhalation Exposures</t>
  </si>
  <si>
    <t>Risk Estimation for Dermal Exposures</t>
  </si>
  <si>
    <t>Risk Type</t>
  </si>
  <si>
    <t>Toxicity Endpoint</t>
  </si>
  <si>
    <t>Study</t>
  </si>
  <si>
    <t>POD (mg/kg/day) or IUR (ppm-1)</t>
  </si>
  <si>
    <t>Assigned Protection Factor (APF)</t>
  </si>
  <si>
    <t>No Gloves</t>
  </si>
  <si>
    <t>Protection Factor (PF)</t>
  </si>
  <si>
    <t>No Respirator</t>
  </si>
  <si>
    <t>Acute, Non-Cancer</t>
  </si>
  <si>
    <t>Intermediate, Non-Cancer</t>
  </si>
  <si>
    <t>Chronic, Non-Cancer</t>
  </si>
  <si>
    <t>Chronic, Cancer</t>
  </si>
  <si>
    <t>=</t>
  </si>
  <si>
    <t>Use of Lubricants and Functional Fluids</t>
  </si>
  <si>
    <t>Worker Type</t>
  </si>
  <si>
    <t>AD, 24-hr TWA (mg/kg/day)</t>
  </si>
  <si>
    <t>ADD, 24-hr TWA (mg/kg/day)</t>
  </si>
  <si>
    <t>LADD, 24-hr TWA (mg/kg/day)</t>
  </si>
  <si>
    <t>Risk Estimation for Aggregate Exposures</t>
  </si>
  <si>
    <t>Glove Protection Factor</t>
  </si>
  <si>
    <t>Respirator Assigned Protection Factors</t>
  </si>
  <si>
    <t>Exposure Days/yr</t>
  </si>
  <si>
    <t>Eight Hour  TWA Exposures - Vapor</t>
  </si>
  <si>
    <t>Eight Hour  TWA Exposures - Mist</t>
  </si>
  <si>
    <t>Eight Hour  TWA Exposures - Dust</t>
  </si>
  <si>
    <t>Eight Hour  TWA Exposures - All Routes</t>
  </si>
  <si>
    <t>Chronic Average Daily Dose, Non-Cancer Exposures</t>
  </si>
  <si>
    <t>Chronic Lifetime Average Daily Dose, Cancer Exposures</t>
  </si>
  <si>
    <t>C, 8-hr TWA (mg/m)</t>
  </si>
  <si>
    <t>IADD (mg/m3)</t>
  </si>
  <si>
    <t>Column1</t>
  </si>
  <si>
    <t>OES Group</t>
  </si>
  <si>
    <t>OES</t>
  </si>
  <si>
    <t>Vapor Exposure Scenario</t>
  </si>
  <si>
    <t>ED_High-End</t>
  </si>
  <si>
    <t>ED_Central Tendency</t>
  </si>
  <si>
    <t>Vapor HE</t>
  </si>
  <si>
    <t>Vapor CT</t>
  </si>
  <si>
    <t>Mist HE</t>
  </si>
  <si>
    <t>Mist CT</t>
  </si>
  <si>
    <t>Dust HE</t>
  </si>
  <si>
    <t>Dust CT</t>
  </si>
  <si>
    <t>All Routes HE</t>
  </si>
  <si>
    <t>All Routes CT</t>
  </si>
  <si>
    <t>24hr_High-End</t>
  </si>
  <si>
    <t>24hr_Central Tendency</t>
  </si>
  <si>
    <t>Int_High-End</t>
  </si>
  <si>
    <t>Int_Central Tendency</t>
  </si>
  <si>
    <t>ADD_High-End</t>
  </si>
  <si>
    <t>ADD_Central Tendency</t>
  </si>
  <si>
    <t>LADD_High-End</t>
  </si>
  <si>
    <t>LADD_Central Tendency</t>
  </si>
  <si>
    <t>Eight-Hour TWA Data Points</t>
  </si>
  <si>
    <t>Total Data Points</t>
  </si>
  <si>
    <t>Sources &amp; Notes</t>
  </si>
  <si>
    <t>Data Type</t>
  </si>
  <si>
    <t>Import and Repackaging (Liquid)</t>
  </si>
  <si>
    <t>8-hr</t>
  </si>
  <si>
    <t xml:space="preserve">MFG as surrogate for vapor.  </t>
  </si>
  <si>
    <t>Monitoring Data</t>
  </si>
  <si>
    <t>Average Adult Worker</t>
  </si>
  <si>
    <t>Import and Repackaging (Solid)</t>
  </si>
  <si>
    <t>None</t>
  </si>
  <si>
    <t>PNOR Dust Model for dust.</t>
  </si>
  <si>
    <t>Modeled Data</t>
  </si>
  <si>
    <t>Manufacturing</t>
  </si>
  <si>
    <t>5 data points from one source (HERO ID: 5348378). HE = Highest data point. CT = median</t>
  </si>
  <si>
    <t>Central Tendancy of Worker used  for ONU bounding exposure.</t>
  </si>
  <si>
    <t>Incorporation into Adhesives and Sealants (Liquid)</t>
  </si>
  <si>
    <t>One data point from (HERO ID: 5155569) that was below the limit of detection HE= LOD, CT=LOD/2</t>
  </si>
  <si>
    <t>Incorporation into Adhesives and Sealants (Solid)</t>
  </si>
  <si>
    <t>Incorporation into Other Formulations, Mixtures, or Reaction Products (Liquid)</t>
  </si>
  <si>
    <t>Incorporation into Other Formulations, Mixtures, or Reaction Products (Solid)</t>
  </si>
  <si>
    <t>Incorporation into Paints and Coatings (Liquid)</t>
  </si>
  <si>
    <t>Incorporation into Paints and Coatings (Solid)</t>
  </si>
  <si>
    <t>Non-PVC Materials Compounding</t>
  </si>
  <si>
    <t>Surrogate Monitoring data from PVC Converting</t>
  </si>
  <si>
    <t>Non-PVC Materials Converting</t>
  </si>
  <si>
    <t>PVC Plastics Converting</t>
  </si>
  <si>
    <t xml:space="preserve">Monitoring data from 2 source (OSHA - dust, and ECJRC  - vapor). </t>
  </si>
  <si>
    <t>Application of Adhesives and Sealants</t>
  </si>
  <si>
    <t>Two data points from HERO ID 5155569 (vapor) and modeling using the spray mist model</t>
  </si>
  <si>
    <t>Mixed Modeled and Monitoring Data</t>
  </si>
  <si>
    <t>Use of Laboratory Chemicals (Liquid)</t>
  </si>
  <si>
    <t>Use of Laboratory Chemicals (Solid)</t>
  </si>
  <si>
    <t>Surrogate monitoring data from Application of adhesives/sealants</t>
  </si>
  <si>
    <t>Fabrication or Use of Final Products and Articles</t>
  </si>
  <si>
    <t>PNOR for NAICS 337 - Furniture and Related Product Manufacturing (respirable, assessed at 45% based on conservative concentration for plastic products)</t>
  </si>
  <si>
    <t>Recycling</t>
  </si>
  <si>
    <t>PNOR for Administrative and Support and Waste Management and Remediation Services (Respirable, assessed at 45%)</t>
  </si>
  <si>
    <t>Waste handling, treatment, and disposal</t>
  </si>
  <si>
    <t>\</t>
  </si>
  <si>
    <t>Dermal Dose - Liquid Exposure</t>
  </si>
  <si>
    <t>Dermal Dose - Solid Exposure</t>
  </si>
  <si>
    <t>Acute Retained Dose - Adjusted for Category Type</t>
  </si>
  <si>
    <t>Intermediate Average Daily Dose, Non-Cancer</t>
  </si>
  <si>
    <t>Average Daily Dose, Chronic Non-Cancer</t>
  </si>
  <si>
    <t>Lifetime Average Daily Dose, Chronic Cancer</t>
  </si>
  <si>
    <t>Acute Retained Dose (mg/kg-day)</t>
  </si>
  <si>
    <t>sort</t>
  </si>
  <si>
    <t>High-End Exposure to Liquid</t>
  </si>
  <si>
    <t xml:space="preserve"> Central Tendency Exposure to Liquids</t>
  </si>
  <si>
    <t>High-End Exposure to Solids</t>
  </si>
  <si>
    <t>Central Tendency  Exposure to Solids</t>
  </si>
  <si>
    <t>High-End AD (mg/kg-day)</t>
  </si>
  <si>
    <t>Central Tendency AD (mg/kg-day)</t>
  </si>
  <si>
    <r>
      <t>High-End IADD</t>
    </r>
    <r>
      <rPr>
        <b/>
        <vertAlign val="subscript"/>
        <sz val="10"/>
        <rFont val="Times New Roman"/>
        <family val="1"/>
      </rPr>
      <t xml:space="preserve"> </t>
    </r>
    <r>
      <rPr>
        <b/>
        <sz val="10"/>
        <rFont val="Times New Roman"/>
        <family val="1"/>
      </rPr>
      <t>(mg/kg-day)</t>
    </r>
  </si>
  <si>
    <t>Central Tendency IADD (mg/kg-day)</t>
  </si>
  <si>
    <t>High-End ADD (mg/kg-day)</t>
  </si>
  <si>
    <t>Central Tendency ADD (mg/kg-day)</t>
  </si>
  <si>
    <t>High-End LADD (mg/kg-day)</t>
  </si>
  <si>
    <t>Central Tendency LADD (mg/kg-day)</t>
  </si>
  <si>
    <t>Application of Paints and Coatings</t>
  </si>
  <si>
    <t>Population</t>
  </si>
  <si>
    <t>Inhalation Exposure Estimates</t>
  </si>
  <si>
    <t>Dermal Exposure Estimates</t>
  </si>
  <si>
    <t>Aggregate Exposure Estimates</t>
  </si>
  <si>
    <t>Acute</t>
  </si>
  <si>
    <t>Intermed.</t>
  </si>
  <si>
    <r>
      <t>Chroni</t>
    </r>
    <r>
      <rPr>
        <sz val="9.5"/>
        <color rgb="FF000000"/>
        <rFont val="Times New Roman"/>
        <family val="1"/>
      </rPr>
      <t>c</t>
    </r>
  </si>
  <si>
    <t>Cancer</t>
  </si>
  <si>
    <t>Inhalation Risk Estimates</t>
  </si>
  <si>
    <t>Dermal Risk Estimates (Benchmark MOE = 30)</t>
  </si>
  <si>
    <t>Aggregate Risk Estimates (Benchmark MOE = 30)</t>
  </si>
  <si>
    <t>Benchmark:</t>
  </si>
  <si>
    <t>N/A</t>
  </si>
  <si>
    <t>POD</t>
  </si>
  <si>
    <t>Exposure</t>
  </si>
  <si>
    <t>8-hr TWA</t>
  </si>
  <si>
    <t>Acute Potential Dose Rate</t>
  </si>
  <si>
    <t>APDR (mg/day)</t>
  </si>
  <si>
    <t>Worker Population</t>
  </si>
  <si>
    <t>Exposure Concentration Type</t>
  </si>
  <si>
    <r>
      <t>High-End</t>
    </r>
    <r>
      <rPr>
        <sz val="11"/>
        <color rgb="FF000000"/>
        <rFont val="Times New Roman"/>
        <family val="1"/>
      </rPr>
      <t> </t>
    </r>
  </si>
  <si>
    <t>8-hr TWA Exposure Concentration (mg/m3) - All Routes</t>
  </si>
  <si>
    <t>Dose Rate (APDR, mg/day)</t>
  </si>
  <si>
    <t>Acute (AD, mg/kg-day)</t>
  </si>
  <si>
    <t>Intermediate (IADD, mg/kg-day)</t>
  </si>
  <si>
    <t>Chronic, Non-Cancer (ADD, mg/kg-day)</t>
  </si>
  <si>
    <t>Chronic, Cancer (LADD, mg/kg-day)</t>
  </si>
  <si>
    <r>
      <t>Intermediate Average Daily Dose, Non-Cancer Exposures (IADD) (mg/m</t>
    </r>
    <r>
      <rPr>
        <vertAlign val="superscript"/>
        <sz val="11"/>
        <color theme="1"/>
        <rFont val="Times New Roman"/>
        <family val="1"/>
      </rPr>
      <t>3</t>
    </r>
    <r>
      <rPr>
        <sz val="11"/>
        <color theme="1"/>
        <rFont val="Times New Roman"/>
        <family val="1"/>
      </rPr>
      <t>)</t>
    </r>
  </si>
  <si>
    <t>Chronic Average Daily Dose, Non-Cancer Exposures (ADD) (mg/kg/day)</t>
  </si>
  <si>
    <t>Chronic Lifetime Daily Dose, Cancer Exposures (LADD) (mg/kg/day)</t>
  </si>
  <si>
    <t>Look-up Values and Risk Parameter Values</t>
  </si>
  <si>
    <t>AEGL Table</t>
  </si>
  <si>
    <t>AEGL-1</t>
  </si>
  <si>
    <t>AEGL-2</t>
  </si>
  <si>
    <t>AEGL-3</t>
  </si>
  <si>
    <t>Look-up Table Values</t>
  </si>
  <si>
    <t>Code</t>
  </si>
  <si>
    <t>AEGL-1 HEC (mg/m3)</t>
  </si>
  <si>
    <t>AEGL-1 HEC (ppm)</t>
  </si>
  <si>
    <t>AEGL-2 HEC (mg/m3)</t>
  </si>
  <si>
    <t>AEGL-2 HEC (ppm)</t>
  </si>
  <si>
    <t>AEGL-3 HEC (mg/m3)</t>
  </si>
  <si>
    <t>AEGL-3 HEC (ppm)</t>
  </si>
  <si>
    <t>HEC Percentiles</t>
  </si>
  <si>
    <t>Exposure Percentiles</t>
  </si>
  <si>
    <t>Target Cancer Risk Level</t>
  </si>
  <si>
    <t>AEGLs</t>
  </si>
  <si>
    <t>Unknown</t>
  </si>
  <si>
    <t>Maximum</t>
  </si>
  <si>
    <t>99th Percentile</t>
  </si>
  <si>
    <t>HEC</t>
  </si>
  <si>
    <t>95th Percentile</t>
  </si>
  <si>
    <t>50th Percentile</t>
  </si>
  <si>
    <t>Toxicity Table</t>
  </si>
  <si>
    <t>Acute and Chronic, Non-Cancer Parameters</t>
  </si>
  <si>
    <t>Cancer Parameters</t>
  </si>
  <si>
    <t>5th Percentile</t>
  </si>
  <si>
    <t>Health Effect</t>
  </si>
  <si>
    <t>Endpoint</t>
  </si>
  <si>
    <t>HEC (mg/m3)</t>
  </si>
  <si>
    <t>HEC (ppm)</t>
  </si>
  <si>
    <t>HED / POD (mg/kg/day)</t>
  </si>
  <si>
    <t>Benchmark MOE</t>
  </si>
  <si>
    <r>
      <t>IUR (ppm</t>
    </r>
    <r>
      <rPr>
        <b/>
        <vertAlign val="superscript"/>
        <sz val="10"/>
        <rFont val="Times New Roman"/>
        <family val="1"/>
      </rPr>
      <t>-1</t>
    </r>
    <r>
      <rPr>
        <b/>
        <sz val="10"/>
        <rFont val="Times New Roman"/>
        <family val="1"/>
      </rPr>
      <t>)</t>
    </r>
  </si>
  <si>
    <r>
      <t>CSF (mg/kg-day</t>
    </r>
    <r>
      <rPr>
        <b/>
        <vertAlign val="superscript"/>
        <sz val="10"/>
        <rFont val="Times New Roman"/>
        <family val="1"/>
      </rPr>
      <t>-1</t>
    </r>
    <r>
      <rPr>
        <b/>
        <sz val="10"/>
        <rFont val="Times New Roman"/>
        <family val="1"/>
      </rPr>
      <t>)</t>
    </r>
  </si>
  <si>
    <t>Minimum</t>
  </si>
  <si>
    <t>Phthalate syndrome-related effects</t>
  </si>
  <si>
    <t>--</t>
  </si>
  <si>
    <t>Mean</t>
  </si>
  <si>
    <t>HEC conversion factor</t>
  </si>
  <si>
    <r>
      <t>ppm/mg/m</t>
    </r>
    <r>
      <rPr>
        <vertAlign val="superscript"/>
        <sz val="10"/>
        <color theme="1"/>
        <rFont val="Times New Roman"/>
        <family val="1"/>
      </rPr>
      <t>3</t>
    </r>
  </si>
  <si>
    <t>BBP MW</t>
  </si>
  <si>
    <t>g/mol</t>
  </si>
  <si>
    <t>Occupational Exposure Scenarios</t>
  </si>
  <si>
    <t>Exposure Data Types</t>
  </si>
  <si>
    <t>Manufacturing - 8-hr TWA</t>
  </si>
  <si>
    <t>1a</t>
  </si>
  <si>
    <t>Manufacturing - 12-hr TWA</t>
  </si>
  <si>
    <t>1b</t>
  </si>
  <si>
    <t>Value</t>
  </si>
  <si>
    <t>Unit</t>
  </si>
  <si>
    <t>MW</t>
  </si>
  <si>
    <t>Repackaging</t>
  </si>
  <si>
    <t>Molar Volume</t>
  </si>
  <si>
    <t>L/mol</t>
  </si>
  <si>
    <t>Processing as Reactant/Intermediate - 8-hr TWA</t>
  </si>
  <si>
    <t>12a</t>
  </si>
  <si>
    <t>Parameter Name</t>
  </si>
  <si>
    <t>Symbol</t>
  </si>
  <si>
    <t>Processing as Reactant/Intermediate - 12-hr TWA</t>
  </si>
  <si>
    <t>12b</t>
  </si>
  <si>
    <t>BMDL Percentile</t>
  </si>
  <si>
    <t>Exposure Duration (8-hr)</t>
  </si>
  <si>
    <t>ED_8</t>
  </si>
  <si>
    <t xml:space="preserve">hr/day </t>
  </si>
  <si>
    <t>Exposure Duration (10-hr)</t>
  </si>
  <si>
    <t>ED_10</t>
  </si>
  <si>
    <t>Incorporation into Formulation - Aerosol Packing</t>
  </si>
  <si>
    <t>13a</t>
  </si>
  <si>
    <t>Acute Exposure Averaging Time</t>
  </si>
  <si>
    <t>AT</t>
  </si>
  <si>
    <t>Incorporation into Formulation - Degreasing Solvent</t>
  </si>
  <si>
    <t>13b</t>
  </si>
  <si>
    <t xml:space="preserve">Exposure Frequency </t>
  </si>
  <si>
    <t>EF</t>
  </si>
  <si>
    <t xml:space="preserve">day/yr </t>
  </si>
  <si>
    <t>Incorporation into Formulation - Dry Cleaning Solvent</t>
  </si>
  <si>
    <t>13c</t>
  </si>
  <si>
    <t>Assigned Respirator Protection Factor</t>
  </si>
  <si>
    <t>Exposure Frequency (Intermediate)</t>
  </si>
  <si>
    <t>EFint</t>
  </si>
  <si>
    <t>Incorporation into Formulation - Miscellaneous</t>
  </si>
  <si>
    <t>13d</t>
  </si>
  <si>
    <t>Days for Intermediate Duration</t>
  </si>
  <si>
    <t>ID</t>
  </si>
  <si>
    <t>Open-top Vapor Degreasing</t>
  </si>
  <si>
    <t>2a</t>
  </si>
  <si>
    <t>Working Years Per Lifetime (Mid)</t>
  </si>
  <si>
    <t>WY_mid</t>
  </si>
  <si>
    <t xml:space="preserve">yr </t>
  </si>
  <si>
    <t>Working Years Per Lifetime (High)</t>
  </si>
  <si>
    <t>WY_high</t>
  </si>
  <si>
    <t>Closed Loop Vapor Degreasing</t>
  </si>
  <si>
    <t>Lifetime Years for LADD</t>
  </si>
  <si>
    <t>LT</t>
  </si>
  <si>
    <t>Averaging time For ADD (Mid)</t>
  </si>
  <si>
    <t>AT_mid</t>
  </si>
  <si>
    <t xml:space="preserve">hr </t>
  </si>
  <si>
    <t>Conveyorized Vapor Degreasing</t>
  </si>
  <si>
    <t>Averaging time For ADD (High)</t>
  </si>
  <si>
    <t>AT_high</t>
  </si>
  <si>
    <t>Averaging time For LADD</t>
  </si>
  <si>
    <t>ATc</t>
  </si>
  <si>
    <t>Web Degreasing</t>
  </si>
  <si>
    <t>Assigned Glove Protection Factor</t>
  </si>
  <si>
    <t>General uses, PF = 5</t>
  </si>
  <si>
    <t>Commercial uses, PF = 10</t>
  </si>
  <si>
    <t>Cold Cleaning</t>
  </si>
  <si>
    <t>6a</t>
  </si>
  <si>
    <t>Industrial uses, PF = 20</t>
  </si>
  <si>
    <t>6b</t>
  </si>
  <si>
    <t>Aerosol Degreasing/Lubricants</t>
  </si>
  <si>
    <t>7a</t>
  </si>
  <si>
    <t>7b</t>
  </si>
  <si>
    <t>Post-2006 Dry Cleaning (including spot cleaning)</t>
  </si>
  <si>
    <t>8a</t>
  </si>
  <si>
    <t>4th/5th Gen Only Dry Cleaning (including spot cleaning)</t>
  </si>
  <si>
    <t>8b</t>
  </si>
  <si>
    <t>8c</t>
  </si>
  <si>
    <t>Paints/Coatings (commercial)</t>
  </si>
  <si>
    <t>9a</t>
  </si>
  <si>
    <t>Paints/Coatings (industrial)</t>
  </si>
  <si>
    <t>9b</t>
  </si>
  <si>
    <t>Adhesives (commercial)</t>
  </si>
  <si>
    <t>9c</t>
  </si>
  <si>
    <t>Adhesives (industrial)</t>
  </si>
  <si>
    <t>9d</t>
  </si>
  <si>
    <t>Chemical Maskant</t>
  </si>
  <si>
    <t>Industrial Processing Aid</t>
  </si>
  <si>
    <t>Other Industrial Uses - Miscellaneous</t>
  </si>
  <si>
    <t>15a</t>
  </si>
  <si>
    <t>Other Industrial Uses - Textile Processing</t>
  </si>
  <si>
    <t>15b</t>
  </si>
  <si>
    <t>Other Industrial Uses - Wood Furniture Manufacturing</t>
  </si>
  <si>
    <t>15c</t>
  </si>
  <si>
    <t>Other Industrial Uses - Foundry Applications</t>
  </si>
  <si>
    <t>15d</t>
  </si>
  <si>
    <t>Metalworking Fluid</t>
  </si>
  <si>
    <t>Wipe Cleaning and Metal/Stone Polishes</t>
  </si>
  <si>
    <t>Other Spot Cleaning/Spot Removers (Including Carpet Cleaning)</t>
  </si>
  <si>
    <t>Other Commercial Uses - Printing</t>
  </si>
  <si>
    <t>19a</t>
  </si>
  <si>
    <t>Other Commercial Uses - Photocopying</t>
  </si>
  <si>
    <t>19b</t>
  </si>
  <si>
    <t>Other Commercial Uses - Photographic Film</t>
  </si>
  <si>
    <t>19c</t>
  </si>
  <si>
    <t>Other Commercial Uses - Mold Release</t>
  </si>
  <si>
    <t>19d</t>
  </si>
  <si>
    <t>Other DOD Uses - Water Pipe Repair</t>
  </si>
  <si>
    <t>20a</t>
  </si>
  <si>
    <t>Other DOD Uses - Oil analysis</t>
  </si>
  <si>
    <t>20b</t>
  </si>
  <si>
    <t>Disposal/Recycling and Disposal</t>
  </si>
  <si>
    <t>Laboratory Chemicals</t>
  </si>
  <si>
    <t>Exposure Factors</t>
  </si>
  <si>
    <t>Characterization of Value</t>
  </si>
  <si>
    <t>Notes on Values:</t>
  </si>
  <si>
    <t>Body Weight, BW (kg)</t>
  </si>
  <si>
    <t>Per the exposure factors handbook 80 kg is the mean body weight for all adults. The "Female of Reproductive Age" weight is the mean for women 16-50 (listed below).</t>
  </si>
  <si>
    <r>
      <t>1 Hand Surface Area (cm</t>
    </r>
    <r>
      <rPr>
        <b/>
        <vertAlign val="superscript"/>
        <sz val="10"/>
        <color theme="1"/>
        <rFont val="Times New Roman"/>
        <family val="1"/>
      </rPr>
      <t>2</t>
    </r>
    <r>
      <rPr>
        <b/>
        <sz val="10"/>
        <color theme="1"/>
        <rFont val="Times New Roman"/>
        <family val="1"/>
      </rPr>
      <t>)</t>
    </r>
  </si>
  <si>
    <r>
      <t>535/1070 cm</t>
    </r>
    <r>
      <rPr>
        <vertAlign val="superscript"/>
        <sz val="10"/>
        <color theme="1"/>
        <rFont val="Times New Roman"/>
        <family val="1"/>
      </rPr>
      <t>2</t>
    </r>
    <r>
      <rPr>
        <sz val="10"/>
        <color theme="1"/>
        <rFont val="Times New Roman"/>
        <family val="1"/>
      </rPr>
      <t xml:space="preserve"> is the average male 1 hand/2 hand area and 445/890 cm</t>
    </r>
    <r>
      <rPr>
        <vertAlign val="superscript"/>
        <sz val="10"/>
        <color theme="1"/>
        <rFont val="Times New Roman"/>
        <family val="1"/>
      </rPr>
      <t>2</t>
    </r>
    <r>
      <rPr>
        <sz val="10"/>
        <color theme="1"/>
        <rFont val="Times New Roman"/>
        <family val="1"/>
      </rPr>
      <t xml:space="preserve"> is the female average.</t>
    </r>
  </si>
  <si>
    <r>
      <t>2 Hand Surface Area (cm</t>
    </r>
    <r>
      <rPr>
        <b/>
        <vertAlign val="superscript"/>
        <sz val="10"/>
        <color theme="1"/>
        <rFont val="Times New Roman"/>
        <family val="1"/>
      </rPr>
      <t>2</t>
    </r>
    <r>
      <rPr>
        <b/>
        <sz val="10"/>
        <color theme="1"/>
        <rFont val="Times New Roman"/>
        <family val="1"/>
      </rPr>
      <t>)</t>
    </r>
  </si>
  <si>
    <t>Working Years - High-End (yr)</t>
  </si>
  <si>
    <t>Working Years - Central Tendency (yr)</t>
  </si>
  <si>
    <t>Lifetime</t>
  </si>
  <si>
    <r>
      <t>Worker Breathing Rate (m</t>
    </r>
    <r>
      <rPr>
        <vertAlign val="superscript"/>
        <sz val="10"/>
        <color theme="1"/>
        <rFont val="Times New Roman"/>
        <family val="1"/>
      </rPr>
      <t>3</t>
    </r>
    <r>
      <rPr>
        <sz val="10"/>
        <color theme="1"/>
        <rFont val="Times New Roman"/>
        <family val="1"/>
      </rPr>
      <t>/hr)</t>
    </r>
  </si>
  <si>
    <t>Discrete</t>
  </si>
  <si>
    <t>Worker breathing rate is the combined average for men and women.</t>
  </si>
  <si>
    <r>
      <t>Resting Breathing Rate (m</t>
    </r>
    <r>
      <rPr>
        <vertAlign val="superscript"/>
        <sz val="10"/>
        <color theme="1"/>
        <rFont val="Times New Roman"/>
        <family val="1"/>
      </rPr>
      <t>3</t>
    </r>
    <r>
      <rPr>
        <sz val="10"/>
        <color theme="1"/>
        <rFont val="Times New Roman"/>
        <family val="1"/>
      </rPr>
      <t>/hr)</t>
    </r>
  </si>
  <si>
    <t>Woman of Childbearing Age Exposure Factors:</t>
  </si>
  <si>
    <t>Body Weight:</t>
  </si>
  <si>
    <t>From the Exposure Factors Handbook Table 8-5: Mean and Percentile Body Weights (kg) for Females Derived from NHANES (1990-2006) (1)</t>
  </si>
  <si>
    <t>Age 16 to &lt;21 years: 65.9 kg (mean)</t>
  </si>
  <si>
    <t>Age 21 to &lt;30 years: 71.9 kg (mean)</t>
  </si>
  <si>
    <t>Age 30 to &lt;40 years: 74.8 kg (mean)</t>
  </si>
  <si>
    <t>Age 40 to &lt;50 years: 77.1 kg (mean)</t>
  </si>
  <si>
    <t>(1) U.S. Environmental Protection Agency (EPA). (2011) Exposure Factors Handbook: 2011 Edition. National Center for Environmental Assessment, Washington, DC; EPA/600/R-09/052F. Available from the National Technical Information Service, Springfield, VA, and online at http://www.epa.gov/ncea/efh.</t>
  </si>
  <si>
    <t xml:space="preserve">(2) U.S. Bureau of Labor Statistics (BLS), Current Population Survey (CPS) tenure data: Employee Tenure News Release (2014). http://www.bls.gov/news.release/archives/tenure_09182014.htm </t>
  </si>
  <si>
    <t>(3) U.S. Census Bureau, Survey of Income and Program Participation (SIPP): SIPP introduction and history (2019). https://www.census.gov/programs-surveys/sipp/about/sipp-introduction-history.html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</si>
</sst>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43" formatCode="_(* #,##0.00_);_(* \(#,##0.00\);_(* &quot;-&quot;??_);_(@_)"/>
    <numFmt numFmtId="164" formatCode="0.0"/>
    <numFmt numFmtId="165" formatCode="0.000"/>
    <numFmt numFmtId="166" formatCode="0.0E+00"/>
    <numFmt numFmtId="167" formatCode="0.0000"/>
    <numFmt numFmtId="168" formatCode="0.0%"/>
    <numFmt numFmtId="169" formatCode="0.000E+00"/>
    <numFmt numFmtId="170" formatCode="_(* #,##0_);_(* \(#,##0\);_(* &quot;-&quot;??_);_(@_)"/>
    <numFmt numFmtId="171" formatCode="0.00000000"/>
    <numFmt numFmtId="172" formatCode="0.0000E+00"/>
  </numFmts>
  <fonts count="41" x14ac:knownFonts="1">
    <font>
      <sz val="11"/>
      <color theme="1"/>
      <name val="Calibri"/>
      <family val="2"/>
      <scheme val="minor"/>
    </font>
    <font>
      <sz val="10"/>
      <name val="Arial"/>
      <family val="2"/>
    </font>
    <font>
      <sz val="8"/>
      <name val="Calibri"/>
      <family val="2"/>
      <scheme val="minor"/>
    </font>
    <font>
      <sz val="11"/>
      <color theme="1"/>
      <name val="Calibri"/>
      <family val="2"/>
      <scheme val="minor"/>
    </font>
    <font>
      <b/>
      <sz val="16"/>
      <color theme="1"/>
      <name val="Times New Roman"/>
      <family val="1"/>
    </font>
    <font>
      <b/>
      <i/>
      <sz val="14"/>
      <color theme="1"/>
      <name val="Times New Roman"/>
      <family val="1"/>
    </font>
    <font>
      <sz val="10"/>
      <color theme="1"/>
      <name val="Times New Roman"/>
      <family val="1"/>
    </font>
    <font>
      <sz val="11"/>
      <color theme="1"/>
      <name val="Times New Roman"/>
      <family val="1"/>
    </font>
    <font>
      <b/>
      <sz val="10"/>
      <color theme="1"/>
      <name val="Times New Roman"/>
      <family val="1"/>
    </font>
    <font>
      <b/>
      <sz val="10"/>
      <name val="Times New Roman"/>
      <family val="1"/>
    </font>
    <font>
      <b/>
      <vertAlign val="subscript"/>
      <sz val="10"/>
      <name val="Times New Roman"/>
      <family val="1"/>
    </font>
    <font>
      <b/>
      <vertAlign val="superscript"/>
      <sz val="10"/>
      <name val="Times New Roman"/>
      <family val="1"/>
    </font>
    <font>
      <sz val="10"/>
      <name val="Times New Roman"/>
      <family val="1"/>
    </font>
    <font>
      <sz val="10"/>
      <color rgb="FF000000"/>
      <name val="Times New Roman"/>
      <family val="1"/>
    </font>
    <font>
      <b/>
      <i/>
      <sz val="10"/>
      <name val="Times New Roman"/>
      <family val="1"/>
    </font>
    <font>
      <b/>
      <sz val="10"/>
      <color theme="8" tint="0.79998168889431442"/>
      <name val="Times New Roman"/>
      <family val="1"/>
    </font>
    <font>
      <b/>
      <sz val="10"/>
      <color rgb="FF000000"/>
      <name val="Times New Roman"/>
      <family val="1"/>
    </font>
    <font>
      <vertAlign val="superscript"/>
      <sz val="10"/>
      <color theme="1"/>
      <name val="Times New Roman"/>
      <family val="1"/>
    </font>
    <font>
      <sz val="10"/>
      <color rgb="FFFF0000"/>
      <name val="Times New Roman"/>
      <family val="1"/>
    </font>
    <font>
      <sz val="10"/>
      <color theme="0" tint="-4.9989318521683403E-2"/>
      <name val="Times New Roman"/>
      <family val="1"/>
    </font>
    <font>
      <u/>
      <sz val="10"/>
      <color theme="1"/>
      <name val="Times New Roman"/>
      <family val="1"/>
    </font>
    <font>
      <b/>
      <vertAlign val="superscript"/>
      <sz val="10"/>
      <color theme="1"/>
      <name val="Times New Roman"/>
      <family val="1"/>
    </font>
    <font>
      <b/>
      <sz val="10"/>
      <color theme="9" tint="0.79998168889431442"/>
      <name val="Times New Roman"/>
      <family val="1"/>
    </font>
    <font>
      <b/>
      <sz val="12"/>
      <name val="Times New Roman"/>
      <family val="1"/>
    </font>
    <font>
      <i/>
      <sz val="10"/>
      <color theme="1"/>
      <name val="Times New Roman"/>
      <family val="1"/>
    </font>
    <font>
      <b/>
      <sz val="12"/>
      <color theme="1"/>
      <name val="Times New Roman"/>
      <family val="1"/>
    </font>
    <font>
      <b/>
      <i/>
      <sz val="12"/>
      <name val="Times New Roman"/>
      <family val="1"/>
    </font>
    <font>
      <vertAlign val="subscript"/>
      <sz val="10"/>
      <color theme="1"/>
      <name val="Times New Roman"/>
      <family val="1"/>
    </font>
    <font>
      <sz val="10"/>
      <color theme="1"/>
      <name val="Calibri"/>
      <family val="2"/>
      <scheme val="minor"/>
    </font>
    <font>
      <b/>
      <sz val="10"/>
      <color theme="1"/>
      <name val="Calibri"/>
      <family val="2"/>
      <scheme val="minor"/>
    </font>
    <font>
      <b/>
      <sz val="11"/>
      <color rgb="FF000000"/>
      <name val="Times New Roman"/>
      <family val="1"/>
    </font>
    <font>
      <vertAlign val="superscript"/>
      <sz val="11"/>
      <color theme="1"/>
      <name val="Times New Roman"/>
      <family val="1"/>
    </font>
    <font>
      <b/>
      <sz val="9.5"/>
      <color rgb="FF000000"/>
      <name val="Times New Roman"/>
      <family val="1"/>
    </font>
    <font>
      <sz val="9.5"/>
      <color rgb="FF000000"/>
      <name val="Times New Roman"/>
      <family val="1"/>
    </font>
    <font>
      <sz val="11"/>
      <color theme="1"/>
      <name val="Calibri"/>
      <family val="2"/>
    </font>
    <font>
      <sz val="11"/>
      <name val="Calibri"/>
      <family val="2"/>
      <scheme val="minor"/>
    </font>
    <font>
      <sz val="11"/>
      <name val="Times New Roman"/>
      <family val="1"/>
    </font>
    <font>
      <sz val="11"/>
      <color rgb="FF000000"/>
      <name val="Times New Roman"/>
      <family val="1"/>
    </font>
    <font>
      <b/>
      <sz val="11"/>
      <name val="Times New Roman"/>
      <family val="1"/>
    </font>
    <font>
      <sz val="11"/>
      <color rgb="FF000000"/>
      <name val="Calibri"/>
      <family val="2"/>
      <scheme val="minor"/>
    </font>
    <font>
      <sz val="11"/>
      <color rgb="FFFF0000"/>
      <name val="Times New Roman"/>
      <family val="1"/>
    </font>
  </fonts>
  <fills count="17">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theme="8" tint="0.39994506668294322"/>
        <bgColor indexed="64"/>
      </patternFill>
    </fill>
    <fill>
      <patternFill patternType="solid">
        <fgColor theme="8" tint="0.39997558519241921"/>
        <bgColor indexed="64"/>
      </patternFill>
    </fill>
    <fill>
      <patternFill patternType="solid">
        <fgColor theme="4" tint="0.59999389629810485"/>
        <bgColor indexed="64"/>
      </patternFill>
    </fill>
    <fill>
      <patternFill patternType="solid">
        <fgColor theme="9" tint="-0.249977111117893"/>
        <bgColor indexed="64"/>
      </patternFill>
    </fill>
    <fill>
      <patternFill patternType="solid">
        <fgColor theme="8" tint="-0.249977111117893"/>
        <bgColor indexed="64"/>
      </patternFill>
    </fill>
    <fill>
      <patternFill patternType="solid">
        <fgColor theme="0" tint="-0.249977111117893"/>
        <bgColor indexed="64"/>
      </patternFill>
    </fill>
    <fill>
      <patternFill patternType="solid">
        <fgColor rgb="FFD9D9D9"/>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79998168889431442"/>
        <bgColor indexed="64"/>
      </patternFill>
    </fill>
    <fill>
      <patternFill patternType="solid">
        <fgColor rgb="FFF2F2F2"/>
        <bgColor indexed="64"/>
      </patternFill>
    </fill>
    <fill>
      <patternFill patternType="solid">
        <fgColor theme="9" tint="0.59999389629810485"/>
        <bgColor indexed="64"/>
      </patternFill>
    </fill>
    <fill>
      <patternFill patternType="solid">
        <fgColor theme="5" tint="-0.249977111117893"/>
        <bgColor indexed="64"/>
      </patternFill>
    </fill>
  </fills>
  <borders count="146">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bottom style="thin">
        <color auto="1"/>
      </bottom>
      <diagonal/>
    </border>
    <border>
      <left/>
      <right style="thin">
        <color auto="1"/>
      </right>
      <top/>
      <bottom/>
      <diagonal/>
    </border>
    <border>
      <left/>
      <right/>
      <top/>
      <bottom style="thin">
        <color auto="1"/>
      </bottom>
      <diagonal/>
    </border>
    <border>
      <left/>
      <right style="thin">
        <color auto="1"/>
      </right>
      <top/>
      <bottom style="thin">
        <color auto="1"/>
      </bottom>
      <diagonal/>
    </border>
    <border>
      <left style="medium">
        <color auto="1"/>
      </left>
      <right/>
      <top style="medium">
        <color auto="1"/>
      </top>
      <bottom style="thin">
        <color auto="1"/>
      </bottom>
      <diagonal/>
    </border>
    <border>
      <left/>
      <right/>
      <top style="dashed">
        <color auto="1"/>
      </top>
      <bottom/>
      <diagonal/>
    </border>
    <border>
      <left style="thin">
        <color auto="1"/>
      </left>
      <right/>
      <top/>
      <bottom style="dashed">
        <color auto="1"/>
      </bottom>
      <diagonal/>
    </border>
    <border>
      <left/>
      <right/>
      <top/>
      <bottom style="dashed">
        <color auto="1"/>
      </bottom>
      <diagonal/>
    </border>
    <border>
      <left/>
      <right style="thin">
        <color auto="1"/>
      </right>
      <top/>
      <bottom style="dashed">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auto="1"/>
      </left>
      <right style="thin">
        <color auto="1"/>
      </right>
      <top/>
      <bottom style="thin">
        <color auto="1"/>
      </bottom>
      <diagonal/>
    </border>
    <border>
      <left style="thin">
        <color auto="1"/>
      </left>
      <right style="thin">
        <color auto="1"/>
      </right>
      <top style="medium">
        <color auto="1"/>
      </top>
      <bottom/>
      <diagonal/>
    </border>
    <border>
      <left style="thin">
        <color auto="1"/>
      </left>
      <right style="thin">
        <color auto="1"/>
      </right>
      <top/>
      <bottom/>
      <diagonal/>
    </border>
    <border>
      <left style="thin">
        <color indexed="64"/>
      </left>
      <right style="medium">
        <color indexed="64"/>
      </right>
      <top style="medium">
        <color indexed="64"/>
      </top>
      <bottom/>
      <diagonal/>
    </border>
    <border>
      <left style="thin">
        <color indexed="64"/>
      </left>
      <right style="medium">
        <color indexed="64"/>
      </right>
      <top/>
      <bottom style="thin">
        <color indexed="64"/>
      </bottom>
      <diagonal/>
    </border>
    <border>
      <left style="thin">
        <color indexed="64"/>
      </left>
      <right/>
      <top style="thin">
        <color indexed="64"/>
      </top>
      <bottom style="medium">
        <color indexed="64"/>
      </bottom>
      <diagonal/>
    </border>
    <border>
      <left/>
      <right/>
      <top/>
      <bottom style="medium">
        <color auto="1"/>
      </bottom>
      <diagonal/>
    </border>
    <border>
      <left style="thin">
        <color auto="1"/>
      </left>
      <right style="thin">
        <color auto="1"/>
      </right>
      <top style="thin">
        <color auto="1"/>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auto="1"/>
      </left>
      <right style="thin">
        <color auto="1"/>
      </right>
      <top/>
      <bottom style="medium">
        <color auto="1"/>
      </bottom>
      <diagonal/>
    </border>
    <border>
      <left/>
      <right style="medium">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auto="1"/>
      </left>
      <right style="thin">
        <color indexed="64"/>
      </right>
      <top/>
      <bottom/>
      <diagonal/>
    </border>
    <border>
      <left style="thin">
        <color indexed="64"/>
      </left>
      <right style="medium">
        <color indexed="64"/>
      </right>
      <top/>
      <bottom style="medium">
        <color indexed="64"/>
      </bottom>
      <diagonal/>
    </border>
    <border>
      <left/>
      <right style="medium">
        <color auto="1"/>
      </right>
      <top style="medium">
        <color auto="1"/>
      </top>
      <bottom style="thin">
        <color auto="1"/>
      </bottom>
      <diagonal/>
    </border>
    <border>
      <left style="medium">
        <color indexed="64"/>
      </left>
      <right style="medium">
        <color auto="1"/>
      </right>
      <top style="thin">
        <color indexed="64"/>
      </top>
      <bottom style="medium">
        <color indexed="64"/>
      </bottom>
      <diagonal/>
    </border>
    <border>
      <left style="medium">
        <color auto="1"/>
      </left>
      <right style="medium">
        <color auto="1"/>
      </right>
      <top style="thin">
        <color auto="1"/>
      </top>
      <bottom style="thin">
        <color auto="1"/>
      </bottom>
      <diagonal/>
    </border>
    <border>
      <left style="medium">
        <color auto="1"/>
      </left>
      <right style="medium">
        <color auto="1"/>
      </right>
      <top style="medium">
        <color auto="1"/>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medium">
        <color indexed="64"/>
      </right>
      <top/>
      <bottom/>
      <diagonal/>
    </border>
    <border>
      <left/>
      <right style="thin">
        <color indexed="64"/>
      </right>
      <top style="medium">
        <color auto="1"/>
      </top>
      <bottom style="thin">
        <color auto="1"/>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style="medium">
        <color indexed="64"/>
      </right>
      <top style="thin">
        <color theme="1"/>
      </top>
      <bottom style="thin">
        <color theme="1"/>
      </bottom>
      <diagonal/>
    </border>
    <border>
      <left style="medium">
        <color indexed="64"/>
      </left>
      <right style="medium">
        <color indexed="64"/>
      </right>
      <top style="thin">
        <color theme="1"/>
      </top>
      <bottom style="medium">
        <color indexed="64"/>
      </bottom>
      <diagonal/>
    </border>
    <border>
      <left style="thin">
        <color theme="0" tint="-0.14996795556505021"/>
      </left>
      <right/>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medium">
        <color indexed="64"/>
      </right>
      <top style="double">
        <color indexed="64"/>
      </top>
      <bottom style="thin">
        <color indexed="64"/>
      </bottom>
      <diagonal/>
    </border>
    <border>
      <left style="dotted">
        <color auto="1"/>
      </left>
      <right style="dotted">
        <color auto="1"/>
      </right>
      <top/>
      <bottom style="dotted">
        <color auto="1"/>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medium">
        <color indexed="64"/>
      </bottom>
      <diagonal/>
    </border>
    <border>
      <left style="medium">
        <color auto="1"/>
      </left>
      <right style="dotted">
        <color auto="1"/>
      </right>
      <top/>
      <bottom/>
      <diagonal/>
    </border>
    <border>
      <left style="medium">
        <color auto="1"/>
      </left>
      <right style="dotted">
        <color auto="1"/>
      </right>
      <top style="medium">
        <color auto="1"/>
      </top>
      <bottom/>
      <diagonal/>
    </border>
    <border>
      <left style="medium">
        <color auto="1"/>
      </left>
      <right style="dotted">
        <color auto="1"/>
      </right>
      <top/>
      <bottom style="medium">
        <color indexed="64"/>
      </bottom>
      <diagonal/>
    </border>
    <border>
      <left style="dotted">
        <color auto="1"/>
      </left>
      <right style="dotted">
        <color auto="1"/>
      </right>
      <top style="medium">
        <color indexed="64"/>
      </top>
      <bottom/>
      <diagonal/>
    </border>
    <border>
      <left style="dotted">
        <color indexed="64"/>
      </left>
      <right style="dotted">
        <color auto="1"/>
      </right>
      <top/>
      <bottom style="medium">
        <color indexed="64"/>
      </bottom>
      <diagonal/>
    </border>
    <border>
      <left/>
      <right style="medium">
        <color indexed="64"/>
      </right>
      <top/>
      <bottom style="medium">
        <color indexed="64"/>
      </bottom>
      <diagonal/>
    </border>
    <border>
      <left/>
      <right/>
      <top style="medium">
        <color auto="1"/>
      </top>
      <bottom style="thin">
        <color auto="1"/>
      </bottom>
      <diagonal/>
    </border>
    <border>
      <left/>
      <right style="thin">
        <color indexed="64"/>
      </right>
      <top style="medium">
        <color indexed="64"/>
      </top>
      <bottom/>
      <diagonal/>
    </border>
    <border>
      <left style="medium">
        <color indexed="64"/>
      </left>
      <right style="medium">
        <color indexed="64"/>
      </right>
      <top style="double">
        <color indexed="64"/>
      </top>
      <bottom style="thin">
        <color indexed="64"/>
      </bottom>
      <diagonal/>
    </border>
    <border>
      <left style="medium">
        <color auto="1"/>
      </left>
      <right/>
      <top/>
      <bottom/>
      <diagonal/>
    </border>
    <border>
      <left/>
      <right style="thin">
        <color auto="1"/>
      </right>
      <top style="thin">
        <color auto="1"/>
      </top>
      <bottom style="medium">
        <color indexed="64"/>
      </bottom>
      <diagonal/>
    </border>
    <border>
      <left style="medium">
        <color indexed="64"/>
      </left>
      <right style="medium">
        <color indexed="64"/>
      </right>
      <top style="medium">
        <color indexed="64"/>
      </top>
      <bottom style="medium">
        <color indexed="64"/>
      </bottom>
      <diagonal/>
    </border>
    <border>
      <left style="dotted">
        <color auto="1"/>
      </left>
      <right/>
      <top style="medium">
        <color auto="1"/>
      </top>
      <bottom/>
      <diagonal/>
    </border>
    <border>
      <left style="dotted">
        <color auto="1"/>
      </left>
      <right/>
      <top/>
      <bottom style="dotted">
        <color auto="1"/>
      </bottom>
      <diagonal/>
    </border>
    <border>
      <left style="dotted">
        <color auto="1"/>
      </left>
      <right/>
      <top/>
      <bottom style="medium">
        <color indexed="64"/>
      </bottom>
      <diagonal/>
    </border>
    <border>
      <left style="dotted">
        <color auto="1"/>
      </left>
      <right style="dotted">
        <color auto="1"/>
      </right>
      <top/>
      <bottom/>
      <diagonal/>
    </border>
    <border>
      <left style="dotted">
        <color auto="1"/>
      </left>
      <right style="medium">
        <color auto="1"/>
      </right>
      <top style="medium">
        <color auto="1"/>
      </top>
      <bottom/>
      <diagonal/>
    </border>
    <border>
      <left style="dotted">
        <color auto="1"/>
      </left>
      <right style="medium">
        <color auto="1"/>
      </right>
      <top/>
      <bottom/>
      <diagonal/>
    </border>
    <border>
      <left style="dotted">
        <color auto="1"/>
      </left>
      <right style="medium">
        <color auto="1"/>
      </right>
      <top/>
      <bottom style="medium">
        <color auto="1"/>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rgb="FF000000"/>
      </top>
      <bottom style="thin">
        <color rgb="FF000000"/>
      </bottom>
      <diagonal/>
    </border>
    <border>
      <left style="medium">
        <color rgb="FF000000"/>
      </left>
      <right style="medium">
        <color rgb="FF000000"/>
      </right>
      <top style="thin">
        <color rgb="FF000000"/>
      </top>
      <bottom style="thin">
        <color rgb="FF000000"/>
      </bottom>
      <diagonal/>
    </border>
    <border>
      <left style="medium">
        <color rgb="FF000000"/>
      </left>
      <right style="medium">
        <color rgb="FF000000"/>
      </right>
      <top style="thin">
        <color rgb="FF000000"/>
      </top>
      <bottom style="medium">
        <color rgb="FF000000"/>
      </bottom>
      <diagonal/>
    </border>
    <border>
      <left style="medium">
        <color rgb="FF000000"/>
      </left>
      <right style="medium">
        <color rgb="FF000000"/>
      </right>
      <top style="thin">
        <color rgb="FF000000"/>
      </top>
      <bottom/>
      <diagonal/>
    </border>
    <border>
      <left style="medium">
        <color rgb="FF000000"/>
      </left>
      <right style="medium">
        <color rgb="FF000000"/>
      </right>
      <top/>
      <bottom style="thin">
        <color rgb="FF000000"/>
      </bottom>
      <diagonal/>
    </border>
    <border>
      <left/>
      <right/>
      <top style="medium">
        <color indexed="64"/>
      </top>
      <bottom/>
      <diagonal/>
    </border>
    <border>
      <left style="medium">
        <color indexed="64"/>
      </left>
      <right style="medium">
        <color indexed="64"/>
      </right>
      <top style="thin">
        <color theme="1"/>
      </top>
      <bottom/>
      <diagonal/>
    </border>
    <border>
      <left/>
      <right style="medium">
        <color indexed="64"/>
      </right>
      <top style="thin">
        <color auto="1"/>
      </top>
      <bottom style="thin">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style="thin">
        <color auto="1"/>
      </bottom>
      <diagonal/>
    </border>
    <border>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style="thin">
        <color rgb="FF000000"/>
      </left>
      <right style="medium">
        <color indexed="64"/>
      </right>
      <top style="medium">
        <color indexed="64"/>
      </top>
      <bottom style="thin">
        <color rgb="FF000000"/>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style="medium">
        <color indexed="64"/>
      </right>
      <top style="thin">
        <color rgb="FF000000"/>
      </top>
      <bottom style="medium">
        <color indexed="64"/>
      </bottom>
      <diagonal/>
    </border>
    <border>
      <left style="thin">
        <color auto="1"/>
      </left>
      <right/>
      <top style="thin">
        <color rgb="FF000000"/>
      </top>
      <bottom/>
      <diagonal/>
    </border>
    <border>
      <left style="thin">
        <color auto="1"/>
      </left>
      <right/>
      <top/>
      <bottom style="medium">
        <color rgb="FF000000"/>
      </bottom>
      <diagonal/>
    </border>
    <border>
      <left/>
      <right style="thin">
        <color indexed="64"/>
      </right>
      <top style="thin">
        <color rgb="FF000000"/>
      </top>
      <bottom style="thin">
        <color indexed="64"/>
      </bottom>
      <diagonal/>
    </border>
    <border>
      <left style="medium">
        <color rgb="FF000000"/>
      </left>
      <right style="medium">
        <color indexed="64"/>
      </right>
      <top style="medium">
        <color rgb="FF000000"/>
      </top>
      <bottom style="double">
        <color indexed="64"/>
      </bottom>
      <diagonal/>
    </border>
    <border>
      <left/>
      <right style="medium">
        <color indexed="64"/>
      </right>
      <top style="medium">
        <color rgb="FF000000"/>
      </top>
      <bottom style="double">
        <color indexed="64"/>
      </bottom>
      <diagonal/>
    </border>
    <border>
      <left/>
      <right style="medium">
        <color rgb="FF000000"/>
      </right>
      <top style="medium">
        <color rgb="FF000000"/>
      </top>
      <bottom style="double">
        <color indexed="64"/>
      </bottom>
      <diagonal/>
    </border>
    <border>
      <left style="medium">
        <color rgb="FF000000"/>
      </left>
      <right style="thin">
        <color auto="1"/>
      </right>
      <top style="double">
        <color indexed="64"/>
      </top>
      <bottom/>
      <diagonal/>
    </border>
    <border>
      <left style="thin">
        <color indexed="64"/>
      </left>
      <right style="medium">
        <color rgb="FF000000"/>
      </right>
      <top style="double">
        <color indexed="64"/>
      </top>
      <bottom style="thin">
        <color indexed="64"/>
      </bottom>
      <diagonal/>
    </border>
    <border>
      <left style="medium">
        <color rgb="FF000000"/>
      </left>
      <right style="thin">
        <color auto="1"/>
      </right>
      <top/>
      <bottom/>
      <diagonal/>
    </border>
    <border>
      <left style="thin">
        <color auto="1"/>
      </left>
      <right style="medium">
        <color rgb="FF000000"/>
      </right>
      <top style="thin">
        <color auto="1"/>
      </top>
      <bottom style="thin">
        <color auto="1"/>
      </bottom>
      <diagonal/>
    </border>
    <border>
      <left style="medium">
        <color rgb="FF000000"/>
      </left>
      <right style="thin">
        <color auto="1"/>
      </right>
      <top/>
      <bottom style="thin">
        <color auto="1"/>
      </bottom>
      <diagonal/>
    </border>
    <border>
      <left style="medium">
        <color rgb="FF000000"/>
      </left>
      <right style="thin">
        <color auto="1"/>
      </right>
      <top style="thin">
        <color auto="1"/>
      </top>
      <bottom/>
      <diagonal/>
    </border>
    <border>
      <left style="thin">
        <color auto="1"/>
      </left>
      <right style="thin">
        <color auto="1"/>
      </right>
      <top style="thin">
        <color auto="1"/>
      </top>
      <bottom style="medium">
        <color rgb="FF000000"/>
      </bottom>
      <diagonal/>
    </border>
    <border>
      <left style="thin">
        <color auto="1"/>
      </left>
      <right style="medium">
        <color rgb="FF000000"/>
      </right>
      <top style="thin">
        <color auto="1"/>
      </top>
      <bottom style="medium">
        <color rgb="FF000000"/>
      </bottom>
      <diagonal/>
    </border>
    <border>
      <left style="medium">
        <color rgb="FF000000"/>
      </left>
      <right style="medium">
        <color auto="1"/>
      </right>
      <top style="medium">
        <color rgb="FF000000"/>
      </top>
      <bottom/>
      <diagonal/>
    </border>
    <border>
      <left style="thin">
        <color auto="1"/>
      </left>
      <right style="thin">
        <color auto="1"/>
      </right>
      <top style="thin">
        <color auto="1"/>
      </top>
      <bottom style="thin">
        <color rgb="FF000000"/>
      </bottom>
      <diagonal/>
    </border>
    <border>
      <left style="thin">
        <color rgb="FF000000"/>
      </left>
      <right/>
      <top style="thin">
        <color rgb="FF000000"/>
      </top>
      <bottom style="thin">
        <color rgb="FF000000"/>
      </bottom>
      <diagonal/>
    </border>
    <border>
      <left/>
      <right style="medium">
        <color indexed="64"/>
      </right>
      <top style="medium">
        <color rgb="FF000000"/>
      </top>
      <bottom/>
      <diagonal/>
    </border>
    <border>
      <left/>
      <right style="medium">
        <color rgb="FF000000"/>
      </right>
      <top style="medium">
        <color rgb="FF000000"/>
      </top>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auto="1"/>
      </left>
      <right style="thin">
        <color auto="1"/>
      </right>
      <top style="thin">
        <color rgb="FF000000"/>
      </top>
      <bottom style="thin">
        <color auto="1"/>
      </bottom>
      <diagonal/>
    </border>
    <border>
      <left style="thin">
        <color auto="1"/>
      </left>
      <right style="thin">
        <color auto="1"/>
      </right>
      <top/>
      <bottom style="medium">
        <color rgb="FF000000"/>
      </bottom>
      <diagonal/>
    </border>
    <border>
      <left style="thin">
        <color auto="1"/>
      </left>
      <right style="thin">
        <color auto="1"/>
      </right>
      <top style="medium">
        <color auto="1"/>
      </top>
      <bottom style="medium">
        <color rgb="FF000000"/>
      </bottom>
      <diagonal/>
    </border>
    <border>
      <left style="medium">
        <color rgb="FF000000"/>
      </left>
      <right style="thin">
        <color indexed="64"/>
      </right>
      <top style="medium">
        <color rgb="FF000000"/>
      </top>
      <bottom/>
      <diagonal/>
    </border>
    <border>
      <left style="thin">
        <color auto="1"/>
      </left>
      <right style="thin">
        <color auto="1"/>
      </right>
      <top style="medium">
        <color rgb="FF000000"/>
      </top>
      <bottom/>
      <diagonal/>
    </border>
    <border>
      <left style="thin">
        <color auto="1"/>
      </left>
      <right style="thin">
        <color auto="1"/>
      </right>
      <top style="medium">
        <color rgb="FF000000"/>
      </top>
      <bottom style="thin">
        <color auto="1"/>
      </bottom>
      <diagonal/>
    </border>
    <border>
      <left style="thin">
        <color indexed="64"/>
      </left>
      <right style="medium">
        <color rgb="FF000000"/>
      </right>
      <top style="medium">
        <color rgb="FF000000"/>
      </top>
      <bottom style="thin">
        <color indexed="64"/>
      </bottom>
      <diagonal/>
    </border>
    <border>
      <left style="thin">
        <color indexed="64"/>
      </left>
      <right style="medium">
        <color rgb="FF000000"/>
      </right>
      <top style="thin">
        <color indexed="64"/>
      </top>
      <bottom/>
      <diagonal/>
    </border>
    <border>
      <left style="medium">
        <color rgb="FF000000"/>
      </left>
      <right style="medium">
        <color auto="1"/>
      </right>
      <top style="medium">
        <color auto="1"/>
      </top>
      <bottom/>
      <diagonal/>
    </border>
    <border>
      <left style="thin">
        <color auto="1"/>
      </left>
      <right style="medium">
        <color rgb="FF000000"/>
      </right>
      <top style="medium">
        <color auto="1"/>
      </top>
      <bottom style="thin">
        <color auto="1"/>
      </bottom>
      <diagonal/>
    </border>
    <border>
      <left style="medium">
        <color rgb="FF000000"/>
      </left>
      <right style="medium">
        <color indexed="64"/>
      </right>
      <top/>
      <bottom style="medium">
        <color indexed="64"/>
      </bottom>
      <diagonal/>
    </border>
    <border>
      <left style="medium">
        <color rgb="FF000000"/>
      </left>
      <right style="medium">
        <color indexed="64"/>
      </right>
      <top/>
      <bottom style="medium">
        <color rgb="FF000000"/>
      </bottom>
      <diagonal/>
    </border>
    <border>
      <left style="medium">
        <color indexed="64"/>
      </left>
      <right style="thin">
        <color indexed="64"/>
      </right>
      <top style="medium">
        <color indexed="64"/>
      </top>
      <bottom style="medium">
        <color rgb="FF000000"/>
      </bottom>
      <diagonal/>
    </border>
    <border>
      <left style="thin">
        <color auto="1"/>
      </left>
      <right style="medium">
        <color rgb="FF000000"/>
      </right>
      <top style="medium">
        <color auto="1"/>
      </top>
      <bottom style="medium">
        <color rgb="FF000000"/>
      </bottom>
      <diagonal/>
    </border>
    <border>
      <left/>
      <right style="medium">
        <color indexed="64"/>
      </right>
      <top style="medium">
        <color indexed="64"/>
      </top>
      <bottom/>
      <diagonal/>
    </border>
    <border>
      <left/>
      <right style="medium">
        <color indexed="64"/>
      </right>
      <top/>
      <bottom style="thin">
        <color auto="1"/>
      </bottom>
      <diagonal/>
    </border>
  </borders>
  <cellStyleXfs count="4">
    <xf numFmtId="0" fontId="0" fillId="0" borderId="0"/>
    <xf numFmtId="0" fontId="1" fillId="0" borderId="0"/>
    <xf numFmtId="9" fontId="3" fillId="0" borderId="0" applyFont="0" applyFill="0" applyBorder="0" applyAlignment="0" applyProtection="0"/>
    <xf numFmtId="43" fontId="3" fillId="0" borderId="0" applyFont="0" applyFill="0" applyBorder="0" applyAlignment="0" applyProtection="0"/>
  </cellStyleXfs>
  <cellXfs count="685">
    <xf numFmtId="0" fontId="0" fillId="0" borderId="0" xfId="0"/>
    <xf numFmtId="0" fontId="6" fillId="0" borderId="0" xfId="0" applyFont="1"/>
    <xf numFmtId="0" fontId="6" fillId="0" borderId="0" xfId="0" applyFont="1" applyAlignment="1">
      <alignment horizontal="center" vertical="center"/>
    </xf>
    <xf numFmtId="0" fontId="6" fillId="0" borderId="0" xfId="0" applyFont="1" applyAlignment="1">
      <alignment vertical="center"/>
    </xf>
    <xf numFmtId="0" fontId="6" fillId="3" borderId="0" xfId="0" applyFont="1" applyFill="1"/>
    <xf numFmtId="0" fontId="8" fillId="2" borderId="31" xfId="0" applyFont="1" applyFill="1" applyBorder="1" applyAlignment="1">
      <alignment vertical="center"/>
    </xf>
    <xf numFmtId="0" fontId="6" fillId="0" borderId="1" xfId="0" applyFont="1" applyBorder="1" applyAlignment="1">
      <alignment horizontal="center" vertical="center"/>
    </xf>
    <xf numFmtId="0" fontId="6" fillId="0" borderId="1" xfId="0" applyFont="1" applyBorder="1" applyAlignment="1">
      <alignment vertical="center" wrapText="1"/>
    </xf>
    <xf numFmtId="0" fontId="6" fillId="0" borderId="0" xfId="0" applyFont="1" applyAlignment="1">
      <alignment horizontal="center"/>
    </xf>
    <xf numFmtId="0" fontId="6" fillId="3" borderId="0" xfId="0" applyFont="1" applyFill="1" applyAlignment="1">
      <alignment horizontal="center" vertical="center"/>
    </xf>
    <xf numFmtId="0" fontId="6" fillId="3" borderId="0" xfId="0" applyFont="1" applyFill="1" applyAlignment="1">
      <alignment vertical="center" wrapText="1"/>
    </xf>
    <xf numFmtId="0" fontId="6" fillId="3" borderId="0" xfId="0" applyFont="1" applyFill="1" applyAlignment="1">
      <alignment horizontal="center" vertical="center" wrapText="1"/>
    </xf>
    <xf numFmtId="0" fontId="6" fillId="3" borderId="0" xfId="0" applyFont="1" applyFill="1" applyAlignment="1">
      <alignment vertical="center"/>
    </xf>
    <xf numFmtId="0" fontId="14" fillId="4" borderId="84" xfId="0" applyFont="1" applyFill="1" applyBorder="1" applyAlignment="1">
      <alignment horizontal="center" vertical="center" wrapText="1"/>
    </xf>
    <xf numFmtId="0" fontId="12" fillId="3" borderId="0" xfId="0" applyFont="1" applyFill="1" applyAlignment="1">
      <alignment vertical="center"/>
    </xf>
    <xf numFmtId="0" fontId="14" fillId="3" borderId="0" xfId="0" applyFont="1" applyFill="1" applyAlignment="1">
      <alignment vertical="center"/>
    </xf>
    <xf numFmtId="0" fontId="12" fillId="3" borderId="0" xfId="0" applyFont="1" applyFill="1" applyAlignment="1">
      <alignment vertical="center" wrapText="1"/>
    </xf>
    <xf numFmtId="0" fontId="8" fillId="3" borderId="0" xfId="0" applyFont="1" applyFill="1" applyAlignment="1">
      <alignment vertical="center"/>
    </xf>
    <xf numFmtId="0" fontId="12" fillId="2" borderId="22" xfId="0" applyFont="1" applyFill="1" applyBorder="1" applyAlignment="1" applyProtection="1">
      <alignment horizontal="center" vertical="center" wrapText="1"/>
      <protection locked="0"/>
    </xf>
    <xf numFmtId="0" fontId="9" fillId="5" borderId="19" xfId="0" applyFont="1" applyFill="1" applyBorder="1" applyAlignment="1">
      <alignment horizontal="center" vertical="center" wrapText="1"/>
    </xf>
    <xf numFmtId="0" fontId="12" fillId="3" borderId="0" xfId="0" applyFont="1" applyFill="1" applyAlignment="1">
      <alignment horizontal="left" vertical="center" wrapText="1"/>
    </xf>
    <xf numFmtId="0" fontId="9" fillId="5" borderId="23" xfId="0" applyFont="1" applyFill="1" applyBorder="1" applyAlignment="1">
      <alignment horizontal="center" vertical="center" wrapText="1"/>
    </xf>
    <xf numFmtId="0" fontId="12" fillId="3" borderId="0" xfId="0" applyFont="1" applyFill="1" applyAlignment="1">
      <alignment horizontal="center" vertical="center"/>
    </xf>
    <xf numFmtId="0" fontId="6" fillId="3" borderId="15" xfId="0" applyFont="1" applyFill="1" applyBorder="1" applyAlignment="1">
      <alignment horizontal="left" vertical="center"/>
    </xf>
    <xf numFmtId="0" fontId="9" fillId="5" borderId="32" xfId="0" applyFont="1" applyFill="1" applyBorder="1" applyAlignment="1">
      <alignment horizontal="center" vertical="center" wrapText="1"/>
    </xf>
    <xf numFmtId="0" fontId="6" fillId="0" borderId="33" xfId="0" applyFont="1" applyBorder="1" applyAlignment="1">
      <alignment horizontal="center" vertical="center"/>
    </xf>
    <xf numFmtId="0" fontId="6" fillId="0" borderId="22" xfId="0" applyFont="1" applyBorder="1" applyAlignment="1">
      <alignment horizontal="center" vertical="center"/>
    </xf>
    <xf numFmtId="0" fontId="6" fillId="3" borderId="16" xfId="0" applyFont="1" applyFill="1" applyBorder="1" applyAlignment="1">
      <alignment horizontal="left" vertical="center"/>
    </xf>
    <xf numFmtId="0" fontId="9" fillId="3" borderId="0" xfId="0" applyFont="1" applyFill="1" applyAlignment="1">
      <alignment horizontal="center" vertical="center" wrapText="1"/>
    </xf>
    <xf numFmtId="0" fontId="12" fillId="3" borderId="0" xfId="0" applyFont="1" applyFill="1" applyAlignment="1">
      <alignment horizontal="center" vertical="center" wrapText="1"/>
    </xf>
    <xf numFmtId="0" fontId="9" fillId="3" borderId="0" xfId="0" applyFont="1" applyFill="1" applyAlignment="1">
      <alignment vertical="center" wrapText="1"/>
    </xf>
    <xf numFmtId="0" fontId="9" fillId="3" borderId="0" xfId="0" applyFont="1" applyFill="1" applyAlignment="1">
      <alignment vertical="center"/>
    </xf>
    <xf numFmtId="0" fontId="9" fillId="3" borderId="30" xfId="0" applyFont="1" applyFill="1" applyBorder="1" applyAlignment="1">
      <alignment vertical="center"/>
    </xf>
    <xf numFmtId="0" fontId="8" fillId="9" borderId="47" xfId="0" applyFont="1" applyFill="1" applyBorder="1" applyAlignment="1">
      <alignment horizontal="center" vertical="center"/>
    </xf>
    <xf numFmtId="0" fontId="8" fillId="9" borderId="54" xfId="0" applyFont="1" applyFill="1" applyBorder="1" applyAlignment="1">
      <alignment horizontal="center" vertical="center"/>
    </xf>
    <xf numFmtId="0" fontId="16" fillId="5" borderId="16" xfId="0" applyFont="1" applyFill="1" applyBorder="1" applyAlignment="1">
      <alignment horizontal="center" vertical="center" wrapText="1"/>
    </xf>
    <xf numFmtId="0" fontId="6" fillId="9" borderId="54" xfId="0" applyFont="1" applyFill="1" applyBorder="1" applyAlignment="1">
      <alignment horizontal="left" vertical="center"/>
    </xf>
    <xf numFmtId="2" fontId="12" fillId="0" borderId="24" xfId="0" applyNumberFormat="1" applyFont="1" applyBorder="1" applyAlignment="1">
      <alignment horizontal="center" vertical="center"/>
    </xf>
    <xf numFmtId="2" fontId="12" fillId="0" borderId="28" xfId="0" applyNumberFormat="1" applyFont="1" applyBorder="1" applyAlignment="1">
      <alignment horizontal="center" vertical="center"/>
    </xf>
    <xf numFmtId="0" fontId="6" fillId="3" borderId="16" xfId="0" applyFont="1" applyFill="1" applyBorder="1" applyAlignment="1">
      <alignment vertical="center"/>
    </xf>
    <xf numFmtId="2" fontId="12" fillId="0" borderId="16" xfId="0" applyNumberFormat="1" applyFont="1" applyBorder="1" applyAlignment="1">
      <alignment horizontal="center" vertical="center"/>
    </xf>
    <xf numFmtId="2" fontId="12" fillId="0" borderId="23" xfId="0" applyNumberFormat="1" applyFont="1" applyBorder="1" applyAlignment="1">
      <alignment horizontal="center" vertical="center"/>
    </xf>
    <xf numFmtId="0" fontId="6" fillId="9" borderId="54" xfId="0" applyFont="1" applyFill="1" applyBorder="1" applyAlignment="1">
      <alignment horizontal="left" vertical="center" wrapText="1"/>
    </xf>
    <xf numFmtId="0" fontId="6" fillId="3" borderId="15" xfId="0" applyFont="1" applyFill="1" applyBorder="1" applyAlignment="1">
      <alignment vertical="center"/>
    </xf>
    <xf numFmtId="2" fontId="12" fillId="0" borderId="15" xfId="0" applyNumberFormat="1" applyFont="1" applyBorder="1" applyAlignment="1">
      <alignment horizontal="center" vertical="center"/>
    </xf>
    <xf numFmtId="2" fontId="12" fillId="0" borderId="19" xfId="0" applyNumberFormat="1" applyFont="1" applyBorder="1" applyAlignment="1">
      <alignment horizontal="center" vertical="center"/>
    </xf>
    <xf numFmtId="0" fontId="6" fillId="3" borderId="29" xfId="0" applyFont="1" applyFill="1" applyBorder="1" applyAlignment="1">
      <alignment vertical="center"/>
    </xf>
    <xf numFmtId="0" fontId="6" fillId="9" borderId="50" xfId="0" applyFont="1" applyFill="1" applyBorder="1" applyAlignment="1">
      <alignment horizontal="left" vertical="center"/>
    </xf>
    <xf numFmtId="0" fontId="18" fillId="3" borderId="0" xfId="0" applyFont="1" applyFill="1" applyAlignment="1">
      <alignment horizontal="center" vertical="center"/>
    </xf>
    <xf numFmtId="0" fontId="19" fillId="3" borderId="0" xfId="0" applyFont="1" applyFill="1" applyAlignment="1">
      <alignment vertical="center" wrapText="1"/>
    </xf>
    <xf numFmtId="0" fontId="18" fillId="3" borderId="0" xfId="0" applyFont="1" applyFill="1" applyAlignment="1">
      <alignment vertical="center" wrapText="1"/>
    </xf>
    <xf numFmtId="0" fontId="18" fillId="3" borderId="0" xfId="0" applyFont="1" applyFill="1" applyAlignment="1">
      <alignment horizontal="center" vertical="center" wrapText="1"/>
    </xf>
    <xf numFmtId="0" fontId="19" fillId="3" borderId="0" xfId="0" applyFont="1" applyFill="1" applyAlignment="1">
      <alignment vertical="center"/>
    </xf>
    <xf numFmtId="165" fontId="12" fillId="3" borderId="0" xfId="0" applyNumberFormat="1" applyFont="1" applyFill="1" applyAlignment="1">
      <alignment horizontal="center" vertical="center"/>
    </xf>
    <xf numFmtId="3" fontId="12" fillId="3" borderId="0" xfId="0" applyNumberFormat="1" applyFont="1" applyFill="1" applyAlignment="1">
      <alignment horizontal="center" vertical="center" wrapText="1"/>
    </xf>
    <xf numFmtId="0" fontId="9" fillId="7" borderId="19" xfId="0" applyFont="1" applyFill="1" applyBorder="1" applyAlignment="1">
      <alignment horizontal="center" vertical="center" wrapText="1"/>
    </xf>
    <xf numFmtId="0" fontId="9" fillId="7" borderId="15" xfId="0" applyFont="1" applyFill="1" applyBorder="1" applyAlignment="1">
      <alignment vertical="center" wrapText="1"/>
    </xf>
    <xf numFmtId="1" fontId="9" fillId="7" borderId="15" xfId="0" applyNumberFormat="1" applyFont="1" applyFill="1" applyBorder="1" applyAlignment="1">
      <alignment horizontal="center" vertical="center" wrapText="1"/>
    </xf>
    <xf numFmtId="0" fontId="9" fillId="7" borderId="19" xfId="0" applyFont="1" applyFill="1" applyBorder="1" applyAlignment="1">
      <alignment vertical="center" wrapText="1"/>
    </xf>
    <xf numFmtId="168" fontId="9" fillId="5" borderId="32" xfId="0" applyNumberFormat="1" applyFont="1" applyFill="1" applyBorder="1" applyAlignment="1">
      <alignment horizontal="center" vertical="center" wrapText="1"/>
    </xf>
    <xf numFmtId="165" fontId="12" fillId="0" borderId="15" xfId="0" applyNumberFormat="1" applyFont="1" applyBorder="1" applyAlignment="1">
      <alignment horizontal="center" vertical="center"/>
    </xf>
    <xf numFmtId="2" fontId="12" fillId="0" borderId="44" xfId="0" applyNumberFormat="1" applyFont="1" applyBorder="1" applyAlignment="1">
      <alignment horizontal="center" vertical="center"/>
    </xf>
    <xf numFmtId="165" fontId="12" fillId="0" borderId="37" xfId="0" applyNumberFormat="1" applyFont="1" applyBorder="1" applyAlignment="1">
      <alignment horizontal="center" vertical="center"/>
    </xf>
    <xf numFmtId="2" fontId="12" fillId="0" borderId="78" xfId="0" applyNumberFormat="1" applyFont="1" applyBorder="1" applyAlignment="1">
      <alignment horizontal="center" vertical="center"/>
    </xf>
    <xf numFmtId="165" fontId="12" fillId="0" borderId="16" xfId="0" applyNumberFormat="1" applyFont="1" applyBorder="1" applyAlignment="1">
      <alignment horizontal="center" vertical="center"/>
    </xf>
    <xf numFmtId="0" fontId="12" fillId="3" borderId="30" xfId="0" applyFont="1" applyFill="1" applyBorder="1" applyAlignment="1">
      <alignment horizontal="center" vertical="center" wrapText="1"/>
    </xf>
    <xf numFmtId="1" fontId="12" fillId="0" borderId="15" xfId="0" applyNumberFormat="1" applyFont="1" applyBorder="1" applyAlignment="1">
      <alignment horizontal="center" vertical="center"/>
    </xf>
    <xf numFmtId="1" fontId="12" fillId="0" borderId="19" xfId="0" applyNumberFormat="1" applyFont="1" applyBorder="1" applyAlignment="1">
      <alignment horizontal="center" vertical="center"/>
    </xf>
    <xf numFmtId="2" fontId="12" fillId="3" borderId="0" xfId="0" applyNumberFormat="1" applyFont="1" applyFill="1" applyAlignment="1">
      <alignment horizontal="center" vertical="center"/>
    </xf>
    <xf numFmtId="1" fontId="12" fillId="0" borderId="16" xfId="0" applyNumberFormat="1" applyFont="1" applyBorder="1" applyAlignment="1">
      <alignment horizontal="center" vertical="center"/>
    </xf>
    <xf numFmtId="1" fontId="12" fillId="0" borderId="23" xfId="0" applyNumberFormat="1" applyFont="1" applyBorder="1" applyAlignment="1">
      <alignment horizontal="center" vertical="center"/>
    </xf>
    <xf numFmtId="2" fontId="12" fillId="3" borderId="0" xfId="0" applyNumberFormat="1" applyFont="1" applyFill="1" applyAlignment="1">
      <alignment horizontal="center" vertical="center" wrapText="1"/>
    </xf>
    <xf numFmtId="1" fontId="9" fillId="3" borderId="0" xfId="0" applyNumberFormat="1" applyFont="1" applyFill="1" applyAlignment="1">
      <alignment horizontal="center" vertical="center" wrapText="1"/>
    </xf>
    <xf numFmtId="169" fontId="12" fillId="3" borderId="0" xfId="0" applyNumberFormat="1" applyFont="1" applyFill="1" applyAlignment="1">
      <alignment vertical="center"/>
    </xf>
    <xf numFmtId="11" fontId="12" fillId="3" borderId="0" xfId="0" applyNumberFormat="1" applyFont="1" applyFill="1" applyAlignment="1">
      <alignment vertical="center"/>
    </xf>
    <xf numFmtId="0" fontId="9" fillId="7" borderId="41" xfId="0" applyFont="1" applyFill="1" applyBorder="1" applyAlignment="1">
      <alignment horizontal="center" vertical="center" wrapText="1"/>
    </xf>
    <xf numFmtId="0" fontId="9" fillId="5" borderId="36" xfId="0" applyFont="1" applyFill="1" applyBorder="1" applyAlignment="1">
      <alignment horizontal="center" vertical="center" wrapText="1"/>
    </xf>
    <xf numFmtId="0" fontId="9" fillId="7" borderId="40" xfId="0" applyFont="1" applyFill="1" applyBorder="1" applyAlignment="1">
      <alignment vertical="center" wrapText="1"/>
    </xf>
    <xf numFmtId="1" fontId="9" fillId="7" borderId="40" xfId="0" applyNumberFormat="1" applyFont="1" applyFill="1" applyBorder="1" applyAlignment="1">
      <alignment horizontal="center" vertical="center" wrapText="1"/>
    </xf>
    <xf numFmtId="0" fontId="9" fillId="7" borderId="41" xfId="0" applyFont="1" applyFill="1" applyBorder="1" applyAlignment="1">
      <alignment vertical="center" wrapText="1"/>
    </xf>
    <xf numFmtId="0" fontId="8" fillId="5" borderId="25" xfId="0" applyFont="1" applyFill="1" applyBorder="1" applyAlignment="1">
      <alignment horizontal="center" wrapText="1"/>
    </xf>
    <xf numFmtId="0" fontId="8" fillId="5" borderId="69" xfId="0" applyFont="1" applyFill="1" applyBorder="1" applyAlignment="1">
      <alignment horizontal="center" vertical="center"/>
    </xf>
    <xf numFmtId="0" fontId="9" fillId="5" borderId="27" xfId="0" applyFont="1" applyFill="1" applyBorder="1" applyAlignment="1">
      <alignment horizontal="center" vertical="center" wrapText="1"/>
    </xf>
    <xf numFmtId="0" fontId="8" fillId="5" borderId="25" xfId="0" applyFont="1" applyFill="1" applyBorder="1" applyAlignment="1">
      <alignment horizontal="center" vertical="center" wrapText="1"/>
    </xf>
    <xf numFmtId="0" fontId="9" fillId="5" borderId="25" xfId="0" applyFont="1" applyFill="1" applyBorder="1" applyAlignment="1">
      <alignment vertical="center"/>
    </xf>
    <xf numFmtId="0" fontId="9" fillId="5" borderId="40" xfId="0" applyFont="1" applyFill="1" applyBorder="1" applyAlignment="1">
      <alignment horizontal="center" vertical="center" wrapText="1"/>
    </xf>
    <xf numFmtId="168" fontId="9" fillId="5" borderId="19" xfId="0" applyNumberFormat="1" applyFont="1" applyFill="1" applyBorder="1" applyAlignment="1">
      <alignment horizontal="center" vertical="center" wrapText="1"/>
    </xf>
    <xf numFmtId="0" fontId="9" fillId="5" borderId="40" xfId="0" applyFont="1" applyFill="1" applyBorder="1" applyAlignment="1">
      <alignment vertical="center"/>
    </xf>
    <xf numFmtId="0" fontId="8" fillId="5" borderId="57" xfId="0" applyFont="1" applyFill="1" applyBorder="1" applyAlignment="1">
      <alignment horizontal="center" vertical="center"/>
    </xf>
    <xf numFmtId="168" fontId="9" fillId="5" borderId="57" xfId="0" applyNumberFormat="1" applyFont="1" applyFill="1" applyBorder="1" applyAlignment="1">
      <alignment horizontal="center" vertical="center" wrapText="1"/>
    </xf>
    <xf numFmtId="0" fontId="9" fillId="5" borderId="41" xfId="0" applyFont="1" applyFill="1" applyBorder="1" applyAlignment="1">
      <alignment horizontal="center" vertical="center" wrapText="1"/>
    </xf>
    <xf numFmtId="167" fontId="12" fillId="3" borderId="0" xfId="0" applyNumberFormat="1" applyFont="1" applyFill="1" applyAlignment="1">
      <alignment horizontal="center" vertical="center"/>
    </xf>
    <xf numFmtId="0" fontId="14" fillId="5" borderId="36" xfId="0" applyFont="1" applyFill="1" applyBorder="1" applyAlignment="1">
      <alignment horizontal="center" vertical="center" wrapText="1"/>
    </xf>
    <xf numFmtId="0" fontId="9" fillId="5" borderId="35" xfId="0" applyFont="1" applyFill="1" applyBorder="1" applyAlignment="1">
      <alignment horizontal="center" vertical="center" wrapText="1"/>
    </xf>
    <xf numFmtId="0" fontId="9" fillId="4" borderId="10" xfId="0" applyFont="1" applyFill="1" applyBorder="1" applyAlignment="1">
      <alignment horizontal="center" vertical="center" wrapText="1"/>
    </xf>
    <xf numFmtId="0" fontId="9" fillId="4" borderId="15" xfId="0" applyFont="1" applyFill="1" applyBorder="1" applyAlignment="1">
      <alignment horizontal="center" vertical="center" wrapText="1"/>
    </xf>
    <xf numFmtId="0" fontId="9" fillId="4" borderId="19" xfId="0" applyFont="1" applyFill="1" applyBorder="1" applyAlignment="1">
      <alignment horizontal="center" vertical="center" wrapText="1"/>
    </xf>
    <xf numFmtId="0" fontId="12" fillId="2" borderId="59" xfId="0" applyFont="1" applyFill="1" applyBorder="1" applyAlignment="1" applyProtection="1">
      <alignment horizontal="center" vertical="center" wrapText="1"/>
      <protection locked="0"/>
    </xf>
    <xf numFmtId="1" fontId="12" fillId="2" borderId="16" xfId="2" applyNumberFormat="1" applyFont="1" applyFill="1" applyBorder="1" applyAlignment="1" applyProtection="1">
      <alignment horizontal="center" vertical="center" wrapText="1"/>
      <protection locked="0"/>
    </xf>
    <xf numFmtId="0" fontId="12" fillId="2" borderId="23" xfId="0" applyFont="1" applyFill="1" applyBorder="1" applyAlignment="1" applyProtection="1">
      <alignment horizontal="center" vertical="center" wrapText="1"/>
      <protection locked="0"/>
    </xf>
    <xf numFmtId="1" fontId="12" fillId="3" borderId="0" xfId="2" applyNumberFormat="1" applyFont="1" applyFill="1" applyBorder="1" applyAlignment="1">
      <alignment horizontal="center" vertical="center" wrapText="1"/>
    </xf>
    <xf numFmtId="0" fontId="22" fillId="3" borderId="30" xfId="0" applyFont="1" applyFill="1" applyBorder="1" applyAlignment="1">
      <alignment vertical="center"/>
    </xf>
    <xf numFmtId="0" fontId="22" fillId="3" borderId="0" xfId="0" applyFont="1" applyFill="1" applyAlignment="1">
      <alignment vertical="center"/>
    </xf>
    <xf numFmtId="0" fontId="9" fillId="3" borderId="30" xfId="0" applyFont="1" applyFill="1" applyBorder="1" applyAlignment="1">
      <alignment horizontal="center" vertical="center" wrapText="1"/>
    </xf>
    <xf numFmtId="165" fontId="9" fillId="3" borderId="30" xfId="0" applyNumberFormat="1" applyFont="1" applyFill="1" applyBorder="1" applyAlignment="1">
      <alignment vertical="center" wrapText="1"/>
    </xf>
    <xf numFmtId="0" fontId="9" fillId="3" borderId="30" xfId="0" applyFont="1" applyFill="1" applyBorder="1" applyAlignment="1">
      <alignment vertical="center" wrapText="1"/>
    </xf>
    <xf numFmtId="0" fontId="6" fillId="0" borderId="0" xfId="0" applyFont="1" applyAlignment="1">
      <alignment vertical="center" wrapText="1"/>
    </xf>
    <xf numFmtId="0" fontId="8" fillId="3" borderId="0" xfId="0" applyFont="1" applyFill="1"/>
    <xf numFmtId="0" fontId="6" fillId="3" borderId="2" xfId="0" applyFont="1" applyFill="1" applyBorder="1"/>
    <xf numFmtId="0" fontId="6" fillId="3" borderId="3" xfId="0" applyFont="1" applyFill="1" applyBorder="1"/>
    <xf numFmtId="0" fontId="12" fillId="3" borderId="0" xfId="0" applyFont="1" applyFill="1"/>
    <xf numFmtId="0" fontId="9" fillId="3" borderId="13" xfId="0" applyFont="1" applyFill="1" applyBorder="1" applyAlignment="1">
      <alignment horizontal="center"/>
    </xf>
    <xf numFmtId="0" fontId="9" fillId="3" borderId="13" xfId="0" applyFont="1" applyFill="1" applyBorder="1" applyAlignment="1">
      <alignment horizontal="center" wrapText="1"/>
    </xf>
    <xf numFmtId="0" fontId="8" fillId="3" borderId="12" xfId="0" applyFont="1" applyFill="1" applyBorder="1" applyAlignment="1">
      <alignment horizontal="center" wrapText="1"/>
    </xf>
    <xf numFmtId="0" fontId="8" fillId="3" borderId="13" xfId="0" applyFont="1" applyFill="1" applyBorder="1" applyAlignment="1">
      <alignment horizontal="center" wrapText="1"/>
    </xf>
    <xf numFmtId="0" fontId="8" fillId="3" borderId="14" xfId="0" applyFont="1" applyFill="1" applyBorder="1" applyAlignment="1">
      <alignment horizontal="center" wrapText="1"/>
    </xf>
    <xf numFmtId="0" fontId="12" fillId="3" borderId="11" xfId="0" applyFont="1" applyFill="1" applyBorder="1" applyAlignment="1">
      <alignment horizontal="left"/>
    </xf>
    <xf numFmtId="0" fontId="6" fillId="3" borderId="0" xfId="0" applyFont="1" applyFill="1" applyAlignment="1">
      <alignment horizontal="left" vertical="center" wrapText="1"/>
    </xf>
    <xf numFmtId="0" fontId="6" fillId="3" borderId="11" xfId="0" applyFont="1" applyFill="1" applyBorder="1" applyAlignment="1">
      <alignment vertical="center" wrapText="1"/>
    </xf>
    <xf numFmtId="0" fontId="12" fillId="3" borderId="11" xfId="0" applyFont="1" applyFill="1" applyBorder="1" applyAlignment="1">
      <alignment horizontal="center" vertical="center"/>
    </xf>
    <xf numFmtId="2" fontId="12" fillId="3" borderId="11" xfId="0" applyNumberFormat="1" applyFont="1" applyFill="1" applyBorder="1" applyAlignment="1">
      <alignment horizontal="center" vertical="center"/>
    </xf>
    <xf numFmtId="164" fontId="12" fillId="3" borderId="11" xfId="0" applyNumberFormat="1" applyFont="1" applyFill="1" applyBorder="1" applyAlignment="1">
      <alignment horizontal="center" vertical="center"/>
    </xf>
    <xf numFmtId="0" fontId="12" fillId="3" borderId="11" xfId="0" quotePrefix="1" applyFont="1" applyFill="1" applyBorder="1" applyAlignment="1">
      <alignment horizontal="center" vertical="center"/>
    </xf>
    <xf numFmtId="1" fontId="12" fillId="3" borderId="11" xfId="0" quotePrefix="1" applyNumberFormat="1" applyFont="1" applyFill="1" applyBorder="1" applyAlignment="1">
      <alignment horizontal="center" vertical="center"/>
    </xf>
    <xf numFmtId="0" fontId="6" fillId="3" borderId="5" xfId="0" applyFont="1" applyFill="1" applyBorder="1"/>
    <xf numFmtId="166" fontId="6" fillId="3" borderId="7" xfId="0" applyNumberFormat="1" applyFont="1" applyFill="1" applyBorder="1"/>
    <xf numFmtId="0" fontId="12" fillId="3" borderId="0" xfId="0" applyFont="1" applyFill="1" applyAlignment="1">
      <alignment horizontal="left" vertical="center"/>
    </xf>
    <xf numFmtId="0" fontId="12" fillId="3" borderId="0" xfId="0" quotePrefix="1" applyFont="1" applyFill="1" applyAlignment="1">
      <alignment horizontal="center" vertical="center"/>
    </xf>
    <xf numFmtId="164" fontId="12" fillId="3" borderId="0" xfId="0" quotePrefix="1" applyNumberFormat="1" applyFont="1" applyFill="1" applyAlignment="1">
      <alignment horizontal="center" vertical="center"/>
    </xf>
    <xf numFmtId="0" fontId="6" fillId="3" borderId="8" xfId="0" applyFont="1" applyFill="1" applyBorder="1"/>
    <xf numFmtId="0" fontId="6" fillId="3" borderId="7" xfId="0" applyFont="1" applyFill="1" applyBorder="1"/>
    <xf numFmtId="0" fontId="8" fillId="3" borderId="3" xfId="0" applyFont="1" applyFill="1" applyBorder="1"/>
    <xf numFmtId="0" fontId="6" fillId="3" borderId="7" xfId="0" applyFont="1" applyFill="1" applyBorder="1" applyAlignment="1">
      <alignment wrapText="1"/>
    </xf>
    <xf numFmtId="0" fontId="6" fillId="3" borderId="11" xfId="0" applyFont="1" applyFill="1" applyBorder="1" applyAlignment="1">
      <alignment horizontal="center" vertical="center" wrapText="1"/>
    </xf>
    <xf numFmtId="0" fontId="8" fillId="3" borderId="0" xfId="0" applyFont="1" applyFill="1" applyAlignment="1">
      <alignment horizontal="center" wrapText="1"/>
    </xf>
    <xf numFmtId="0" fontId="6" fillId="3" borderId="6" xfId="0" applyFont="1" applyFill="1" applyBorder="1"/>
    <xf numFmtId="0" fontId="6" fillId="3" borderId="9" xfId="0" applyFont="1" applyFill="1" applyBorder="1"/>
    <xf numFmtId="0" fontId="6" fillId="3" borderId="11" xfId="0" applyFont="1" applyFill="1" applyBorder="1" applyAlignment="1">
      <alignment horizontal="left" vertical="center" wrapText="1"/>
    </xf>
    <xf numFmtId="0" fontId="6" fillId="3" borderId="11" xfId="0" quotePrefix="1" applyFont="1" applyFill="1" applyBorder="1" applyAlignment="1">
      <alignment horizontal="center" vertical="center"/>
    </xf>
    <xf numFmtId="0" fontId="6" fillId="3" borderId="0" xfId="0" applyFont="1" applyFill="1" applyAlignment="1">
      <alignment horizontal="left"/>
    </xf>
    <xf numFmtId="0" fontId="6" fillId="3" borderId="11" xfId="0" applyFont="1" applyFill="1" applyBorder="1"/>
    <xf numFmtId="0" fontId="6" fillId="3" borderId="11" xfId="0" applyFont="1" applyFill="1" applyBorder="1" applyAlignment="1">
      <alignment horizontal="center"/>
    </xf>
    <xf numFmtId="165" fontId="6" fillId="3" borderId="1" xfId="0" applyNumberFormat="1" applyFont="1" applyFill="1" applyBorder="1"/>
    <xf numFmtId="0" fontId="6" fillId="3" borderId="1" xfId="0" applyFont="1" applyFill="1" applyBorder="1"/>
    <xf numFmtId="165" fontId="12" fillId="3" borderId="0" xfId="0" applyNumberFormat="1" applyFont="1" applyFill="1" applyAlignment="1">
      <alignment horizontal="center" vertical="center" wrapText="1"/>
    </xf>
    <xf numFmtId="0" fontId="6" fillId="0" borderId="1" xfId="0" applyFont="1" applyBorder="1" applyAlignment="1">
      <alignment vertical="center"/>
    </xf>
    <xf numFmtId="0" fontId="6" fillId="0" borderId="21" xfId="0" applyFont="1" applyBorder="1" applyAlignment="1">
      <alignment horizontal="center" vertical="center"/>
    </xf>
    <xf numFmtId="0" fontId="6" fillId="0" borderId="71" xfId="0" applyFont="1" applyBorder="1" applyAlignment="1">
      <alignment horizontal="center" vertical="center"/>
    </xf>
    <xf numFmtId="0" fontId="6" fillId="0" borderId="20" xfId="0" applyFont="1" applyBorder="1" applyAlignment="1">
      <alignment horizontal="center" vertical="center"/>
    </xf>
    <xf numFmtId="0" fontId="6" fillId="11" borderId="0" xfId="0" applyFont="1" applyFill="1" applyAlignment="1">
      <alignment vertical="center" wrapText="1"/>
    </xf>
    <xf numFmtId="0" fontId="12" fillId="11" borderId="0" xfId="1" applyFont="1" applyFill="1"/>
    <xf numFmtId="0" fontId="6" fillId="11" borderId="0" xfId="0" applyFont="1" applyFill="1" applyAlignment="1">
      <alignment wrapText="1"/>
    </xf>
    <xf numFmtId="0" fontId="12" fillId="0" borderId="35" xfId="1" applyFont="1" applyBorder="1" applyAlignment="1">
      <alignment vertical="center" wrapText="1"/>
    </xf>
    <xf numFmtId="0" fontId="12" fillId="0" borderId="24" xfId="1" applyFont="1" applyBorder="1" applyAlignment="1">
      <alignment horizontal="center" vertical="center" wrapText="1"/>
    </xf>
    <xf numFmtId="0" fontId="12" fillId="0" borderId="28" xfId="1" applyFont="1" applyBorder="1" applyAlignment="1">
      <alignment vertical="center" wrapText="1"/>
    </xf>
    <xf numFmtId="0" fontId="12" fillId="0" borderId="22" xfId="1" applyFont="1" applyBorder="1" applyAlignment="1">
      <alignment vertical="center" wrapText="1"/>
    </xf>
    <xf numFmtId="0" fontId="12" fillId="0" borderId="16" xfId="1" applyFont="1" applyBorder="1" applyAlignment="1">
      <alignment horizontal="center" vertical="center" wrapText="1"/>
    </xf>
    <xf numFmtId="0" fontId="12" fillId="0" borderId="23" xfId="1" applyFont="1" applyBorder="1" applyAlignment="1">
      <alignment vertical="center" wrapText="1"/>
    </xf>
    <xf numFmtId="0" fontId="12" fillId="0" borderId="65" xfId="1" applyFont="1" applyBorder="1" applyAlignment="1">
      <alignment vertical="center" wrapText="1"/>
    </xf>
    <xf numFmtId="0" fontId="12" fillId="0" borderId="66" xfId="1" applyFont="1" applyBorder="1" applyAlignment="1">
      <alignment horizontal="center" vertical="center" wrapText="1"/>
    </xf>
    <xf numFmtId="0" fontId="12" fillId="0" borderId="67" xfId="1" applyFont="1" applyBorder="1" applyAlignment="1">
      <alignment vertical="center" wrapText="1"/>
    </xf>
    <xf numFmtId="0" fontId="12" fillId="0" borderId="20" xfId="1" applyFont="1" applyBorder="1" applyAlignment="1">
      <alignment vertical="center" wrapText="1"/>
    </xf>
    <xf numFmtId="0" fontId="12" fillId="0" borderId="1" xfId="1" applyFont="1" applyBorder="1" applyAlignment="1">
      <alignment horizontal="center" vertical="center" wrapText="1"/>
    </xf>
    <xf numFmtId="0" fontId="12" fillId="0" borderId="21" xfId="1" applyFont="1" applyBorder="1" applyAlignment="1">
      <alignment vertical="center" wrapText="1"/>
    </xf>
    <xf numFmtId="3" fontId="12" fillId="0" borderId="1" xfId="1" applyNumberFormat="1" applyFont="1" applyBorder="1" applyAlignment="1">
      <alignment horizontal="center" vertical="center" wrapText="1"/>
    </xf>
    <xf numFmtId="0" fontId="16" fillId="3" borderId="82" xfId="0" applyFont="1" applyFill="1" applyBorder="1" applyAlignment="1">
      <alignment horizontal="left" vertical="center" wrapText="1"/>
    </xf>
    <xf numFmtId="3" fontId="12" fillId="0" borderId="16" xfId="1" applyNumberFormat="1" applyFont="1" applyBorder="1" applyAlignment="1">
      <alignment horizontal="center" vertical="center" wrapText="1"/>
    </xf>
    <xf numFmtId="0" fontId="6" fillId="0" borderId="31" xfId="0" applyFont="1" applyBorder="1" applyAlignment="1">
      <alignment vertical="center"/>
    </xf>
    <xf numFmtId="0" fontId="6" fillId="0" borderId="32" xfId="0" applyFont="1" applyBorder="1" applyAlignment="1">
      <alignment horizontal="center" vertical="center"/>
    </xf>
    <xf numFmtId="0" fontId="6" fillId="0" borderId="37" xfId="0" applyFont="1" applyBorder="1" applyAlignment="1">
      <alignment vertical="center"/>
    </xf>
    <xf numFmtId="0" fontId="6" fillId="0" borderId="23" xfId="0" applyFont="1" applyBorder="1" applyAlignment="1">
      <alignment horizontal="center" vertical="center"/>
    </xf>
    <xf numFmtId="0" fontId="6" fillId="0" borderId="39" xfId="0" applyFont="1" applyBorder="1" applyAlignment="1">
      <alignment horizontal="center" vertical="center"/>
    </xf>
    <xf numFmtId="0" fontId="6" fillId="11" borderId="0" xfId="0" applyFont="1" applyFill="1"/>
    <xf numFmtId="0" fontId="9" fillId="10" borderId="47" xfId="1" applyFont="1" applyFill="1" applyBorder="1" applyAlignment="1">
      <alignment horizontal="center" vertical="center" wrapText="1"/>
    </xf>
    <xf numFmtId="0" fontId="9" fillId="10" borderId="60" xfId="1" applyFont="1" applyFill="1" applyBorder="1" applyAlignment="1">
      <alignment horizontal="center" vertical="center" wrapText="1"/>
    </xf>
    <xf numFmtId="0" fontId="6" fillId="11" borderId="64" xfId="0" applyFont="1" applyFill="1" applyBorder="1" applyAlignment="1">
      <alignment horizontal="center" vertical="center"/>
    </xf>
    <xf numFmtId="0" fontId="6" fillId="0" borderId="46" xfId="0" applyFont="1" applyBorder="1"/>
    <xf numFmtId="9" fontId="6" fillId="0" borderId="46" xfId="0" applyNumberFormat="1" applyFont="1" applyBorder="1"/>
    <xf numFmtId="0" fontId="6" fillId="0" borderId="45" xfId="0" applyFont="1" applyBorder="1"/>
    <xf numFmtId="9" fontId="6" fillId="0" borderId="45" xfId="0" applyNumberFormat="1" applyFont="1" applyBorder="1"/>
    <xf numFmtId="0" fontId="9" fillId="10" borderId="61" xfId="1" applyFont="1" applyFill="1" applyBorder="1" applyAlignment="1">
      <alignment horizontal="center" vertical="center" wrapText="1"/>
    </xf>
    <xf numFmtId="0" fontId="6" fillId="0" borderId="62" xfId="0" applyFont="1" applyBorder="1"/>
    <xf numFmtId="0" fontId="6" fillId="0" borderId="63" xfId="0" applyFont="1" applyBorder="1"/>
    <xf numFmtId="9" fontId="6" fillId="0" borderId="46" xfId="0" applyNumberFormat="1" applyFont="1" applyBorder="1" applyAlignment="1">
      <alignment horizontal="center"/>
    </xf>
    <xf numFmtId="9" fontId="6" fillId="0" borderId="45" xfId="0" applyNumberFormat="1" applyFont="1" applyBorder="1" applyAlignment="1">
      <alignment horizontal="center"/>
    </xf>
    <xf numFmtId="0" fontId="6" fillId="0" borderId="81" xfId="0" applyFont="1" applyBorder="1"/>
    <xf numFmtId="0" fontId="8" fillId="6" borderId="47" xfId="0" applyFont="1" applyFill="1" applyBorder="1" applyAlignment="1">
      <alignment horizontal="center" vertical="center" wrapText="1"/>
    </xf>
    <xf numFmtId="0" fontId="8" fillId="6" borderId="27" xfId="0" applyFont="1" applyFill="1" applyBorder="1" applyAlignment="1">
      <alignment horizontal="center" vertical="center" wrapText="1"/>
    </xf>
    <xf numFmtId="0" fontId="8" fillId="6" borderId="51" xfId="0" applyFont="1" applyFill="1" applyBorder="1" applyAlignment="1">
      <alignment horizontal="left" wrapText="1"/>
    </xf>
    <xf numFmtId="0" fontId="6" fillId="3" borderId="17" xfId="0" applyFont="1" applyFill="1" applyBorder="1" applyAlignment="1">
      <alignment horizontal="center"/>
    </xf>
    <xf numFmtId="164" fontId="6" fillId="3" borderId="15" xfId="0" applyNumberFormat="1" applyFont="1" applyFill="1" applyBorder="1" applyAlignment="1">
      <alignment horizontal="center"/>
    </xf>
    <xf numFmtId="0" fontId="6" fillId="3" borderId="20" xfId="0" applyFont="1" applyFill="1" applyBorder="1" applyAlignment="1">
      <alignment horizontal="center"/>
    </xf>
    <xf numFmtId="0" fontId="6" fillId="3" borderId="1" xfId="0" applyFont="1" applyFill="1" applyBorder="1" applyAlignment="1">
      <alignment horizontal="center"/>
    </xf>
    <xf numFmtId="3" fontId="6" fillId="0" borderId="20" xfId="0" applyNumberFormat="1" applyFont="1" applyBorder="1" applyAlignment="1">
      <alignment horizontal="center" vertical="center"/>
    </xf>
    <xf numFmtId="1" fontId="6" fillId="3" borderId="1" xfId="0" applyNumberFormat="1" applyFont="1" applyFill="1" applyBorder="1" applyAlignment="1">
      <alignment horizontal="center"/>
    </xf>
    <xf numFmtId="0" fontId="8" fillId="6" borderId="59" xfId="0" applyFont="1" applyFill="1" applyBorder="1" applyAlignment="1">
      <alignment horizontal="left" wrapText="1"/>
    </xf>
    <xf numFmtId="0" fontId="6" fillId="3" borderId="59" xfId="0" applyFont="1" applyFill="1" applyBorder="1"/>
    <xf numFmtId="0" fontId="6" fillId="3" borderId="83" xfId="0" applyFont="1" applyFill="1" applyBorder="1"/>
    <xf numFmtId="0" fontId="24" fillId="3" borderId="0" xfId="0" applyFont="1" applyFill="1"/>
    <xf numFmtId="0" fontId="25" fillId="3" borderId="0" xfId="0" applyFont="1" applyFill="1"/>
    <xf numFmtId="0" fontId="26" fillId="3" borderId="0" xfId="0" applyFont="1" applyFill="1" applyAlignment="1">
      <alignment vertical="center"/>
    </xf>
    <xf numFmtId="0" fontId="25" fillId="3" borderId="0" xfId="0" applyFont="1" applyFill="1" applyAlignment="1">
      <alignment vertical="center"/>
    </xf>
    <xf numFmtId="0" fontId="23" fillId="3" borderId="0" xfId="0" applyFont="1" applyFill="1" applyAlignment="1">
      <alignment vertical="center"/>
    </xf>
    <xf numFmtId="0" fontId="23" fillId="3" borderId="30" xfId="0" applyFont="1" applyFill="1" applyBorder="1" applyAlignment="1">
      <alignment vertical="center"/>
    </xf>
    <xf numFmtId="0" fontId="6" fillId="3" borderId="1" xfId="0" applyFont="1" applyFill="1" applyBorder="1" applyAlignment="1">
      <alignment vertical="center"/>
    </xf>
    <xf numFmtId="2" fontId="12" fillId="0" borderId="1" xfId="0" applyNumberFormat="1" applyFont="1" applyBorder="1" applyAlignment="1">
      <alignment horizontal="center" vertical="center"/>
    </xf>
    <xf numFmtId="0" fontId="16" fillId="5" borderId="1" xfId="0" applyFont="1" applyFill="1" applyBorder="1" applyAlignment="1">
      <alignment horizontal="center" vertical="center" wrapText="1"/>
    </xf>
    <xf numFmtId="0" fontId="6" fillId="0" borderId="15" xfId="0" applyFont="1" applyBorder="1" applyAlignment="1">
      <alignment vertical="center" wrapText="1"/>
    </xf>
    <xf numFmtId="0" fontId="6" fillId="0" borderId="16" xfId="0" applyFont="1" applyBorder="1" applyAlignment="1">
      <alignment vertical="center" wrapText="1"/>
    </xf>
    <xf numFmtId="2" fontId="12" fillId="0" borderId="21" xfId="0" applyNumberFormat="1" applyFont="1" applyBorder="1" applyAlignment="1">
      <alignment horizontal="center" vertical="center"/>
    </xf>
    <xf numFmtId="0" fontId="16" fillId="5" borderId="24" xfId="0" applyFont="1" applyFill="1" applyBorder="1" applyAlignment="1">
      <alignment horizontal="center" vertical="center" wrapText="1"/>
    </xf>
    <xf numFmtId="0" fontId="16" fillId="5" borderId="15" xfId="0" applyFont="1" applyFill="1" applyBorder="1" applyAlignment="1">
      <alignment horizontal="center" vertical="center" wrapText="1"/>
    </xf>
    <xf numFmtId="0" fontId="16" fillId="5" borderId="31" xfId="0" applyFont="1" applyFill="1" applyBorder="1" applyAlignment="1">
      <alignment horizontal="center" vertical="center" wrapText="1"/>
    </xf>
    <xf numFmtId="2" fontId="12" fillId="0" borderId="31" xfId="0" applyNumberFormat="1" applyFont="1" applyBorder="1" applyAlignment="1">
      <alignment horizontal="center" vertical="center"/>
    </xf>
    <xf numFmtId="2" fontId="12" fillId="0" borderId="32" xfId="0" applyNumberFormat="1" applyFont="1" applyBorder="1" applyAlignment="1">
      <alignment horizontal="center" vertical="center"/>
    </xf>
    <xf numFmtId="0" fontId="8" fillId="6" borderId="1" xfId="0" applyFont="1" applyFill="1" applyBorder="1" applyAlignment="1">
      <alignment horizontal="center"/>
    </xf>
    <xf numFmtId="0" fontId="6" fillId="3" borderId="1" xfId="0" applyFont="1" applyFill="1" applyBorder="1" applyAlignment="1">
      <alignment horizontal="left"/>
    </xf>
    <xf numFmtId="0" fontId="6" fillId="3" borderId="1" xfId="0" applyFont="1" applyFill="1" applyBorder="1" applyAlignment="1">
      <alignment horizontal="left" wrapText="1"/>
    </xf>
    <xf numFmtId="0" fontId="8" fillId="3" borderId="31" xfId="0" applyFont="1" applyFill="1" applyBorder="1" applyAlignment="1">
      <alignment horizontal="left"/>
    </xf>
    <xf numFmtId="0" fontId="8" fillId="3" borderId="24" xfId="0" applyFont="1" applyFill="1" applyBorder="1" applyAlignment="1">
      <alignment horizontal="left"/>
    </xf>
    <xf numFmtId="0" fontId="6" fillId="3" borderId="1" xfId="0" quotePrefix="1" applyFont="1" applyFill="1" applyBorder="1" applyAlignment="1">
      <alignment wrapText="1"/>
    </xf>
    <xf numFmtId="0" fontId="6" fillId="3" borderId="1" xfId="0" quotePrefix="1" applyFont="1" applyFill="1" applyBorder="1" applyAlignment="1">
      <alignment vertical="center" wrapText="1"/>
    </xf>
    <xf numFmtId="0" fontId="18" fillId="3" borderId="0" xfId="0" applyFont="1" applyFill="1" applyAlignment="1">
      <alignment vertical="center"/>
    </xf>
    <xf numFmtId="0" fontId="6" fillId="8" borderId="0" xfId="0" applyFont="1" applyFill="1" applyAlignment="1">
      <alignment horizontal="center" vertical="center"/>
    </xf>
    <xf numFmtId="0" fontId="6" fillId="8" borderId="0" xfId="0" applyFont="1" applyFill="1" applyAlignment="1">
      <alignment horizontal="center" vertical="center" wrapText="1"/>
    </xf>
    <xf numFmtId="0" fontId="6" fillId="5" borderId="0" xfId="0" applyFont="1" applyFill="1" applyAlignment="1">
      <alignment vertical="center"/>
    </xf>
    <xf numFmtId="11" fontId="6" fillId="3" borderId="0" xfId="0" applyNumberFormat="1" applyFont="1" applyFill="1" applyAlignment="1">
      <alignment horizontal="center" vertical="center"/>
    </xf>
    <xf numFmtId="168" fontId="6" fillId="5" borderId="0" xfId="0" applyNumberFormat="1" applyFont="1" applyFill="1" applyAlignment="1">
      <alignment vertical="center"/>
    </xf>
    <xf numFmtId="2" fontId="6" fillId="3" borderId="0" xfId="0" applyNumberFormat="1" applyFont="1" applyFill="1" applyAlignment="1">
      <alignment horizontal="center" vertical="center"/>
    </xf>
    <xf numFmtId="0" fontId="8" fillId="3" borderId="0" xfId="0" applyFont="1" applyFill="1" applyAlignment="1">
      <alignment vertical="center" wrapText="1"/>
    </xf>
    <xf numFmtId="0" fontId="8" fillId="3" borderId="0" xfId="0" applyFont="1" applyFill="1" applyAlignment="1">
      <alignment horizontal="center" vertical="center"/>
    </xf>
    <xf numFmtId="0" fontId="16" fillId="3" borderId="0" xfId="0" applyFont="1" applyFill="1" applyAlignment="1">
      <alignment horizontal="left" vertical="center" wrapText="1"/>
    </xf>
    <xf numFmtId="0" fontId="8" fillId="3" borderId="0" xfId="0" applyFont="1" applyFill="1" applyAlignment="1">
      <alignment horizontal="center" vertical="center" wrapText="1"/>
    </xf>
    <xf numFmtId="11" fontId="6" fillId="3" borderId="0" xfId="0" applyNumberFormat="1" applyFont="1" applyFill="1" applyAlignment="1">
      <alignment horizontal="center" vertical="center" wrapText="1"/>
    </xf>
    <xf numFmtId="2" fontId="12" fillId="0" borderId="37" xfId="0" applyNumberFormat="1" applyFont="1" applyBorder="1" applyAlignment="1">
      <alignment horizontal="center" vertical="center"/>
    </xf>
    <xf numFmtId="2" fontId="6" fillId="0" borderId="19" xfId="0" applyNumberFormat="1" applyFont="1" applyBorder="1" applyAlignment="1">
      <alignment horizontal="center" vertical="center"/>
    </xf>
    <xf numFmtId="2" fontId="6" fillId="0" borderId="23" xfId="0" applyNumberFormat="1" applyFont="1" applyBorder="1" applyAlignment="1">
      <alignment horizontal="center" vertical="center"/>
    </xf>
    <xf numFmtId="2" fontId="6" fillId="0" borderId="15" xfId="0" applyNumberFormat="1" applyFont="1" applyBorder="1" applyAlignment="1">
      <alignment horizontal="center" vertical="center"/>
    </xf>
    <xf numFmtId="2" fontId="6" fillId="0" borderId="16" xfId="0" applyNumberFormat="1" applyFont="1" applyBorder="1" applyAlignment="1">
      <alignment horizontal="center" vertical="center"/>
    </xf>
    <xf numFmtId="2" fontId="12" fillId="0" borderId="43" xfId="0" applyNumberFormat="1" applyFont="1" applyBorder="1" applyAlignment="1">
      <alignment horizontal="center" vertical="center"/>
    </xf>
    <xf numFmtId="0" fontId="6" fillId="3" borderId="18" xfId="0" applyFont="1" applyFill="1" applyBorder="1"/>
    <xf numFmtId="0" fontId="6" fillId="3" borderId="52" xfId="0" applyFont="1" applyFill="1" applyBorder="1"/>
    <xf numFmtId="0" fontId="6" fillId="3" borderId="29" xfId="0" applyFont="1" applyFill="1" applyBorder="1"/>
    <xf numFmtId="0" fontId="8" fillId="6" borderId="92" xfId="0" applyFont="1" applyFill="1" applyBorder="1" applyAlignment="1">
      <alignment horizontal="center" vertical="center" wrapText="1"/>
    </xf>
    <xf numFmtId="0" fontId="6" fillId="3" borderId="94" xfId="0" applyFont="1" applyFill="1" applyBorder="1" applyAlignment="1">
      <alignment wrapText="1"/>
    </xf>
    <xf numFmtId="0" fontId="6" fillId="3" borderId="95" xfId="0" applyFont="1" applyFill="1" applyBorder="1" applyAlignment="1">
      <alignment wrapText="1"/>
    </xf>
    <xf numFmtId="2" fontId="6" fillId="0" borderId="25" xfId="0" applyNumberFormat="1" applyFont="1" applyBorder="1" applyAlignment="1">
      <alignment horizontal="center" vertical="center"/>
    </xf>
    <xf numFmtId="2" fontId="6" fillId="0" borderId="27" xfId="0" applyNumberFormat="1" applyFont="1" applyBorder="1" applyAlignment="1">
      <alignment horizontal="center" vertical="center"/>
    </xf>
    <xf numFmtId="0" fontId="6" fillId="0" borderId="55" xfId="0" applyFont="1" applyBorder="1" applyAlignment="1">
      <alignment vertical="center" wrapText="1"/>
    </xf>
    <xf numFmtId="2" fontId="6" fillId="3" borderId="0" xfId="0" applyNumberFormat="1" applyFont="1" applyFill="1" applyAlignment="1">
      <alignment vertical="center"/>
    </xf>
    <xf numFmtId="0" fontId="6" fillId="0" borderId="56" xfId="0" applyFont="1" applyBorder="1" applyAlignment="1">
      <alignment vertical="center" wrapText="1"/>
    </xf>
    <xf numFmtId="2" fontId="6" fillId="0" borderId="40" xfId="0" applyNumberFormat="1" applyFont="1" applyBorder="1" applyAlignment="1">
      <alignment horizontal="center" vertical="center"/>
    </xf>
    <xf numFmtId="2" fontId="6" fillId="0" borderId="41" xfId="0" applyNumberFormat="1" applyFont="1" applyBorder="1" applyAlignment="1">
      <alignment horizontal="center" vertical="center"/>
    </xf>
    <xf numFmtId="0" fontId="6" fillId="0" borderId="36" xfId="0" applyFont="1" applyBorder="1" applyAlignment="1">
      <alignment vertical="center" wrapText="1"/>
    </xf>
    <xf numFmtId="0" fontId="6" fillId="0" borderId="99" xfId="0" applyFont="1" applyBorder="1"/>
    <xf numFmtId="0" fontId="16" fillId="3" borderId="0" xfId="0" applyFont="1" applyFill="1" applyAlignment="1">
      <alignment horizontal="center" vertical="center" wrapText="1"/>
    </xf>
    <xf numFmtId="0" fontId="28" fillId="3" borderId="0" xfId="0" applyFont="1" applyFill="1" applyAlignment="1">
      <alignment horizontal="left" vertical="center"/>
    </xf>
    <xf numFmtId="0" fontId="6" fillId="3" borderId="29" xfId="0" applyFont="1" applyFill="1" applyBorder="1" applyAlignment="1">
      <alignment horizontal="center" vertical="center"/>
    </xf>
    <xf numFmtId="0" fontId="6" fillId="3" borderId="17" xfId="0" applyFont="1" applyFill="1" applyBorder="1" applyAlignment="1">
      <alignment vertical="center"/>
    </xf>
    <xf numFmtId="0" fontId="6" fillId="3" borderId="22" xfId="0" applyFont="1" applyFill="1" applyBorder="1" applyAlignment="1">
      <alignment vertical="center"/>
    </xf>
    <xf numFmtId="0" fontId="6" fillId="3" borderId="59" xfId="0" applyFont="1" applyFill="1" applyBorder="1" applyAlignment="1">
      <alignment vertical="center"/>
    </xf>
    <xf numFmtId="0" fontId="6" fillId="3" borderId="17" xfId="0" applyFont="1" applyFill="1" applyBorder="1" applyAlignment="1">
      <alignment horizontal="left" vertical="center"/>
    </xf>
    <xf numFmtId="0" fontId="6" fillId="3" borderId="22" xfId="0" applyFont="1" applyFill="1" applyBorder="1" applyAlignment="1">
      <alignment horizontal="left" vertical="center"/>
    </xf>
    <xf numFmtId="0" fontId="16" fillId="5" borderId="32" xfId="0" applyFont="1" applyFill="1" applyBorder="1" applyAlignment="1">
      <alignment horizontal="center" vertical="center" wrapText="1"/>
    </xf>
    <xf numFmtId="165" fontId="12" fillId="0" borderId="15" xfId="0" applyNumberFormat="1" applyFont="1" applyBorder="1" applyAlignment="1">
      <alignment horizontal="center" vertical="center" wrapText="1"/>
    </xf>
    <xf numFmtId="165" fontId="12" fillId="0" borderId="37" xfId="0" applyNumberFormat="1" applyFont="1" applyBorder="1" applyAlignment="1">
      <alignment horizontal="center" vertical="center" wrapText="1"/>
    </xf>
    <xf numFmtId="165" fontId="12" fillId="0" borderId="19" xfId="0" applyNumberFormat="1" applyFont="1" applyBorder="1" applyAlignment="1">
      <alignment horizontal="center" vertical="center"/>
    </xf>
    <xf numFmtId="165" fontId="12" fillId="0" borderId="43" xfId="0" applyNumberFormat="1" applyFont="1" applyBorder="1" applyAlignment="1">
      <alignment horizontal="center" vertical="center"/>
    </xf>
    <xf numFmtId="0" fontId="6" fillId="3" borderId="11" xfId="0" applyFont="1" applyFill="1" applyBorder="1" applyAlignment="1">
      <alignment horizontal="center" wrapText="1"/>
    </xf>
    <xf numFmtId="0" fontId="6" fillId="3" borderId="1" xfId="0" quotePrefix="1" applyFont="1" applyFill="1" applyBorder="1" applyAlignment="1">
      <alignment horizontal="left" wrapText="1"/>
    </xf>
    <xf numFmtId="0" fontId="6" fillId="3" borderId="1" xfId="0" quotePrefix="1" applyFont="1" applyFill="1" applyBorder="1" applyAlignment="1">
      <alignment vertical="center"/>
    </xf>
    <xf numFmtId="0" fontId="8" fillId="2" borderId="5" xfId="0" applyFont="1" applyFill="1" applyBorder="1" applyAlignment="1">
      <alignment horizontal="center" vertical="center" wrapText="1"/>
    </xf>
    <xf numFmtId="0" fontId="6" fillId="0" borderId="93" xfId="0" applyFont="1" applyBorder="1" applyAlignment="1">
      <alignment wrapText="1"/>
    </xf>
    <xf numFmtId="0" fontId="6" fillId="3" borderId="11" xfId="0" applyFont="1" applyFill="1" applyBorder="1" applyAlignment="1">
      <alignment horizontal="center" vertical="center"/>
    </xf>
    <xf numFmtId="0" fontId="13" fillId="0" borderId="1" xfId="0" applyFont="1" applyBorder="1" applyAlignment="1">
      <alignment horizontal="center" vertical="center" wrapText="1"/>
    </xf>
    <xf numFmtId="2" fontId="6" fillId="0" borderId="1" xfId="0" applyNumberFormat="1" applyFont="1" applyBorder="1" applyAlignment="1">
      <alignment horizontal="center" vertical="center"/>
    </xf>
    <xf numFmtId="1" fontId="6" fillId="0" borderId="1" xfId="0" applyNumberFormat="1" applyFont="1" applyBorder="1" applyAlignment="1">
      <alignment horizontal="center" vertical="center"/>
    </xf>
    <xf numFmtId="0" fontId="6" fillId="0" borderId="21" xfId="0" applyFont="1" applyBorder="1" applyAlignment="1">
      <alignment vertical="center" wrapText="1"/>
    </xf>
    <xf numFmtId="11" fontId="29" fillId="0" borderId="15" xfId="0" quotePrefix="1" applyNumberFormat="1" applyFont="1" applyBorder="1" applyAlignment="1">
      <alignment horizontal="center" vertical="center" wrapText="1"/>
    </xf>
    <xf numFmtId="11" fontId="29" fillId="0" borderId="16" xfId="0" quotePrefix="1" applyNumberFormat="1" applyFont="1" applyBorder="1" applyAlignment="1">
      <alignment horizontal="center" vertical="center" wrapText="1"/>
    </xf>
    <xf numFmtId="0" fontId="0" fillId="8" borderId="1" xfId="0" applyFill="1" applyBorder="1" applyAlignment="1">
      <alignment horizontal="center" vertical="center"/>
    </xf>
    <xf numFmtId="0" fontId="0" fillId="8" borderId="1" xfId="0" applyFill="1" applyBorder="1" applyAlignment="1">
      <alignment horizontal="center" vertical="center" wrapText="1"/>
    </xf>
    <xf numFmtId="0" fontId="0" fillId="5" borderId="1" xfId="0" applyFill="1" applyBorder="1" applyAlignment="1">
      <alignment vertical="center"/>
    </xf>
    <xf numFmtId="11" fontId="0" fillId="3" borderId="1" xfId="0" applyNumberFormat="1" applyFill="1" applyBorder="1" applyAlignment="1">
      <alignment horizontal="center" vertical="center"/>
    </xf>
    <xf numFmtId="168" fontId="0" fillId="5" borderId="31" xfId="0" applyNumberFormat="1" applyFill="1" applyBorder="1" applyAlignment="1">
      <alignment vertical="center"/>
    </xf>
    <xf numFmtId="11" fontId="0" fillId="3" borderId="31" xfId="0" applyNumberFormat="1" applyFill="1" applyBorder="1" applyAlignment="1">
      <alignment horizontal="center" vertical="center"/>
    </xf>
    <xf numFmtId="168" fontId="0" fillId="0" borderId="3" xfId="0" applyNumberFormat="1" applyBorder="1" applyAlignment="1">
      <alignment vertical="center"/>
    </xf>
    <xf numFmtId="11" fontId="0" fillId="0" borderId="3" xfId="0" applyNumberFormat="1" applyBorder="1" applyAlignment="1">
      <alignment horizontal="center" vertical="center"/>
    </xf>
    <xf numFmtId="1" fontId="0" fillId="5" borderId="1" xfId="0" applyNumberFormat="1" applyFill="1" applyBorder="1" applyAlignment="1">
      <alignment vertical="center"/>
    </xf>
    <xf numFmtId="0" fontId="6" fillId="0" borderId="11" xfId="0" quotePrefix="1" applyFont="1" applyBorder="1" applyAlignment="1">
      <alignment horizontal="center" vertical="center"/>
    </xf>
    <xf numFmtId="0" fontId="6" fillId="9" borderId="47" xfId="0" applyFont="1" applyFill="1" applyBorder="1" applyAlignment="1">
      <alignment horizontal="left" vertical="center"/>
    </xf>
    <xf numFmtId="165" fontId="12" fillId="0" borderId="16" xfId="1" applyNumberFormat="1" applyFont="1" applyBorder="1" applyAlignment="1">
      <alignment horizontal="center" vertical="center" wrapText="1"/>
    </xf>
    <xf numFmtId="0" fontId="30" fillId="14" borderId="60" xfId="0" applyFont="1" applyFill="1" applyBorder="1" applyAlignment="1">
      <alignment horizontal="center" vertical="center"/>
    </xf>
    <xf numFmtId="0" fontId="30" fillId="14" borderId="61" xfId="0" applyFont="1" applyFill="1" applyBorder="1" applyAlignment="1">
      <alignment horizontal="center" vertical="center"/>
    </xf>
    <xf numFmtId="2" fontId="6" fillId="0" borderId="26" xfId="0" applyNumberFormat="1" applyFont="1" applyBorder="1" applyAlignment="1">
      <alignment horizontal="center" vertical="center"/>
    </xf>
    <xf numFmtId="2" fontId="6" fillId="0" borderId="21" xfId="0" applyNumberFormat="1" applyFont="1" applyBorder="1" applyAlignment="1">
      <alignment horizontal="center" vertical="center"/>
    </xf>
    <xf numFmtId="0" fontId="13" fillId="0" borderId="34" xfId="0" applyFont="1" applyBorder="1" applyAlignment="1">
      <alignment horizontal="center" vertical="center" wrapText="1"/>
    </xf>
    <xf numFmtId="0" fontId="13" fillId="0" borderId="20" xfId="0" applyFont="1" applyBorder="1" applyAlignment="1">
      <alignment horizontal="center" vertical="center" wrapText="1"/>
    </xf>
    <xf numFmtId="0" fontId="7" fillId="0" borderId="66" xfId="0" applyFont="1" applyBorder="1" applyAlignment="1">
      <alignment vertical="center"/>
    </xf>
    <xf numFmtId="2" fontId="6" fillId="0" borderId="31" xfId="0" applyNumberFormat="1" applyFont="1" applyBorder="1" applyAlignment="1">
      <alignment horizontal="center" vertical="center"/>
    </xf>
    <xf numFmtId="2" fontId="6" fillId="0" borderId="32" xfId="0" applyNumberFormat="1" applyFont="1" applyBorder="1" applyAlignment="1">
      <alignment horizontal="center" vertical="center"/>
    </xf>
    <xf numFmtId="166" fontId="6" fillId="0" borderId="1" xfId="0" applyNumberFormat="1" applyFont="1" applyBorder="1" applyAlignment="1">
      <alignment horizontal="center" vertical="center"/>
    </xf>
    <xf numFmtId="0" fontId="32" fillId="14" borderId="47" xfId="0" applyFont="1" applyFill="1" applyBorder="1" applyAlignment="1">
      <alignment vertical="center" wrapText="1"/>
    </xf>
    <xf numFmtId="0" fontId="32" fillId="14" borderId="54" xfId="0" applyFont="1" applyFill="1" applyBorder="1" applyAlignment="1">
      <alignment vertical="center" wrapText="1"/>
    </xf>
    <xf numFmtId="0" fontId="32" fillId="14" borderId="49" xfId="0" applyFont="1" applyFill="1" applyBorder="1" applyAlignment="1">
      <alignment vertical="center" wrapText="1"/>
    </xf>
    <xf numFmtId="0" fontId="32" fillId="14" borderId="0" xfId="0" applyFont="1" applyFill="1" applyAlignment="1">
      <alignment vertical="center" wrapText="1"/>
    </xf>
    <xf numFmtId="0" fontId="32" fillId="14" borderId="53" xfId="0" applyFont="1" applyFill="1" applyBorder="1" applyAlignment="1">
      <alignment vertical="center" wrapText="1"/>
    </xf>
    <xf numFmtId="0" fontId="12" fillId="0" borderId="1" xfId="0" applyFont="1" applyBorder="1" applyAlignment="1">
      <alignment vertical="center"/>
    </xf>
    <xf numFmtId="0" fontId="32" fillId="14" borderId="58" xfId="0" applyFont="1" applyFill="1" applyBorder="1" applyAlignment="1">
      <alignment horizontal="left" vertical="center" wrapText="1"/>
    </xf>
    <xf numFmtId="170" fontId="12" fillId="0" borderId="15" xfId="3" applyNumberFormat="1" applyFont="1" applyBorder="1" applyAlignment="1">
      <alignment horizontal="center" vertical="center" wrapText="1"/>
    </xf>
    <xf numFmtId="0" fontId="8" fillId="2" borderId="7" xfId="0" applyFont="1" applyFill="1" applyBorder="1" applyAlignment="1">
      <alignment horizontal="center" vertical="center" wrapText="1"/>
    </xf>
    <xf numFmtId="11" fontId="12" fillId="0" borderId="24" xfId="0" applyNumberFormat="1" applyFont="1" applyBorder="1" applyAlignment="1">
      <alignment horizontal="center" vertical="center" wrapText="1"/>
    </xf>
    <xf numFmtId="166" fontId="6" fillId="0" borderId="1" xfId="0" applyNumberFormat="1" applyFont="1" applyBorder="1" applyAlignment="1">
      <alignment horizontal="center" vertical="center" wrapText="1"/>
    </xf>
    <xf numFmtId="166" fontId="12" fillId="0" borderId="1" xfId="0" applyNumberFormat="1" applyFont="1" applyBorder="1" applyAlignment="1">
      <alignment horizontal="center" vertical="center" wrapText="1"/>
    </xf>
    <xf numFmtId="0" fontId="35" fillId="0" borderId="46" xfId="0" applyFont="1" applyBorder="1" applyAlignment="1">
      <alignment vertical="center" wrapText="1"/>
    </xf>
    <xf numFmtId="0" fontId="0" fillId="0" borderId="46" xfId="0" applyBorder="1" applyAlignment="1">
      <alignment vertical="center" wrapText="1"/>
    </xf>
    <xf numFmtId="0" fontId="0" fillId="0" borderId="45" xfId="0" applyBorder="1" applyAlignment="1">
      <alignment vertical="center" wrapText="1"/>
    </xf>
    <xf numFmtId="11" fontId="6" fillId="0" borderId="0" xfId="0" applyNumberFormat="1" applyFont="1" applyAlignment="1">
      <alignment horizontal="center"/>
    </xf>
    <xf numFmtId="0" fontId="35" fillId="0" borderId="46" xfId="0" applyFont="1" applyBorder="1" applyAlignment="1">
      <alignment horizontal="center" vertical="center" wrapText="1"/>
    </xf>
    <xf numFmtId="0" fontId="0" fillId="0" borderId="46" xfId="0" applyBorder="1" applyAlignment="1">
      <alignment horizontal="center" vertical="center" wrapText="1"/>
    </xf>
    <xf numFmtId="0" fontId="0" fillId="0" borderId="45" xfId="0" applyBorder="1" applyAlignment="1">
      <alignment horizontal="center" vertical="center" wrapText="1"/>
    </xf>
    <xf numFmtId="0" fontId="0" fillId="0" borderId="0" xfId="0" applyAlignment="1">
      <alignment horizontal="center" vertical="center"/>
    </xf>
    <xf numFmtId="11" fontId="6" fillId="0" borderId="0" xfId="0" applyNumberFormat="1" applyFont="1" applyAlignment="1">
      <alignment horizontal="center" vertical="center"/>
    </xf>
    <xf numFmtId="166" fontId="6" fillId="0" borderId="31" xfId="0" applyNumberFormat="1" applyFont="1" applyBorder="1" applyAlignment="1">
      <alignment horizontal="center" vertical="center"/>
    </xf>
    <xf numFmtId="2" fontId="6" fillId="3" borderId="1" xfId="0" applyNumberFormat="1" applyFont="1" applyFill="1" applyBorder="1" applyAlignment="1">
      <alignment horizontal="center" vertical="center"/>
    </xf>
    <xf numFmtId="0" fontId="6" fillId="0" borderId="79" xfId="0" applyFont="1" applyBorder="1" applyAlignment="1">
      <alignment vertical="center" wrapText="1"/>
    </xf>
    <xf numFmtId="0" fontId="6" fillId="0" borderId="58" xfId="0" applyFont="1" applyBorder="1" applyAlignment="1">
      <alignment vertical="center" wrapText="1"/>
    </xf>
    <xf numFmtId="0" fontId="6" fillId="0" borderId="48" xfId="0" applyFont="1" applyBorder="1" applyAlignment="1">
      <alignment vertical="center" wrapText="1"/>
    </xf>
    <xf numFmtId="2" fontId="6" fillId="0" borderId="34" xfId="0" applyNumberFormat="1" applyFont="1" applyBorder="1" applyAlignment="1">
      <alignment horizontal="center" vertical="center"/>
    </xf>
    <xf numFmtId="2" fontId="6" fillId="0" borderId="22" xfId="0" applyNumberFormat="1" applyFont="1" applyBorder="1" applyAlignment="1">
      <alignment horizontal="center" vertical="center"/>
    </xf>
    <xf numFmtId="2" fontId="6" fillId="0" borderId="33" xfId="0" applyNumberFormat="1" applyFont="1" applyBorder="1" applyAlignment="1">
      <alignment horizontal="center" vertical="center"/>
    </xf>
    <xf numFmtId="2" fontId="6" fillId="0" borderId="17" xfId="0" applyNumberFormat="1" applyFont="1" applyBorder="1" applyAlignment="1">
      <alignment horizontal="center" vertical="center"/>
    </xf>
    <xf numFmtId="2" fontId="6" fillId="0" borderId="36" xfId="0" applyNumberFormat="1" applyFont="1" applyBorder="1" applyAlignment="1">
      <alignment horizontal="center" vertical="center"/>
    </xf>
    <xf numFmtId="0" fontId="16" fillId="12" borderId="1" xfId="0" applyFont="1" applyFill="1" applyBorder="1" applyAlignment="1">
      <alignment horizontal="center" vertical="center" wrapText="1"/>
    </xf>
    <xf numFmtId="0" fontId="6" fillId="0" borderId="8" xfId="0" applyFont="1" applyBorder="1"/>
    <xf numFmtId="0" fontId="14" fillId="5" borderId="41" xfId="0" applyFont="1" applyFill="1" applyBorder="1" applyAlignment="1">
      <alignment vertical="center" wrapText="1"/>
    </xf>
    <xf numFmtId="0" fontId="9" fillId="5" borderId="19" xfId="0" applyFont="1" applyFill="1" applyBorder="1" applyAlignment="1">
      <alignment vertical="center" wrapText="1"/>
    </xf>
    <xf numFmtId="0" fontId="12" fillId="2" borderId="23" xfId="0" applyFont="1" applyFill="1" applyBorder="1" applyAlignment="1" applyProtection="1">
      <alignment vertical="center" wrapText="1"/>
      <protection locked="0"/>
    </xf>
    <xf numFmtId="166" fontId="6" fillId="0" borderId="24" xfId="0" applyNumberFormat="1" applyFont="1" applyBorder="1" applyAlignment="1">
      <alignment horizontal="center" vertical="center"/>
    </xf>
    <xf numFmtId="0" fontId="6" fillId="0" borderId="103" xfId="0" applyFont="1" applyBorder="1" applyAlignment="1">
      <alignment vertical="center" wrapText="1"/>
    </xf>
    <xf numFmtId="2" fontId="6" fillId="0" borderId="104" xfId="0" applyNumberFormat="1" applyFont="1" applyBorder="1" applyAlignment="1">
      <alignment horizontal="center" vertical="center"/>
    </xf>
    <xf numFmtId="2" fontId="6" fillId="0" borderId="105" xfId="0" applyNumberFormat="1" applyFont="1" applyBorder="1" applyAlignment="1">
      <alignment horizontal="center" vertical="center"/>
    </xf>
    <xf numFmtId="0" fontId="6" fillId="0" borderId="106" xfId="0" applyFont="1" applyBorder="1" applyAlignment="1">
      <alignment vertical="center" wrapText="1"/>
    </xf>
    <xf numFmtId="2" fontId="6" fillId="0" borderId="107" xfId="0" applyNumberFormat="1" applyFont="1" applyBorder="1" applyAlignment="1">
      <alignment horizontal="center" vertical="center"/>
    </xf>
    <xf numFmtId="2" fontId="6" fillId="0" borderId="108" xfId="0" applyNumberFormat="1" applyFont="1" applyBorder="1" applyAlignment="1">
      <alignment horizontal="center" vertical="center"/>
    </xf>
    <xf numFmtId="0" fontId="30" fillId="14" borderId="112" xfId="0" applyFont="1" applyFill="1" applyBorder="1" applyAlignment="1">
      <alignment horizontal="center" vertical="center"/>
    </xf>
    <xf numFmtId="0" fontId="30" fillId="14" borderId="113" xfId="0" applyFont="1" applyFill="1" applyBorder="1" applyAlignment="1">
      <alignment horizontal="center" vertical="center"/>
    </xf>
    <xf numFmtId="0" fontId="30" fillId="14" borderId="114" xfId="0" applyFont="1" applyFill="1" applyBorder="1" applyAlignment="1">
      <alignment horizontal="center" vertical="center"/>
    </xf>
    <xf numFmtId="0" fontId="7" fillId="0" borderId="121" xfId="0" applyFont="1" applyBorder="1" applyAlignment="1">
      <alignment vertical="center"/>
    </xf>
    <xf numFmtId="0" fontId="30" fillId="14" borderId="123" xfId="0" applyFont="1" applyFill="1" applyBorder="1" applyAlignment="1">
      <alignment horizontal="center" vertical="center"/>
    </xf>
    <xf numFmtId="0" fontId="36" fillId="3" borderId="0" xfId="0" applyFont="1" applyFill="1" applyAlignment="1">
      <alignment vertical="center"/>
    </xf>
    <xf numFmtId="0" fontId="7" fillId="3" borderId="0" xfId="0" applyFont="1" applyFill="1" applyAlignment="1">
      <alignment vertical="center"/>
    </xf>
    <xf numFmtId="0" fontId="38" fillId="3" borderId="0" xfId="0" applyFont="1" applyFill="1" applyAlignment="1">
      <alignment horizontal="center" vertical="center" wrapText="1"/>
    </xf>
    <xf numFmtId="0" fontId="7" fillId="0" borderId="0" xfId="0" applyFont="1" applyAlignment="1">
      <alignment vertical="center"/>
    </xf>
    <xf numFmtId="2" fontId="7" fillId="0" borderId="66" xfId="0" applyNumberFormat="1" applyFont="1" applyBorder="1" applyAlignment="1">
      <alignment horizontal="center" vertical="center"/>
    </xf>
    <xf numFmtId="2" fontId="7" fillId="0" borderId="116" xfId="0" applyNumberFormat="1" applyFont="1" applyBorder="1" applyAlignment="1">
      <alignment horizontal="center" vertical="center"/>
    </xf>
    <xf numFmtId="166" fontId="7" fillId="0" borderId="24" xfId="0" applyNumberFormat="1" applyFont="1" applyBorder="1" applyAlignment="1">
      <alignment horizontal="center" vertical="center"/>
    </xf>
    <xf numFmtId="2" fontId="7" fillId="0" borderId="24" xfId="0" applyNumberFormat="1" applyFont="1" applyBorder="1" applyAlignment="1">
      <alignment horizontal="center" vertical="center"/>
    </xf>
    <xf numFmtId="166" fontId="7" fillId="0" borderId="1" xfId="0" applyNumberFormat="1" applyFont="1" applyBorder="1" applyAlignment="1">
      <alignment horizontal="center" vertical="center"/>
    </xf>
    <xf numFmtId="166" fontId="7" fillId="0" borderId="118" xfId="0" applyNumberFormat="1" applyFont="1" applyBorder="1" applyAlignment="1">
      <alignment horizontal="center" vertical="center"/>
    </xf>
    <xf numFmtId="3" fontId="36" fillId="3" borderId="0" xfId="0" applyNumberFormat="1" applyFont="1" applyFill="1" applyAlignment="1">
      <alignment horizontal="center" vertical="center" wrapText="1"/>
    </xf>
    <xf numFmtId="2" fontId="7" fillId="0" borderId="1" xfId="0" applyNumberFormat="1" applyFont="1" applyBorder="1" applyAlignment="1">
      <alignment horizontal="center" vertical="center"/>
    </xf>
    <xf numFmtId="2" fontId="7" fillId="0" borderId="118" xfId="0" applyNumberFormat="1" applyFont="1" applyBorder="1" applyAlignment="1">
      <alignment horizontal="center" vertical="center"/>
    </xf>
    <xf numFmtId="166" fontId="7" fillId="0" borderId="121" xfId="0" applyNumberFormat="1" applyFont="1" applyBorder="1" applyAlignment="1">
      <alignment horizontal="center" vertical="center"/>
    </xf>
    <xf numFmtId="166" fontId="7" fillId="0" borderId="122" xfId="0" applyNumberFormat="1" applyFont="1" applyBorder="1" applyAlignment="1">
      <alignment horizontal="center" vertical="center"/>
    </xf>
    <xf numFmtId="0" fontId="7" fillId="3" borderId="0" xfId="0" applyFont="1" applyFill="1" applyAlignment="1">
      <alignment horizontal="center" vertical="center"/>
    </xf>
    <xf numFmtId="0" fontId="9" fillId="2" borderId="1" xfId="0" applyFont="1" applyFill="1" applyBorder="1" applyAlignment="1">
      <alignment horizontal="center" vertical="center" wrapText="1"/>
    </xf>
    <xf numFmtId="11" fontId="6" fillId="0" borderId="0" xfId="0" applyNumberFormat="1" applyFont="1"/>
    <xf numFmtId="166" fontId="6" fillId="3" borderId="1" xfId="0" applyNumberFormat="1" applyFont="1" applyFill="1" applyBorder="1" applyAlignment="1">
      <alignment horizontal="center" vertical="center"/>
    </xf>
    <xf numFmtId="166" fontId="6" fillId="0" borderId="0" xfId="0" applyNumberFormat="1" applyFont="1"/>
    <xf numFmtId="164" fontId="12" fillId="0" borderId="15" xfId="0" applyNumberFormat="1" applyFont="1" applyBorder="1" applyAlignment="1">
      <alignment horizontal="center" vertical="center" wrapText="1"/>
    </xf>
    <xf numFmtId="0" fontId="6" fillId="3" borderId="0" xfId="0" applyFont="1" applyFill="1" applyAlignment="1">
      <alignment horizontal="left" vertical="center"/>
    </xf>
    <xf numFmtId="0" fontId="32" fillId="14" borderId="47" xfId="0" applyFont="1" applyFill="1" applyBorder="1" applyAlignment="1">
      <alignment horizontal="left" vertical="center" wrapText="1"/>
    </xf>
    <xf numFmtId="0" fontId="32" fillId="14" borderId="54" xfId="0" applyFont="1" applyFill="1" applyBorder="1" applyAlignment="1">
      <alignment horizontal="left" vertical="center" wrapText="1"/>
    </xf>
    <xf numFmtId="0" fontId="12" fillId="0" borderId="1" xfId="0" applyFont="1" applyBorder="1" applyAlignment="1">
      <alignment horizontal="left" vertical="center"/>
    </xf>
    <xf numFmtId="171" fontId="12" fillId="0" borderId="15" xfId="0" applyNumberFormat="1" applyFont="1" applyBorder="1" applyAlignment="1">
      <alignment horizontal="center" vertical="center"/>
    </xf>
    <xf numFmtId="0" fontId="0" fillId="0" borderId="125" xfId="0" applyBorder="1" applyAlignment="1">
      <alignment wrapText="1"/>
    </xf>
    <xf numFmtId="0" fontId="6" fillId="0" borderId="52" xfId="0" applyFont="1" applyBorder="1" applyAlignment="1">
      <alignment horizontal="center" vertical="center"/>
    </xf>
    <xf numFmtId="0" fontId="0" fillId="3" borderId="1" xfId="0" applyFill="1" applyBorder="1" applyAlignment="1">
      <alignment horizontal="center" vertical="center"/>
    </xf>
    <xf numFmtId="11" fontId="6" fillId="0" borderId="1" xfId="0" applyNumberFormat="1" applyFont="1" applyBorder="1" applyAlignment="1">
      <alignment horizontal="center" vertical="center"/>
    </xf>
    <xf numFmtId="0" fontId="34" fillId="0" borderId="46" xfId="0" applyFont="1" applyBorder="1" applyAlignment="1">
      <alignment vertical="center" wrapText="1"/>
    </xf>
    <xf numFmtId="0" fontId="35" fillId="0" borderId="102" xfId="0" applyFont="1" applyBorder="1" applyAlignment="1">
      <alignment vertical="center" wrapText="1"/>
    </xf>
    <xf numFmtId="0" fontId="39" fillId="0" borderId="125" xfId="0" applyFont="1" applyBorder="1" applyAlignment="1">
      <alignment wrapText="1"/>
    </xf>
    <xf numFmtId="166" fontId="12" fillId="0" borderId="0" xfId="0" applyNumberFormat="1" applyFont="1" applyAlignment="1">
      <alignment horizontal="center" vertical="center" wrapText="1"/>
    </xf>
    <xf numFmtId="166" fontId="6" fillId="0" borderId="26" xfId="0" applyNumberFormat="1" applyFont="1" applyBorder="1" applyAlignment="1">
      <alignment horizontal="center" vertical="center"/>
    </xf>
    <xf numFmtId="11" fontId="12" fillId="0" borderId="26" xfId="0" applyNumberFormat="1" applyFont="1" applyBorder="1" applyAlignment="1">
      <alignment horizontal="center" vertical="center" wrapText="1"/>
    </xf>
    <xf numFmtId="0" fontId="12" fillId="0" borderId="0" xfId="0" applyFont="1" applyAlignment="1">
      <alignment vertical="center"/>
    </xf>
    <xf numFmtId="0" fontId="6" fillId="0" borderId="21" xfId="0" applyFont="1" applyBorder="1" applyAlignment="1">
      <alignment horizontal="center" vertical="center" wrapText="1"/>
    </xf>
    <xf numFmtId="0" fontId="12" fillId="0" borderId="17" xfId="0" applyFont="1" applyBorder="1" applyAlignment="1">
      <alignment vertical="center"/>
    </xf>
    <xf numFmtId="0" fontId="12" fillId="0" borderId="15" xfId="0" applyFont="1" applyBorder="1" applyAlignment="1">
      <alignment vertical="center"/>
    </xf>
    <xf numFmtId="0" fontId="12" fillId="0" borderId="15" xfId="0" applyFont="1" applyBorder="1" applyAlignment="1">
      <alignment horizontal="left" vertical="center"/>
    </xf>
    <xf numFmtId="0" fontId="12" fillId="0" borderId="19" xfId="0" applyFont="1" applyBorder="1" applyAlignment="1">
      <alignment horizontal="center" vertical="center"/>
    </xf>
    <xf numFmtId="0" fontId="12" fillId="0" borderId="20" xfId="0" applyFont="1" applyBorder="1" applyAlignment="1">
      <alignment vertical="center"/>
    </xf>
    <xf numFmtId="0" fontId="12" fillId="0" borderId="21" xfId="0" applyFont="1" applyBorder="1" applyAlignment="1">
      <alignment horizontal="center" vertical="center"/>
    </xf>
    <xf numFmtId="2" fontId="12" fillId="0" borderId="17" xfId="0" applyNumberFormat="1" applyFont="1" applyBorder="1" applyAlignment="1">
      <alignment horizontal="center" vertical="center"/>
    </xf>
    <xf numFmtId="2" fontId="12" fillId="0" borderId="20" xfId="0" applyNumberFormat="1" applyFont="1" applyBorder="1" applyAlignment="1">
      <alignment horizontal="center" vertical="center"/>
    </xf>
    <xf numFmtId="0" fontId="6" fillId="0" borderId="34" xfId="0" applyFont="1" applyBorder="1" applyAlignment="1">
      <alignment horizontal="center" vertical="center"/>
    </xf>
    <xf numFmtId="0" fontId="30" fillId="14" borderId="126" xfId="0" applyFont="1" applyFill="1" applyBorder="1" applyAlignment="1">
      <alignment horizontal="center" vertical="center"/>
    </xf>
    <xf numFmtId="0" fontId="30" fillId="14" borderId="126" xfId="0" applyFont="1" applyFill="1" applyBorder="1" applyAlignment="1">
      <alignment horizontal="left" vertical="center"/>
    </xf>
    <xf numFmtId="0" fontId="30" fillId="14" borderId="127" xfId="0" applyFont="1" applyFill="1" applyBorder="1" applyAlignment="1">
      <alignment horizontal="left" vertical="center"/>
    </xf>
    <xf numFmtId="0" fontId="7" fillId="0" borderId="15" xfId="0" applyFont="1" applyBorder="1" applyAlignment="1">
      <alignment vertical="center"/>
    </xf>
    <xf numFmtId="0" fontId="7" fillId="0" borderId="16" xfId="0" applyFont="1" applyBorder="1" applyAlignment="1">
      <alignment vertical="center"/>
    </xf>
    <xf numFmtId="166" fontId="7" fillId="0" borderId="16" xfId="0" applyNumberFormat="1" applyFont="1" applyBorder="1" applyAlignment="1">
      <alignment horizontal="center" vertical="center"/>
    </xf>
    <xf numFmtId="166" fontId="7" fillId="0" borderId="23" xfId="0" applyNumberFormat="1" applyFont="1" applyBorder="1" applyAlignment="1">
      <alignment horizontal="center" vertical="center"/>
    </xf>
    <xf numFmtId="2" fontId="6" fillId="3" borderId="1" xfId="0" applyNumberFormat="1" applyFont="1" applyFill="1" applyBorder="1" applyAlignment="1">
      <alignment horizontal="center"/>
    </xf>
    <xf numFmtId="166" fontId="6" fillId="3" borderId="1" xfId="0" applyNumberFormat="1" applyFont="1" applyFill="1" applyBorder="1" applyAlignment="1">
      <alignment horizontal="center"/>
    </xf>
    <xf numFmtId="0" fontId="18" fillId="0" borderId="0" xfId="0" applyFont="1"/>
    <xf numFmtId="0" fontId="8" fillId="2" borderId="25" xfId="0" applyFont="1" applyFill="1" applyBorder="1" applyAlignment="1">
      <alignment vertical="center"/>
    </xf>
    <xf numFmtId="0" fontId="8" fillId="2" borderId="26" xfId="0" applyFont="1" applyFill="1" applyBorder="1" applyAlignment="1">
      <alignment vertical="center"/>
    </xf>
    <xf numFmtId="0" fontId="12" fillId="0" borderId="0" xfId="0" applyFont="1"/>
    <xf numFmtId="0" fontId="9" fillId="2" borderId="24" xfId="0" applyFont="1" applyFill="1" applyBorder="1" applyAlignment="1">
      <alignment vertical="center"/>
    </xf>
    <xf numFmtId="0" fontId="9" fillId="2" borderId="1" xfId="0" applyFont="1" applyFill="1" applyBorder="1" applyAlignment="1">
      <alignment horizontal="center" vertical="center"/>
    </xf>
    <xf numFmtId="0" fontId="9" fillId="2" borderId="31" xfId="0" applyFont="1" applyFill="1" applyBorder="1" applyAlignment="1">
      <alignment horizontal="center" vertical="center"/>
    </xf>
    <xf numFmtId="0" fontId="35" fillId="0" borderId="46" xfId="0" applyFont="1" applyBorder="1" applyAlignment="1">
      <alignment horizontal="center" vertical="center"/>
    </xf>
    <xf numFmtId="0" fontId="35" fillId="0" borderId="46" xfId="0" applyFont="1" applyBorder="1" applyAlignment="1">
      <alignment vertical="center"/>
    </xf>
    <xf numFmtId="0" fontId="13" fillId="0" borderId="1" xfId="0" applyFont="1" applyBorder="1" applyAlignment="1">
      <alignment horizontal="center" vertical="center"/>
    </xf>
    <xf numFmtId="0" fontId="6" fillId="0" borderId="21" xfId="0" applyFont="1" applyBorder="1" applyAlignment="1">
      <alignment vertical="center"/>
    </xf>
    <xf numFmtId="0" fontId="6" fillId="0" borderId="7" xfId="0" applyFont="1" applyBorder="1"/>
    <xf numFmtId="0" fontId="0" fillId="0" borderId="46" xfId="0" applyBorder="1" applyAlignment="1">
      <alignment horizontal="center" vertical="center"/>
    </xf>
    <xf numFmtId="0" fontId="0" fillId="0" borderId="46" xfId="0" applyBorder="1" applyAlignment="1">
      <alignment vertical="center"/>
    </xf>
    <xf numFmtId="0" fontId="34" fillId="0" borderId="46" xfId="0" applyFont="1" applyBorder="1" applyAlignment="1">
      <alignment vertical="center"/>
    </xf>
    <xf numFmtId="0" fontId="6" fillId="0" borderId="125" xfId="0" applyFont="1" applyBorder="1"/>
    <xf numFmtId="0" fontId="6" fillId="0" borderId="1" xfId="0" applyFont="1" applyBorder="1"/>
    <xf numFmtId="0" fontId="6" fillId="0" borderId="125" xfId="0" applyFont="1" applyBorder="1" applyAlignment="1">
      <alignment vertical="center"/>
    </xf>
    <xf numFmtId="0" fontId="0" fillId="0" borderId="45" xfId="0" applyBorder="1" applyAlignment="1">
      <alignment horizontal="center" vertical="center"/>
    </xf>
    <xf numFmtId="0" fontId="0" fillId="0" borderId="45" xfId="0" applyBorder="1" applyAlignment="1">
      <alignment vertical="center"/>
    </xf>
    <xf numFmtId="164" fontId="0" fillId="0" borderId="128" xfId="0" applyNumberFormat="1" applyBorder="1" applyAlignment="1">
      <alignment horizontal="center"/>
    </xf>
    <xf numFmtId="166" fontId="0" fillId="0" borderId="129" xfId="0" applyNumberFormat="1" applyBorder="1" applyAlignment="1">
      <alignment horizontal="center"/>
    </xf>
    <xf numFmtId="11" fontId="6" fillId="13" borderId="1" xfId="0" applyNumberFormat="1" applyFont="1" applyFill="1" applyBorder="1" applyAlignment="1">
      <alignment horizontal="center" vertical="center"/>
    </xf>
    <xf numFmtId="166" fontId="6" fillId="0" borderId="1" xfId="0" applyNumberFormat="1" applyFont="1" applyBorder="1" applyAlignment="1">
      <alignment horizontal="center"/>
    </xf>
    <xf numFmtId="0" fontId="34" fillId="16" borderId="46" xfId="0" applyFont="1" applyFill="1" applyBorder="1" applyAlignment="1">
      <alignment vertical="center"/>
    </xf>
    <xf numFmtId="0" fontId="0" fillId="16" borderId="46" xfId="0" applyFill="1" applyBorder="1" applyAlignment="1">
      <alignment vertical="center"/>
    </xf>
    <xf numFmtId="2" fontId="7" fillId="0" borderId="15" xfId="0" applyNumberFormat="1" applyFont="1" applyBorder="1" applyAlignment="1">
      <alignment horizontal="center" vertical="center"/>
    </xf>
    <xf numFmtId="2" fontId="7" fillId="0" borderId="19" xfId="0" applyNumberFormat="1" applyFont="1" applyBorder="1" applyAlignment="1">
      <alignment horizontal="center" vertical="center"/>
    </xf>
    <xf numFmtId="2" fontId="7" fillId="0" borderId="21" xfId="0" applyNumberFormat="1" applyFont="1" applyBorder="1" applyAlignment="1">
      <alignment horizontal="center" vertical="center"/>
    </xf>
    <xf numFmtId="11" fontId="7" fillId="0" borderId="1" xfId="0" applyNumberFormat="1" applyFont="1" applyBorder="1" applyAlignment="1">
      <alignment horizontal="center" vertical="center"/>
    </xf>
    <xf numFmtId="11" fontId="7" fillId="0" borderId="21" xfId="0" applyNumberFormat="1" applyFont="1" applyBorder="1" applyAlignment="1">
      <alignment horizontal="center" vertical="center"/>
    </xf>
    <xf numFmtId="164" fontId="6" fillId="3" borderId="1" xfId="0" applyNumberFormat="1" applyFont="1" applyFill="1" applyBorder="1" applyAlignment="1">
      <alignment horizontal="center" vertical="center"/>
    </xf>
    <xf numFmtId="164" fontId="6" fillId="0" borderId="1" xfId="0" applyNumberFormat="1" applyFont="1" applyBorder="1" applyAlignment="1">
      <alignment horizontal="center" vertical="center"/>
    </xf>
    <xf numFmtId="1" fontId="6" fillId="3" borderId="1" xfId="0" applyNumberFormat="1" applyFont="1" applyFill="1" applyBorder="1" applyAlignment="1">
      <alignment horizontal="center" vertical="center"/>
    </xf>
    <xf numFmtId="0" fontId="36" fillId="0" borderId="46" xfId="0" applyFont="1" applyBorder="1" applyAlignment="1">
      <alignment vertical="center" wrapText="1"/>
    </xf>
    <xf numFmtId="0" fontId="7" fillId="0" borderId="46" xfId="0" applyFont="1" applyBorder="1" applyAlignment="1">
      <alignment vertical="center" wrapText="1"/>
    </xf>
    <xf numFmtId="0" fontId="7" fillId="0" borderId="45" xfId="0" applyFont="1" applyBorder="1" applyAlignment="1">
      <alignment vertical="center" wrapText="1"/>
    </xf>
    <xf numFmtId="2" fontId="7" fillId="0" borderId="1" xfId="0" applyNumberFormat="1" applyFont="1" applyBorder="1" applyAlignment="1">
      <alignment horizontal="center"/>
    </xf>
    <xf numFmtId="2" fontId="6" fillId="0" borderId="24" xfId="0" applyNumberFormat="1" applyFont="1" applyBorder="1" applyAlignment="1">
      <alignment horizontal="center" vertical="center"/>
    </xf>
    <xf numFmtId="2" fontId="6" fillId="0" borderId="132" xfId="0" applyNumberFormat="1" applyFont="1" applyBorder="1" applyAlignment="1">
      <alignment horizontal="center" vertical="center"/>
    </xf>
    <xf numFmtId="0" fontId="9" fillId="5" borderId="135" xfId="0" applyFont="1" applyFill="1" applyBorder="1" applyAlignment="1">
      <alignment horizontal="center" vertical="center" wrapText="1"/>
    </xf>
    <xf numFmtId="0" fontId="9" fillId="5" borderId="136" xfId="0" applyFont="1" applyFill="1" applyBorder="1" applyAlignment="1">
      <alignment horizontal="center" vertical="center" wrapText="1"/>
    </xf>
    <xf numFmtId="0" fontId="9" fillId="5" borderId="137" xfId="0" applyFont="1" applyFill="1" applyBorder="1" applyAlignment="1">
      <alignment horizontal="center" vertical="center" wrapText="1"/>
    </xf>
    <xf numFmtId="2" fontId="6" fillId="0" borderId="139" xfId="0" applyNumberFormat="1" applyFont="1" applyBorder="1" applyAlignment="1">
      <alignment horizontal="center" vertical="center"/>
    </xf>
    <xf numFmtId="0" fontId="6" fillId="0" borderId="142" xfId="0" applyFont="1" applyBorder="1" applyAlignment="1">
      <alignment vertical="center" wrapText="1"/>
    </xf>
    <xf numFmtId="2" fontId="6" fillId="0" borderId="143" xfId="0" applyNumberFormat="1" applyFont="1" applyBorder="1" applyAlignment="1">
      <alignment horizontal="center" vertical="center"/>
    </xf>
    <xf numFmtId="0" fontId="7" fillId="3" borderId="0" xfId="0" applyFont="1" applyFill="1"/>
    <xf numFmtId="172" fontId="6" fillId="0" borderId="1" xfId="0" applyNumberFormat="1" applyFont="1" applyBorder="1" applyAlignment="1">
      <alignment horizontal="center" vertical="center" wrapText="1"/>
    </xf>
    <xf numFmtId="0" fontId="9" fillId="5" borderId="34"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9" fillId="5" borderId="15" xfId="0" applyFont="1" applyFill="1" applyBorder="1" applyAlignment="1">
      <alignment horizontal="center" vertical="center" wrapText="1"/>
    </xf>
    <xf numFmtId="0" fontId="9" fillId="5" borderId="31" xfId="0" applyFont="1" applyFill="1" applyBorder="1" applyAlignment="1">
      <alignment horizontal="center" vertical="center" wrapText="1"/>
    </xf>
    <xf numFmtId="0" fontId="9" fillId="5" borderId="69"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15" fillId="3" borderId="0" xfId="0" applyFont="1" applyFill="1" applyAlignment="1">
      <alignment horizontal="center" vertical="center" wrapText="1"/>
    </xf>
    <xf numFmtId="11" fontId="6" fillId="3" borderId="1" xfId="0" applyNumberFormat="1" applyFont="1" applyFill="1" applyBorder="1" applyAlignment="1">
      <alignment horizontal="center" vertical="center"/>
    </xf>
    <xf numFmtId="11" fontId="6" fillId="3" borderId="16" xfId="0" applyNumberFormat="1" applyFont="1" applyFill="1" applyBorder="1" applyAlignment="1">
      <alignment horizontal="center" vertical="center"/>
    </xf>
    <xf numFmtId="11" fontId="6" fillId="3" borderId="15" xfId="0" applyNumberFormat="1" applyFont="1" applyFill="1" applyBorder="1" applyAlignment="1">
      <alignment horizontal="center" vertical="center"/>
    </xf>
    <xf numFmtId="0" fontId="6" fillId="3" borderId="15" xfId="0" applyFont="1" applyFill="1" applyBorder="1" applyAlignment="1">
      <alignment horizontal="center" vertical="center"/>
    </xf>
    <xf numFmtId="0" fontId="9" fillId="5" borderId="16" xfId="0" applyFont="1" applyFill="1" applyBorder="1" applyAlignment="1">
      <alignment horizontal="center" vertical="center" wrapText="1"/>
    </xf>
    <xf numFmtId="0" fontId="6" fillId="3" borderId="16" xfId="0" applyFont="1" applyFill="1" applyBorder="1" applyAlignment="1">
      <alignment horizontal="center" vertical="center"/>
    </xf>
    <xf numFmtId="0" fontId="9" fillId="15" borderId="1" xfId="0" applyFont="1" applyFill="1" applyBorder="1" applyAlignment="1">
      <alignment horizontal="center" vertical="center"/>
    </xf>
    <xf numFmtId="0" fontId="8" fillId="15" borderId="1" xfId="0" applyFont="1" applyFill="1" applyBorder="1" applyAlignment="1">
      <alignment horizontal="center" vertical="center"/>
    </xf>
    <xf numFmtId="0" fontId="9" fillId="1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7" fillId="0" borderId="1" xfId="0" applyFont="1" applyBorder="1" applyAlignment="1">
      <alignment vertical="center"/>
    </xf>
    <xf numFmtId="0" fontId="6" fillId="3" borderId="0" xfId="0" applyFont="1" applyFill="1" applyAlignment="1">
      <alignment horizontal="center"/>
    </xf>
    <xf numFmtId="0" fontId="6" fillId="3" borderId="0" xfId="0" applyFont="1" applyFill="1" applyAlignment="1">
      <alignment wrapText="1"/>
    </xf>
    <xf numFmtId="49" fontId="5" fillId="3" borderId="0" xfId="0" quotePrefix="1" applyNumberFormat="1" applyFont="1" applyFill="1" applyAlignment="1">
      <alignment horizontal="center"/>
    </xf>
    <xf numFmtId="0" fontId="40" fillId="3" borderId="0" xfId="0" applyFont="1" applyFill="1" applyAlignment="1">
      <alignment horizontal="center" vertical="center" wrapText="1"/>
    </xf>
    <xf numFmtId="0" fontId="4" fillId="3" borderId="0" xfId="0" applyFont="1" applyFill="1" applyAlignment="1">
      <alignment horizontal="center" vertical="center" wrapText="1"/>
    </xf>
    <xf numFmtId="0" fontId="8" fillId="13" borderId="1" xfId="0" applyFont="1" applyFill="1" applyBorder="1" applyAlignment="1">
      <alignment horizontal="left"/>
    </xf>
    <xf numFmtId="0" fontId="8" fillId="13" borderId="52" xfId="0" applyFont="1" applyFill="1" applyBorder="1" applyAlignment="1">
      <alignment horizontal="left"/>
    </xf>
    <xf numFmtId="0" fontId="8" fillId="13" borderId="71" xfId="0" applyFont="1" applyFill="1" applyBorder="1" applyAlignment="1">
      <alignment horizontal="left"/>
    </xf>
    <xf numFmtId="0" fontId="8" fillId="13" borderId="70" xfId="0" applyFont="1" applyFill="1" applyBorder="1" applyAlignment="1">
      <alignment horizontal="left"/>
    </xf>
    <xf numFmtId="0" fontId="9" fillId="5" borderId="48" xfId="0" applyFont="1" applyFill="1" applyBorder="1" applyAlignment="1">
      <alignment horizontal="center" vertical="center" wrapText="1"/>
    </xf>
    <xf numFmtId="0" fontId="9" fillId="5" borderId="56" xfId="0" applyFont="1" applyFill="1" applyBorder="1" applyAlignment="1">
      <alignment horizontal="center" vertical="center" wrapText="1"/>
    </xf>
    <xf numFmtId="0" fontId="12" fillId="2" borderId="17" xfId="0" applyFont="1" applyFill="1" applyBorder="1" applyAlignment="1">
      <alignment horizontal="center" vertical="center" wrapText="1"/>
    </xf>
    <xf numFmtId="0" fontId="12" fillId="2" borderId="22" xfId="0" applyFont="1" applyFill="1" applyBorder="1" applyAlignment="1">
      <alignment horizontal="center" vertical="center" wrapText="1"/>
    </xf>
    <xf numFmtId="1" fontId="6" fillId="3" borderId="24" xfId="0" applyNumberFormat="1" applyFont="1" applyFill="1" applyBorder="1" applyAlignment="1">
      <alignment horizontal="center" vertical="center"/>
    </xf>
    <xf numFmtId="1" fontId="6" fillId="3" borderId="16" xfId="0" applyNumberFormat="1" applyFont="1" applyFill="1" applyBorder="1" applyAlignment="1">
      <alignment horizontal="center" vertical="center"/>
    </xf>
    <xf numFmtId="0" fontId="9" fillId="5" borderId="34" xfId="0" applyFont="1" applyFill="1" applyBorder="1" applyAlignment="1">
      <alignment horizontal="center" vertical="center" wrapText="1"/>
    </xf>
    <xf numFmtId="0" fontId="9" fillId="5" borderId="39" xfId="0" applyFont="1" applyFill="1" applyBorder="1" applyAlignment="1">
      <alignment horizontal="center" vertical="center" wrapText="1"/>
    </xf>
    <xf numFmtId="0" fontId="9" fillId="5" borderId="25" xfId="0" applyFont="1" applyFill="1" applyBorder="1" applyAlignment="1">
      <alignment horizontal="center" vertical="center" wrapText="1"/>
    </xf>
    <xf numFmtId="0" fontId="9" fillId="5" borderId="37" xfId="0" applyFont="1" applyFill="1" applyBorder="1" applyAlignment="1">
      <alignment horizontal="center" vertical="center" wrapText="1"/>
    </xf>
    <xf numFmtId="0" fontId="9" fillId="5" borderId="25" xfId="0" applyFont="1" applyFill="1" applyBorder="1" applyAlignment="1">
      <alignment horizontal="center" vertical="center"/>
    </xf>
    <xf numFmtId="0" fontId="9" fillId="5" borderId="37" xfId="0" applyFont="1" applyFill="1" applyBorder="1" applyAlignment="1">
      <alignment horizontal="center" vertical="center"/>
    </xf>
    <xf numFmtId="0" fontId="12" fillId="2" borderId="34" xfId="0" applyFont="1" applyFill="1" applyBorder="1" applyAlignment="1">
      <alignment horizontal="center" vertical="center" wrapText="1"/>
    </xf>
    <xf numFmtId="0" fontId="12" fillId="2" borderId="39" xfId="0" applyFont="1" applyFill="1" applyBorder="1" applyAlignment="1">
      <alignment horizontal="center" vertical="center" wrapText="1"/>
    </xf>
    <xf numFmtId="1" fontId="6" fillId="3" borderId="25" xfId="0" applyNumberFormat="1" applyFont="1" applyFill="1" applyBorder="1" applyAlignment="1">
      <alignment horizontal="center" vertical="center"/>
    </xf>
    <xf numFmtId="1" fontId="6" fillId="3" borderId="37" xfId="0" applyNumberFormat="1" applyFont="1" applyFill="1" applyBorder="1" applyAlignment="1">
      <alignment horizontal="center" vertical="center"/>
    </xf>
    <xf numFmtId="0" fontId="9" fillId="5" borderId="15" xfId="0" applyFont="1" applyFill="1" applyBorder="1" applyAlignment="1">
      <alignment horizontal="center" vertical="center" wrapText="1"/>
    </xf>
    <xf numFmtId="0" fontId="9" fillId="5" borderId="18" xfId="0" applyFont="1" applyFill="1" applyBorder="1" applyAlignment="1">
      <alignment horizontal="center" vertical="center" wrapText="1"/>
    </xf>
    <xf numFmtId="0" fontId="9" fillId="5" borderId="55" xfId="0" applyFont="1" applyFill="1" applyBorder="1" applyAlignment="1">
      <alignment horizontal="center" vertical="center" wrapText="1"/>
    </xf>
    <xf numFmtId="0" fontId="9" fillId="3" borderId="30" xfId="0" applyFont="1" applyFill="1" applyBorder="1" applyAlignment="1">
      <alignment horizontal="left" vertical="center"/>
    </xf>
    <xf numFmtId="0" fontId="9" fillId="3" borderId="0" xfId="0" applyFont="1" applyFill="1" applyAlignment="1">
      <alignment horizontal="left" vertical="center"/>
    </xf>
    <xf numFmtId="0" fontId="9" fillId="5" borderId="31" xfId="0" applyFont="1" applyFill="1" applyBorder="1" applyAlignment="1">
      <alignment horizontal="center" vertical="center" wrapText="1"/>
    </xf>
    <xf numFmtId="0" fontId="9" fillId="5" borderId="42" xfId="0" applyFont="1" applyFill="1" applyBorder="1" applyAlignment="1">
      <alignment horizontal="center" vertical="center" wrapText="1"/>
    </xf>
    <xf numFmtId="0" fontId="9" fillId="5" borderId="131" xfId="0" applyFont="1" applyFill="1" applyBorder="1" applyAlignment="1">
      <alignment horizontal="center" vertical="center" wrapText="1"/>
    </xf>
    <xf numFmtId="11" fontId="8" fillId="0" borderId="25" xfId="0" applyNumberFormat="1" applyFont="1" applyBorder="1" applyAlignment="1">
      <alignment horizontal="center" vertical="center" wrapText="1"/>
    </xf>
    <xf numFmtId="0" fontId="8" fillId="0" borderId="37" xfId="0" applyFont="1" applyBorder="1" applyAlignment="1">
      <alignment horizontal="center" vertical="center" wrapText="1"/>
    </xf>
    <xf numFmtId="0" fontId="9" fillId="5" borderId="26" xfId="0" applyFont="1" applyFill="1" applyBorder="1" applyAlignment="1">
      <alignment horizontal="center" vertical="center"/>
    </xf>
    <xf numFmtId="0" fontId="9" fillId="5" borderId="26" xfId="0" applyFont="1" applyFill="1" applyBorder="1" applyAlignment="1">
      <alignment horizontal="center" vertical="center" wrapText="1"/>
    </xf>
    <xf numFmtId="0" fontId="14" fillId="5" borderId="40" xfId="0" applyFont="1" applyFill="1" applyBorder="1" applyAlignment="1">
      <alignment horizontal="center" vertical="center" wrapText="1"/>
    </xf>
    <xf numFmtId="0" fontId="14" fillId="5" borderId="41" xfId="0" applyFont="1" applyFill="1" applyBorder="1" applyAlignment="1">
      <alignment horizontal="center" vertical="center" wrapText="1"/>
    </xf>
    <xf numFmtId="0" fontId="9" fillId="5" borderId="2" xfId="0" applyFont="1" applyFill="1" applyBorder="1" applyAlignment="1">
      <alignment horizontal="center" vertical="center" wrapText="1"/>
    </xf>
    <xf numFmtId="0" fontId="9" fillId="5" borderId="130" xfId="0" applyFont="1" applyFill="1" applyBorder="1" applyAlignment="1">
      <alignment horizontal="center" vertical="center" wrapText="1"/>
    </xf>
    <xf numFmtId="0" fontId="9" fillId="5" borderId="121" xfId="0" applyFont="1" applyFill="1" applyBorder="1" applyAlignment="1">
      <alignment horizontal="center" vertical="center" wrapText="1"/>
    </xf>
    <xf numFmtId="0" fontId="12" fillId="2" borderId="29" xfId="0" applyFont="1" applyFill="1" applyBorder="1" applyAlignment="1" applyProtection="1">
      <alignment horizontal="center" vertical="center" wrapText="1"/>
      <protection locked="0"/>
    </xf>
    <xf numFmtId="0" fontId="12" fillId="2" borderId="72" xfId="0" applyFont="1" applyFill="1" applyBorder="1" applyAlignment="1" applyProtection="1">
      <alignment horizontal="center" vertical="center" wrapText="1"/>
      <protection locked="0"/>
    </xf>
    <xf numFmtId="0" fontId="9" fillId="5" borderId="44"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14" fillId="4" borderId="49" xfId="0" applyFont="1" applyFill="1" applyBorder="1" applyAlignment="1">
      <alignment horizontal="center" vertical="center" wrapText="1"/>
    </xf>
    <xf numFmtId="0" fontId="9" fillId="5" borderId="134" xfId="0" applyFont="1" applyFill="1" applyBorder="1" applyAlignment="1">
      <alignment horizontal="center" vertical="center" wrapText="1"/>
    </xf>
    <xf numFmtId="0" fontId="9" fillId="5" borderId="34" xfId="0" applyFont="1" applyFill="1" applyBorder="1" applyAlignment="1">
      <alignment horizontal="center" vertical="center"/>
    </xf>
    <xf numFmtId="0" fontId="9" fillId="5" borderId="42" xfId="0" applyFont="1" applyFill="1" applyBorder="1" applyAlignment="1">
      <alignment horizontal="center" vertical="center"/>
    </xf>
    <xf numFmtId="0" fontId="9" fillId="5" borderId="17" xfId="0" applyFont="1" applyFill="1" applyBorder="1" applyAlignment="1">
      <alignment horizontal="center" vertical="center"/>
    </xf>
    <xf numFmtId="0" fontId="9" fillId="5" borderId="33" xfId="0" applyFont="1" applyFill="1" applyBorder="1" applyAlignment="1">
      <alignment horizontal="center" vertical="center"/>
    </xf>
    <xf numFmtId="0" fontId="9" fillId="5" borderId="15" xfId="0" applyFont="1" applyFill="1" applyBorder="1" applyAlignment="1">
      <alignment horizontal="center" vertical="center"/>
    </xf>
    <xf numFmtId="0" fontId="9" fillId="5" borderId="31" xfId="0" applyFont="1" applyFill="1" applyBorder="1" applyAlignment="1">
      <alignment horizontal="center" vertical="center"/>
    </xf>
    <xf numFmtId="0" fontId="6" fillId="2" borderId="47" xfId="0" applyFont="1" applyFill="1" applyBorder="1" applyAlignment="1">
      <alignment horizontal="center" vertical="center" wrapText="1"/>
    </xf>
    <xf numFmtId="0" fontId="6" fillId="2" borderId="50" xfId="0" applyFont="1" applyFill="1" applyBorder="1" applyAlignment="1">
      <alignment horizontal="center" vertical="center" wrapText="1"/>
    </xf>
    <xf numFmtId="0" fontId="9" fillId="5" borderId="133" xfId="0" applyFont="1" applyFill="1" applyBorder="1" applyAlignment="1">
      <alignment horizontal="center" vertical="center"/>
    </xf>
    <xf numFmtId="0" fontId="9" fillId="5" borderId="117" xfId="0" applyFont="1" applyFill="1" applyBorder="1" applyAlignment="1">
      <alignment horizontal="center" vertical="center"/>
    </xf>
    <xf numFmtId="0" fontId="9" fillId="5" borderId="17" xfId="0" applyFont="1" applyFill="1" applyBorder="1" applyAlignment="1">
      <alignment horizontal="center" vertical="center" wrapText="1"/>
    </xf>
    <xf numFmtId="0" fontId="9" fillId="5" borderId="33" xfId="0" applyFont="1" applyFill="1" applyBorder="1" applyAlignment="1">
      <alignment horizontal="center" vertical="center" wrapText="1"/>
    </xf>
    <xf numFmtId="1" fontId="6" fillId="3" borderId="26" xfId="0" applyNumberFormat="1" applyFont="1" applyFill="1" applyBorder="1" applyAlignment="1">
      <alignment horizontal="center" vertical="center"/>
    </xf>
    <xf numFmtId="0" fontId="9" fillId="5" borderId="124" xfId="0" applyFont="1" applyFill="1" applyBorder="1" applyAlignment="1">
      <alignment horizontal="center" vertical="center" wrapText="1"/>
    </xf>
    <xf numFmtId="1" fontId="6" fillId="3" borderId="15" xfId="0" applyNumberFormat="1" applyFont="1" applyFill="1" applyBorder="1" applyAlignment="1">
      <alignment horizontal="center" vertical="center"/>
    </xf>
    <xf numFmtId="0" fontId="6" fillId="2" borderId="47" xfId="0" applyFont="1" applyFill="1" applyBorder="1" applyAlignment="1">
      <alignment horizontal="center" vertical="center"/>
    </xf>
    <xf numFmtId="0" fontId="6" fillId="2" borderId="50" xfId="0" applyFont="1" applyFill="1" applyBorder="1" applyAlignment="1">
      <alignment horizontal="center" vertical="center"/>
    </xf>
    <xf numFmtId="0" fontId="6" fillId="2" borderId="138" xfId="0" applyFont="1" applyFill="1" applyBorder="1" applyAlignment="1">
      <alignment horizontal="center" vertical="center" wrapText="1"/>
    </xf>
    <xf numFmtId="0" fontId="6" fillId="2" borderId="140" xfId="0" applyFont="1" applyFill="1" applyBorder="1" applyAlignment="1">
      <alignment horizontal="center" vertical="center" wrapText="1"/>
    </xf>
    <xf numFmtId="0" fontId="6" fillId="2" borderId="138" xfId="0" applyFont="1" applyFill="1" applyBorder="1" applyAlignment="1">
      <alignment horizontal="center" vertical="center"/>
    </xf>
    <xf numFmtId="0" fontId="6" fillId="2" borderId="141" xfId="0" applyFont="1" applyFill="1" applyBorder="1" applyAlignment="1">
      <alignment horizontal="center" vertical="center"/>
    </xf>
    <xf numFmtId="0" fontId="8" fillId="3" borderId="74" xfId="0" applyFont="1" applyFill="1" applyBorder="1" applyAlignment="1">
      <alignment horizontal="center" vertical="center" wrapText="1"/>
    </xf>
    <xf numFmtId="0" fontId="8" fillId="3" borderId="73" xfId="0" applyFont="1" applyFill="1" applyBorder="1" applyAlignment="1">
      <alignment horizontal="center" vertical="center" wrapText="1"/>
    </xf>
    <xf numFmtId="0" fontId="20" fillId="3" borderId="76" xfId="0" applyFont="1" applyFill="1" applyBorder="1" applyAlignment="1">
      <alignment horizontal="left" vertical="center" wrapText="1"/>
    </xf>
    <xf numFmtId="0" fontId="20" fillId="3" borderId="68" xfId="0" applyFont="1" applyFill="1" applyBorder="1" applyAlignment="1">
      <alignment horizontal="left" vertical="center" wrapText="1"/>
    </xf>
    <xf numFmtId="0" fontId="14" fillId="5" borderId="57" xfId="0" applyFont="1" applyFill="1" applyBorder="1" applyAlignment="1">
      <alignment horizontal="center" vertical="center" wrapText="1"/>
    </xf>
    <xf numFmtId="0" fontId="14" fillId="5" borderId="49" xfId="0" applyFont="1" applyFill="1" applyBorder="1" applyAlignment="1">
      <alignment horizontal="center" vertical="center" wrapText="1"/>
    </xf>
    <xf numFmtId="0" fontId="20" fillId="3" borderId="85" xfId="0" applyFont="1" applyFill="1" applyBorder="1" applyAlignment="1">
      <alignment horizontal="left" vertical="center" wrapText="1"/>
    </xf>
    <xf numFmtId="0" fontId="20" fillId="3" borderId="86" xfId="0" applyFont="1" applyFill="1" applyBorder="1" applyAlignment="1">
      <alignment horizontal="left" vertical="center" wrapText="1"/>
    </xf>
    <xf numFmtId="0" fontId="8" fillId="3" borderId="53" xfId="0" applyFont="1" applyFill="1" applyBorder="1" applyAlignment="1">
      <alignment horizontal="center" vertical="center" wrapText="1"/>
    </xf>
    <xf numFmtId="0" fontId="8" fillId="3" borderId="82" xfId="0" applyFont="1" applyFill="1" applyBorder="1" applyAlignment="1">
      <alignment horizontal="center" vertical="center" wrapText="1"/>
    </xf>
    <xf numFmtId="0" fontId="9" fillId="5" borderId="22" xfId="0" applyFont="1" applyFill="1" applyBorder="1" applyAlignment="1">
      <alignment horizontal="center" vertical="center" wrapText="1"/>
    </xf>
    <xf numFmtId="0" fontId="8" fillId="3" borderId="47" xfId="0" applyFont="1" applyFill="1" applyBorder="1" applyAlignment="1">
      <alignment horizontal="center" vertical="center" wrapText="1"/>
    </xf>
    <xf numFmtId="0" fontId="8" fillId="3" borderId="54" xfId="0" applyFont="1" applyFill="1" applyBorder="1" applyAlignment="1">
      <alignment horizontal="center" vertical="center" wrapText="1"/>
    </xf>
    <xf numFmtId="0" fontId="8" fillId="3" borderId="50" xfId="0" applyFont="1" applyFill="1" applyBorder="1" applyAlignment="1">
      <alignment horizontal="center" vertical="center" wrapText="1"/>
    </xf>
    <xf numFmtId="0" fontId="9" fillId="5" borderId="69" xfId="0" applyFont="1" applyFill="1" applyBorder="1" applyAlignment="1">
      <alignment horizontal="center" vertical="center" wrapText="1"/>
    </xf>
    <xf numFmtId="0" fontId="9" fillId="5" borderId="79" xfId="0" applyFont="1" applyFill="1" applyBorder="1" applyAlignment="1">
      <alignment horizontal="center" vertical="center" wrapText="1"/>
    </xf>
    <xf numFmtId="0" fontId="9" fillId="5" borderId="5" xfId="0" applyFont="1" applyFill="1" applyBorder="1" applyAlignment="1">
      <alignment horizontal="center" vertical="center" wrapText="1"/>
    </xf>
    <xf numFmtId="0" fontId="15" fillId="3" borderId="0" xfId="0" applyFont="1" applyFill="1" applyAlignment="1">
      <alignment horizontal="center" vertical="center" wrapText="1"/>
    </xf>
    <xf numFmtId="168" fontId="28" fillId="3" borderId="98" xfId="0" applyNumberFormat="1" applyFont="1" applyFill="1" applyBorder="1" applyAlignment="1">
      <alignment horizontal="center" vertical="center" wrapText="1"/>
    </xf>
    <xf numFmtId="168" fontId="28" fillId="3" borderId="0" xfId="0" applyNumberFormat="1" applyFont="1" applyFill="1" applyAlignment="1">
      <alignment horizontal="center" vertical="center" wrapText="1"/>
    </xf>
    <xf numFmtId="0" fontId="16" fillId="5" borderId="109" xfId="0" applyFont="1" applyFill="1" applyBorder="1" applyAlignment="1">
      <alignment horizontal="center" vertical="center" wrapText="1"/>
    </xf>
    <xf numFmtId="0" fontId="16" fillId="5" borderId="110"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9" fillId="5" borderId="52" xfId="0" applyFont="1" applyFill="1" applyBorder="1" applyAlignment="1">
      <alignment horizontal="center" vertical="center" wrapText="1"/>
    </xf>
    <xf numFmtId="0" fontId="9" fillId="5" borderId="71" xfId="0" applyFont="1" applyFill="1" applyBorder="1" applyAlignment="1">
      <alignment horizontal="center" vertical="center" wrapText="1"/>
    </xf>
    <xf numFmtId="0" fontId="9" fillId="5" borderId="100" xfId="0" applyFont="1" applyFill="1" applyBorder="1" applyAlignment="1">
      <alignment horizontal="center" vertical="center" wrapText="1"/>
    </xf>
    <xf numFmtId="0" fontId="8" fillId="3" borderId="75" xfId="0" applyFont="1" applyFill="1" applyBorder="1" applyAlignment="1">
      <alignment horizontal="center" vertical="center" wrapText="1"/>
    </xf>
    <xf numFmtId="0" fontId="20" fillId="3" borderId="77" xfId="0" applyFont="1" applyFill="1" applyBorder="1" applyAlignment="1">
      <alignment horizontal="left" vertical="center" wrapText="1"/>
    </xf>
    <xf numFmtId="1" fontId="6" fillId="3" borderId="34" xfId="0" applyNumberFormat="1" applyFont="1" applyFill="1" applyBorder="1" applyAlignment="1">
      <alignment horizontal="center" vertical="center"/>
    </xf>
    <xf numFmtId="1" fontId="6" fillId="3" borderId="39" xfId="0" applyNumberFormat="1" applyFont="1" applyFill="1" applyBorder="1" applyAlignment="1">
      <alignment horizontal="center" vertical="center"/>
    </xf>
    <xf numFmtId="1" fontId="6" fillId="3" borderId="53" xfId="0" applyNumberFormat="1" applyFont="1" applyFill="1" applyBorder="1" applyAlignment="1">
      <alignment horizontal="center" vertical="center"/>
    </xf>
    <xf numFmtId="1" fontId="6" fillId="3" borderId="101" xfId="0" applyNumberFormat="1" applyFont="1" applyFill="1" applyBorder="1" applyAlignment="1">
      <alignment horizontal="center" vertical="center"/>
    </xf>
    <xf numFmtId="0" fontId="20" fillId="3" borderId="87" xfId="0" applyFont="1" applyFill="1" applyBorder="1" applyAlignment="1">
      <alignment horizontal="left" vertical="center" wrapText="1"/>
    </xf>
    <xf numFmtId="0" fontId="20" fillId="3" borderId="89" xfId="0" applyFont="1" applyFill="1" applyBorder="1" applyAlignment="1">
      <alignment horizontal="center" vertical="center" wrapText="1"/>
    </xf>
    <xf numFmtId="0" fontId="20" fillId="3" borderId="90" xfId="0" applyFont="1" applyFill="1" applyBorder="1" applyAlignment="1">
      <alignment horizontal="center" vertical="center" wrapText="1"/>
    </xf>
    <xf numFmtId="0" fontId="20" fillId="3" borderId="91" xfId="0" applyFont="1" applyFill="1" applyBorder="1" applyAlignment="1">
      <alignment horizontal="center" vertical="center" wrapText="1"/>
    </xf>
    <xf numFmtId="0" fontId="12" fillId="3" borderId="38" xfId="0" applyFont="1" applyFill="1" applyBorder="1" applyAlignment="1">
      <alignment horizontal="center" vertical="center" wrapText="1"/>
    </xf>
    <xf numFmtId="0" fontId="20" fillId="3" borderId="76" xfId="0" applyFont="1" applyFill="1" applyBorder="1" applyAlignment="1">
      <alignment horizontal="center" vertical="center" wrapText="1"/>
    </xf>
    <xf numFmtId="0" fontId="20" fillId="3" borderId="88" xfId="0" applyFont="1" applyFill="1" applyBorder="1" applyAlignment="1">
      <alignment horizontal="center" vertical="center" wrapText="1"/>
    </xf>
    <xf numFmtId="0" fontId="20" fillId="3" borderId="77" xfId="0" applyFont="1" applyFill="1" applyBorder="1" applyAlignment="1">
      <alignment horizontal="center" vertical="center" wrapText="1"/>
    </xf>
    <xf numFmtId="1" fontId="6" fillId="3" borderId="55" xfId="0" applyNumberFormat="1" applyFont="1" applyFill="1" applyBorder="1" applyAlignment="1">
      <alignment horizontal="center" vertical="center"/>
    </xf>
    <xf numFmtId="1" fontId="6" fillId="3" borderId="70" xfId="0" applyNumberFormat="1" applyFont="1" applyFill="1" applyBorder="1" applyAlignment="1">
      <alignment horizontal="center" vertical="center"/>
    </xf>
    <xf numFmtId="0" fontId="6" fillId="3" borderId="70" xfId="0" applyFont="1" applyFill="1" applyBorder="1" applyAlignment="1">
      <alignment horizontal="center" vertical="center" wrapText="1"/>
    </xf>
    <xf numFmtId="0" fontId="6" fillId="3" borderId="83" xfId="0" applyFont="1" applyFill="1" applyBorder="1" applyAlignment="1">
      <alignment horizontal="center" vertical="center" wrapText="1"/>
    </xf>
    <xf numFmtId="11" fontId="6" fillId="3" borderId="1" xfId="0" applyNumberFormat="1" applyFont="1" applyFill="1" applyBorder="1" applyAlignment="1">
      <alignment horizontal="center" vertical="center"/>
    </xf>
    <xf numFmtId="11" fontId="6" fillId="3" borderId="16" xfId="0" applyNumberFormat="1" applyFont="1" applyFill="1" applyBorder="1" applyAlignment="1">
      <alignment horizontal="center" vertical="center"/>
    </xf>
    <xf numFmtId="1" fontId="6" fillId="3" borderId="83" xfId="0" applyNumberFormat="1" applyFont="1" applyFill="1" applyBorder="1" applyAlignment="1">
      <alignment horizontal="center" vertical="center"/>
    </xf>
    <xf numFmtId="0" fontId="6" fillId="3" borderId="1" xfId="0" applyFont="1" applyFill="1" applyBorder="1" applyAlignment="1">
      <alignment horizontal="center" vertical="center" wrapText="1"/>
    </xf>
    <xf numFmtId="0" fontId="6" fillId="3" borderId="31" xfId="0" applyFont="1" applyFill="1" applyBorder="1" applyAlignment="1">
      <alignment horizontal="center" vertical="center" wrapText="1"/>
    </xf>
    <xf numFmtId="0" fontId="6" fillId="3" borderId="1" xfId="0" applyFont="1" applyFill="1" applyBorder="1" applyAlignment="1">
      <alignment horizontal="center" vertical="center"/>
    </xf>
    <xf numFmtId="0" fontId="6" fillId="3" borderId="31" xfId="0" applyFont="1" applyFill="1" applyBorder="1" applyAlignment="1">
      <alignment horizontal="center" vertical="center"/>
    </xf>
    <xf numFmtId="0" fontId="6" fillId="3" borderId="55" xfId="0" applyFont="1" applyFill="1" applyBorder="1" applyAlignment="1">
      <alignment horizontal="center" vertical="center" wrapText="1"/>
    </xf>
    <xf numFmtId="11" fontId="6" fillId="3" borderId="15" xfId="0" applyNumberFormat="1" applyFont="1" applyFill="1" applyBorder="1" applyAlignment="1">
      <alignment horizontal="center" vertical="center"/>
    </xf>
    <xf numFmtId="1" fontId="6" fillId="3" borderId="9" xfId="0" applyNumberFormat="1" applyFont="1" applyFill="1" applyBorder="1" applyAlignment="1">
      <alignment horizontal="center" vertical="center"/>
    </xf>
    <xf numFmtId="0" fontId="6" fillId="3" borderId="15" xfId="0" applyFont="1" applyFill="1" applyBorder="1" applyAlignment="1">
      <alignment horizontal="center" vertical="center" wrapText="1"/>
    </xf>
    <xf numFmtId="0" fontId="6" fillId="3" borderId="15" xfId="0" applyFont="1" applyFill="1" applyBorder="1" applyAlignment="1">
      <alignment horizontal="center" vertical="center"/>
    </xf>
    <xf numFmtId="0" fontId="6" fillId="3" borderId="24" xfId="0" applyFont="1" applyFill="1" applyBorder="1" applyAlignment="1">
      <alignment horizontal="center" vertical="center" wrapText="1"/>
    </xf>
    <xf numFmtId="0" fontId="9" fillId="5" borderId="16" xfId="0" applyFont="1" applyFill="1" applyBorder="1" applyAlignment="1">
      <alignment horizontal="center" vertical="center" wrapText="1"/>
    </xf>
    <xf numFmtId="0" fontId="9" fillId="5" borderId="111" xfId="0" applyFont="1" applyFill="1" applyBorder="1" applyAlignment="1">
      <alignment horizontal="center" vertical="center" wrapText="1"/>
    </xf>
    <xf numFmtId="0" fontId="9" fillId="5" borderId="83" xfId="0" applyFont="1" applyFill="1" applyBorder="1" applyAlignment="1">
      <alignment horizontal="center" vertical="center" wrapText="1"/>
    </xf>
    <xf numFmtId="0" fontId="6" fillId="3" borderId="26" xfId="0" applyFont="1" applyFill="1" applyBorder="1" applyAlignment="1">
      <alignment horizontal="center" vertical="center"/>
    </xf>
    <xf numFmtId="0" fontId="6" fillId="3" borderId="24" xfId="0" applyFont="1" applyFill="1" applyBorder="1" applyAlignment="1">
      <alignment horizontal="center" vertical="center"/>
    </xf>
    <xf numFmtId="0" fontId="6" fillId="3" borderId="16" xfId="0" applyFont="1" applyFill="1" applyBorder="1" applyAlignment="1">
      <alignment horizontal="center" vertical="center" wrapText="1"/>
    </xf>
    <xf numFmtId="0" fontId="6" fillId="3" borderId="16" xfId="0" applyFont="1" applyFill="1" applyBorder="1" applyAlignment="1">
      <alignment horizontal="center" vertical="center"/>
    </xf>
    <xf numFmtId="0" fontId="9" fillId="5" borderId="70" xfId="0" applyFont="1" applyFill="1" applyBorder="1" applyAlignment="1">
      <alignment horizontal="center" vertical="center" wrapText="1"/>
    </xf>
    <xf numFmtId="0" fontId="9" fillId="5" borderId="6" xfId="0" applyFont="1" applyFill="1" applyBorder="1" applyAlignment="1">
      <alignment horizontal="center" vertical="center" wrapText="1"/>
    </xf>
    <xf numFmtId="0" fontId="9" fillId="5" borderId="8" xfId="0" applyFont="1" applyFill="1" applyBorder="1" applyAlignment="1">
      <alignment horizontal="center" vertical="center" wrapText="1"/>
    </xf>
    <xf numFmtId="0" fontId="9" fillId="5" borderId="145" xfId="0" applyFont="1" applyFill="1" applyBorder="1" applyAlignment="1">
      <alignment horizontal="center" vertical="center" wrapText="1"/>
    </xf>
    <xf numFmtId="0" fontId="9" fillId="5" borderId="7" xfId="0" applyFont="1" applyFill="1" applyBorder="1" applyAlignment="1">
      <alignment horizontal="center" vertical="center" wrapText="1"/>
    </xf>
    <xf numFmtId="0" fontId="9" fillId="5" borderId="4" xfId="0" applyFont="1" applyFill="1" applyBorder="1" applyAlignment="1">
      <alignment horizontal="center" vertical="center" wrapText="1"/>
    </xf>
    <xf numFmtId="0" fontId="12" fillId="2" borderId="83" xfId="0" applyFont="1" applyFill="1" applyBorder="1" applyAlignment="1" applyProtection="1">
      <alignment horizontal="center" vertical="center" wrapText="1"/>
      <protection locked="0"/>
    </xf>
    <xf numFmtId="0" fontId="9" fillId="5" borderId="98" xfId="0" applyFont="1" applyFill="1" applyBorder="1" applyAlignment="1">
      <alignment horizontal="center" vertical="center" wrapText="1"/>
    </xf>
    <xf numFmtId="0" fontId="9" fillId="5" borderId="144" xfId="0" applyFont="1" applyFill="1" applyBorder="1" applyAlignment="1">
      <alignment horizontal="center" vertical="center" wrapText="1"/>
    </xf>
    <xf numFmtId="0" fontId="8" fillId="2" borderId="69" xfId="0" applyFont="1" applyFill="1" applyBorder="1" applyAlignment="1">
      <alignment horizontal="center" vertical="center"/>
    </xf>
    <xf numFmtId="0" fontId="8" fillId="2" borderId="80" xfId="0" applyFont="1" applyFill="1" applyBorder="1" applyAlignment="1">
      <alignment horizontal="center" vertical="center"/>
    </xf>
    <xf numFmtId="0" fontId="8" fillId="2" borderId="6" xfId="0" applyFont="1" applyFill="1" applyBorder="1" applyAlignment="1">
      <alignment horizontal="center" vertical="center"/>
    </xf>
    <xf numFmtId="0" fontId="8" fillId="2" borderId="9" xfId="0" applyFont="1" applyFill="1" applyBorder="1" applyAlignment="1">
      <alignment horizontal="center" vertical="center"/>
    </xf>
    <xf numFmtId="0" fontId="9" fillId="2" borderId="25" xfId="0" applyFont="1" applyFill="1" applyBorder="1" applyAlignment="1">
      <alignment horizontal="center" vertical="top" wrapText="1"/>
    </xf>
    <xf numFmtId="0" fontId="9" fillId="2" borderId="57" xfId="0" applyFont="1" applyFill="1" applyBorder="1" applyAlignment="1">
      <alignment horizontal="center" vertical="top" wrapText="1"/>
    </xf>
    <xf numFmtId="0" fontId="9" fillId="2" borderId="56" xfId="0" applyFont="1" applyFill="1" applyBorder="1" applyAlignment="1">
      <alignment horizontal="center" vertical="top" wrapText="1"/>
    </xf>
    <xf numFmtId="0" fontId="9" fillId="2" borderId="18" xfId="0" applyFont="1" applyFill="1" applyBorder="1" applyAlignment="1">
      <alignment horizontal="center" vertical="top" wrapText="1"/>
    </xf>
    <xf numFmtId="0" fontId="9" fillId="2" borderId="55" xfId="0" applyFont="1" applyFill="1" applyBorder="1" applyAlignment="1">
      <alignment horizontal="center" vertical="top" wrapText="1"/>
    </xf>
    <xf numFmtId="0" fontId="9" fillId="2" borderId="18" xfId="0" applyFont="1" applyFill="1" applyBorder="1" applyAlignment="1">
      <alignment horizontal="center" vertical="center"/>
    </xf>
    <xf numFmtId="0" fontId="9" fillId="2" borderId="79" xfId="0" applyFont="1" applyFill="1" applyBorder="1" applyAlignment="1">
      <alignment horizontal="center" vertical="center"/>
    </xf>
    <xf numFmtId="0" fontId="9" fillId="2" borderId="8" xfId="0" applyFont="1" applyFill="1" applyBorder="1" applyAlignment="1">
      <alignment horizontal="center" vertical="center"/>
    </xf>
    <xf numFmtId="0" fontId="9" fillId="2" borderId="9" xfId="0" applyFont="1" applyFill="1" applyBorder="1" applyAlignment="1">
      <alignment horizontal="center" vertical="center"/>
    </xf>
    <xf numFmtId="0" fontId="9" fillId="15" borderId="15" xfId="0" applyFont="1" applyFill="1" applyBorder="1" applyAlignment="1">
      <alignment horizontal="center" vertical="center"/>
    </xf>
    <xf numFmtId="0" fontId="9" fillId="15" borderId="1" xfId="0" applyFont="1" applyFill="1" applyBorder="1" applyAlignment="1">
      <alignment horizontal="center" vertical="center"/>
    </xf>
    <xf numFmtId="0" fontId="8" fillId="15" borderId="1" xfId="0" applyFont="1" applyFill="1" applyBorder="1" applyAlignment="1">
      <alignment horizontal="center" vertical="center"/>
    </xf>
    <xf numFmtId="0" fontId="9" fillId="15" borderId="18" xfId="0" applyFont="1" applyFill="1" applyBorder="1" applyAlignment="1">
      <alignment horizontal="center" vertical="center"/>
    </xf>
    <xf numFmtId="0" fontId="9" fillId="15" borderId="55" xfId="0" applyFont="1" applyFill="1" applyBorder="1" applyAlignment="1">
      <alignment horizontal="center" vertical="center"/>
    </xf>
    <xf numFmtId="0" fontId="8" fillId="15" borderId="52" xfId="0" applyFont="1" applyFill="1" applyBorder="1" applyAlignment="1">
      <alignment horizontal="center" vertical="center"/>
    </xf>
    <xf numFmtId="0" fontId="8" fillId="15" borderId="70" xfId="0" applyFont="1" applyFill="1" applyBorder="1" applyAlignment="1">
      <alignment horizontal="center" vertical="center"/>
    </xf>
    <xf numFmtId="0" fontId="9" fillId="15"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9" fillId="2" borderId="2" xfId="0" applyFont="1" applyFill="1" applyBorder="1" applyAlignment="1">
      <alignment horizontal="center" vertical="top" wrapText="1"/>
    </xf>
    <xf numFmtId="0" fontId="9" fillId="2" borderId="4" xfId="0" applyFont="1" applyFill="1" applyBorder="1" applyAlignment="1">
      <alignment horizontal="center" vertical="top" wrapText="1"/>
    </xf>
    <xf numFmtId="0" fontId="9" fillId="2" borderId="6" xfId="0" applyFont="1" applyFill="1" applyBorder="1" applyAlignment="1">
      <alignment horizontal="center" vertical="center" wrapText="1"/>
    </xf>
    <xf numFmtId="0" fontId="9" fillId="2" borderId="9" xfId="0" applyFont="1" applyFill="1" applyBorder="1" applyAlignment="1">
      <alignment horizontal="center" vertical="center" wrapText="1"/>
    </xf>
    <xf numFmtId="0" fontId="32" fillId="14" borderId="101" xfId="0" applyFont="1" applyFill="1" applyBorder="1" applyAlignment="1">
      <alignment horizontal="center" vertical="center" wrapText="1"/>
    </xf>
    <xf numFmtId="0" fontId="32" fillId="14" borderId="30" xfId="0" applyFont="1" applyFill="1" applyBorder="1" applyAlignment="1">
      <alignment horizontal="center" vertical="center" wrapText="1"/>
    </xf>
    <xf numFmtId="0" fontId="32" fillId="14" borderId="78" xfId="0" applyFont="1" applyFill="1" applyBorder="1" applyAlignment="1">
      <alignment horizontal="center" vertical="center" wrapText="1"/>
    </xf>
    <xf numFmtId="0" fontId="32" fillId="14" borderId="48" xfId="0" applyFont="1" applyFill="1" applyBorder="1" applyAlignment="1">
      <alignment horizontal="center" vertical="center" wrapText="1"/>
    </xf>
    <xf numFmtId="0" fontId="32" fillId="14" borderId="58" xfId="0" applyFont="1" applyFill="1" applyBorder="1" applyAlignment="1">
      <alignment horizontal="center" vertical="center" wrapText="1"/>
    </xf>
    <xf numFmtId="0" fontId="32" fillId="14" borderId="49" xfId="0" applyFont="1" applyFill="1" applyBorder="1" applyAlignment="1">
      <alignment horizontal="center" vertical="center" wrapText="1"/>
    </xf>
    <xf numFmtId="0" fontId="7" fillId="0" borderId="34" xfId="0" applyFont="1" applyBorder="1" applyAlignment="1">
      <alignment horizontal="center" vertical="center" wrapText="1"/>
    </xf>
    <xf numFmtId="0" fontId="7" fillId="0" borderId="42" xfId="0" applyFont="1" applyBorder="1" applyAlignment="1">
      <alignment horizontal="center" vertical="center" wrapText="1"/>
    </xf>
    <xf numFmtId="0" fontId="7" fillId="0" borderId="35" xfId="0" applyFont="1" applyBorder="1" applyAlignment="1">
      <alignment horizontal="center" vertical="center" wrapText="1"/>
    </xf>
    <xf numFmtId="0" fontId="7" fillId="0" borderId="33" xfId="0" applyFont="1" applyBorder="1" applyAlignment="1">
      <alignment horizontal="center" vertical="center" wrapText="1"/>
    </xf>
    <xf numFmtId="0" fontId="6" fillId="0" borderId="25" xfId="0" applyFont="1" applyBorder="1" applyAlignment="1">
      <alignment horizontal="center" vertical="center" wrapText="1"/>
    </xf>
    <xf numFmtId="0" fontId="6" fillId="0" borderId="26" xfId="0" applyFont="1" applyBorder="1" applyAlignment="1">
      <alignment horizontal="center" vertical="center" wrapText="1"/>
    </xf>
    <xf numFmtId="0" fontId="6" fillId="0" borderId="37" xfId="0" applyFont="1" applyBorder="1" applyAlignment="1">
      <alignment horizontal="center" vertical="center" wrapText="1"/>
    </xf>
    <xf numFmtId="0" fontId="9" fillId="5" borderId="39" xfId="0" applyFont="1" applyFill="1" applyBorder="1" applyAlignment="1">
      <alignment horizontal="center" vertical="center"/>
    </xf>
    <xf numFmtId="0" fontId="7" fillId="0" borderId="1" xfId="0" applyFont="1" applyBorder="1" applyAlignment="1">
      <alignment vertical="center"/>
    </xf>
    <xf numFmtId="0" fontId="7" fillId="0" borderId="24" xfId="0" applyFont="1" applyBorder="1" applyAlignment="1">
      <alignment vertical="center"/>
    </xf>
    <xf numFmtId="0" fontId="7" fillId="0" borderId="115" xfId="0" applyFont="1" applyBorder="1" applyAlignment="1">
      <alignment horizontal="center" vertical="center" wrapText="1"/>
    </xf>
    <xf numFmtId="0" fontId="7" fillId="0" borderId="117" xfId="0" applyFont="1" applyBorder="1" applyAlignment="1">
      <alignment horizontal="center" vertical="center" wrapText="1"/>
    </xf>
    <xf numFmtId="0" fontId="7" fillId="0" borderId="119" xfId="0" applyFont="1" applyBorder="1" applyAlignment="1">
      <alignment horizontal="center" vertical="center" wrapText="1"/>
    </xf>
    <xf numFmtId="0" fontId="7" fillId="0" borderId="120" xfId="0" applyFont="1" applyBorder="1" applyAlignment="1">
      <alignment horizontal="center" vertical="center" wrapText="1"/>
    </xf>
    <xf numFmtId="0" fontId="6" fillId="3" borderId="3" xfId="0" applyFont="1" applyFill="1" applyBorder="1" applyAlignment="1">
      <alignment horizontal="center"/>
    </xf>
    <xf numFmtId="0" fontId="8" fillId="3" borderId="3" xfId="0" applyFont="1" applyFill="1" applyBorder="1" applyAlignment="1">
      <alignment horizontal="center" wrapText="1"/>
    </xf>
    <xf numFmtId="0" fontId="6" fillId="3" borderId="0" xfId="0" applyFont="1" applyFill="1" applyAlignment="1">
      <alignment horizontal="center"/>
    </xf>
    <xf numFmtId="0" fontId="8" fillId="3" borderId="2" xfId="0" applyFont="1" applyFill="1" applyBorder="1" applyAlignment="1">
      <alignment horizontal="center"/>
    </xf>
    <xf numFmtId="0" fontId="8" fillId="3" borderId="3" xfId="0" applyFont="1" applyFill="1" applyBorder="1" applyAlignment="1">
      <alignment horizontal="center"/>
    </xf>
    <xf numFmtId="0" fontId="8" fillId="3" borderId="4" xfId="0" applyFont="1" applyFill="1" applyBorder="1" applyAlignment="1">
      <alignment horizontal="center"/>
    </xf>
    <xf numFmtId="0" fontId="6" fillId="3" borderId="8" xfId="0" applyFont="1" applyFill="1" applyBorder="1" applyAlignment="1">
      <alignment horizontal="center"/>
    </xf>
    <xf numFmtId="0" fontId="8" fillId="3" borderId="4" xfId="0" applyFont="1" applyFill="1" applyBorder="1" applyAlignment="1">
      <alignment horizontal="center" wrapText="1"/>
    </xf>
    <xf numFmtId="0" fontId="6" fillId="3" borderId="96" xfId="0" applyFont="1" applyFill="1" applyBorder="1" applyAlignment="1">
      <alignment horizontal="left" wrapText="1"/>
    </xf>
    <xf numFmtId="0" fontId="6" fillId="3" borderId="97" xfId="0" applyFont="1" applyFill="1" applyBorder="1" applyAlignment="1">
      <alignment horizontal="left" wrapText="1"/>
    </xf>
    <xf numFmtId="0" fontId="6" fillId="3" borderId="0" xfId="0" applyFont="1" applyFill="1" applyAlignment="1">
      <alignment horizontal="left" wrapText="1"/>
    </xf>
    <xf numFmtId="0" fontId="6" fillId="3" borderId="0" xfId="0" applyFont="1" applyFill="1" applyAlignment="1">
      <alignment vertical="top" wrapText="1"/>
    </xf>
    <xf numFmtId="0" fontId="6" fillId="3" borderId="0" xfId="0" applyFont="1" applyFill="1" applyAlignment="1">
      <alignment wrapText="1"/>
    </xf>
    <xf numFmtId="0" fontId="6" fillId="3" borderId="51" xfId="0" applyFont="1" applyFill="1" applyBorder="1" applyAlignment="1">
      <alignment horizontal="center"/>
    </xf>
    <xf numFmtId="0" fontId="6" fillId="3" borderId="70" xfId="0" applyFont="1" applyFill="1" applyBorder="1" applyAlignment="1">
      <alignment horizontal="center"/>
    </xf>
    <xf numFmtId="0" fontId="7" fillId="3" borderId="0" xfId="0" applyFont="1" applyFill="1" applyProtection="1">
      <protection locked="0"/>
    </xf>
    <xf numFmtId="0" fontId="25" fillId="0" borderId="0" xfId="0" applyFont="1" applyAlignment="1" applyProtection="1">
      <alignment vertical="center"/>
      <protection locked="0"/>
    </xf>
    <xf numFmtId="0" fontId="6" fillId="0" borderId="0" xfId="0" applyFont="1" applyAlignment="1" applyProtection="1">
      <alignment vertical="center" wrapText="1"/>
      <protection locked="0"/>
    </xf>
    <xf numFmtId="0" fontId="6" fillId="0" borderId="0" xfId="0" applyFont="1" applyAlignment="1" applyProtection="1">
      <alignment horizontal="left" vertical="center" wrapText="1"/>
      <protection locked="0"/>
    </xf>
    <xf numFmtId="0" fontId="25" fillId="3" borderId="0" xfId="0" applyFont="1" applyFill="1" applyProtection="1">
      <protection locked="0"/>
    </xf>
    <xf numFmtId="0" fontId="6" fillId="3" borderId="0" xfId="0" applyFont="1" applyFill="1" applyAlignment="1" applyProtection="1">
      <alignment vertical="center"/>
      <protection locked="0"/>
    </xf>
    <xf numFmtId="0" fontId="6" fillId="0" borderId="0" xfId="0" applyFont="1" applyAlignment="1" applyProtection="1">
      <alignment horizontal="center" vertical="center"/>
      <protection locked="0"/>
    </xf>
    <xf numFmtId="0" fontId="6" fillId="0" borderId="0" xfId="0" applyFont="1" applyProtection="1">
      <protection locked="0"/>
    </xf>
    <xf numFmtId="0" fontId="6" fillId="3" borderId="0" xfId="0" applyFont="1" applyFill="1" applyProtection="1">
      <protection locked="0"/>
    </xf>
    <xf numFmtId="0" fontId="6" fillId="11" borderId="0" xfId="0" applyFont="1" applyFill="1" applyProtection="1">
      <protection locked="0"/>
    </xf>
  </cellXfs>
  <cellStyles count="4">
    <cellStyle name="Comma" xfId="3" builtinId="3"/>
    <cellStyle name="Normal" xfId="0" builtinId="0"/>
    <cellStyle name="Normal 2" xfId="1" xr:uid="{BC27F4E2-20B8-47A4-9D90-F2F490171813}"/>
    <cellStyle name="Percent" xfId="2" builtinId="5"/>
  </cellStyles>
  <dxfs count="647">
    <dxf>
      <numFmt numFmtId="166" formatCode="0.0E+00"/>
    </dxf>
    <dxf>
      <numFmt numFmtId="2" formatCode="0.00"/>
    </dxf>
    <dxf>
      <numFmt numFmtId="164" formatCode="0.0"/>
    </dxf>
    <dxf>
      <numFmt numFmtId="1" formatCode="0"/>
    </dxf>
    <dxf>
      <numFmt numFmtId="166" formatCode="0.0E+00"/>
    </dxf>
    <dxf>
      <numFmt numFmtId="173" formatCode="0;0;"/>
    </dxf>
    <dxf>
      <numFmt numFmtId="166" formatCode="0.0E+00"/>
    </dxf>
    <dxf>
      <numFmt numFmtId="2" formatCode="0.00"/>
    </dxf>
    <dxf>
      <numFmt numFmtId="164" formatCode="0.0"/>
    </dxf>
    <dxf>
      <numFmt numFmtId="1" formatCode="0"/>
    </dxf>
    <dxf>
      <numFmt numFmtId="166" formatCode="0.0E+00"/>
    </dxf>
    <dxf>
      <numFmt numFmtId="173" formatCode="0;0;"/>
    </dxf>
    <dxf>
      <numFmt numFmtId="166" formatCode="0.0E+00"/>
    </dxf>
    <dxf>
      <numFmt numFmtId="2" formatCode="0.00"/>
    </dxf>
    <dxf>
      <numFmt numFmtId="164" formatCode="0.0"/>
    </dxf>
    <dxf>
      <numFmt numFmtId="1" formatCode="0"/>
    </dxf>
    <dxf>
      <numFmt numFmtId="166" formatCode="0.0E+00"/>
    </dxf>
    <dxf>
      <numFmt numFmtId="173" formatCode="0;0;"/>
    </dxf>
    <dxf>
      <numFmt numFmtId="173" formatCode="0;0;"/>
    </dxf>
    <dxf>
      <numFmt numFmtId="166" formatCode="0.0E+00"/>
    </dxf>
    <dxf>
      <numFmt numFmtId="2" formatCode="0.00"/>
    </dxf>
    <dxf>
      <numFmt numFmtId="164" formatCode="0.0"/>
    </dxf>
    <dxf>
      <numFmt numFmtId="1" formatCode="0"/>
    </dxf>
    <dxf>
      <numFmt numFmtId="166" formatCode="0.0E+00"/>
    </dxf>
    <dxf>
      <numFmt numFmtId="166" formatCode="0.0E+00"/>
    </dxf>
    <dxf>
      <numFmt numFmtId="2" formatCode="0.00"/>
    </dxf>
    <dxf>
      <numFmt numFmtId="164" formatCode="0.0"/>
    </dxf>
    <dxf>
      <numFmt numFmtId="1" formatCode="0"/>
    </dxf>
    <dxf>
      <numFmt numFmtId="166" formatCode="0.0E+00"/>
    </dxf>
    <dxf>
      <numFmt numFmtId="173" formatCode="0;0;"/>
    </dxf>
    <dxf>
      <numFmt numFmtId="166" formatCode="0.0E+00"/>
    </dxf>
    <dxf>
      <numFmt numFmtId="2" formatCode="0.00"/>
    </dxf>
    <dxf>
      <numFmt numFmtId="164" formatCode="0.0"/>
    </dxf>
    <dxf>
      <numFmt numFmtId="1" formatCode="0"/>
    </dxf>
    <dxf>
      <numFmt numFmtId="166" formatCode="0.0E+00"/>
    </dxf>
    <dxf>
      <numFmt numFmtId="173" formatCode="0;0;"/>
    </dxf>
    <dxf>
      <fill>
        <patternFill>
          <bgColor rgb="FF00B050"/>
        </patternFill>
      </fill>
    </dxf>
    <dxf>
      <fill>
        <patternFill>
          <bgColor theme="5"/>
        </patternFill>
      </fill>
    </dxf>
    <dxf>
      <fill>
        <patternFill>
          <bgColor theme="5"/>
        </patternFill>
      </fill>
    </dxf>
    <dxf>
      <fill>
        <patternFill>
          <bgColor rgb="FF00B050"/>
        </patternFill>
      </fill>
    </dxf>
    <dxf>
      <fill>
        <patternFill>
          <bgColor theme="5"/>
        </patternFill>
      </fill>
    </dxf>
    <dxf>
      <fill>
        <patternFill>
          <bgColor rgb="FF00B050"/>
        </patternFill>
      </fill>
    </dxf>
    <dxf>
      <fill>
        <patternFill>
          <bgColor theme="5"/>
        </patternFill>
      </fill>
    </dxf>
    <dxf>
      <fill>
        <patternFill>
          <bgColor theme="5"/>
        </patternFill>
      </fill>
    </dxf>
    <dxf>
      <fill>
        <patternFill>
          <bgColor rgb="FF00B050"/>
        </patternFill>
      </fill>
    </dxf>
    <dxf>
      <fill>
        <patternFill>
          <bgColor theme="5"/>
        </patternFill>
      </fill>
    </dxf>
    <dxf>
      <fill>
        <patternFill>
          <bgColor rgb="FF00B050"/>
        </patternFill>
      </fill>
    </dxf>
    <dxf>
      <numFmt numFmtId="166" formatCode="0.0E+00"/>
    </dxf>
    <dxf>
      <numFmt numFmtId="2" formatCode="0.00"/>
    </dxf>
    <dxf>
      <numFmt numFmtId="164" formatCode="0.0"/>
    </dxf>
    <dxf>
      <numFmt numFmtId="1" formatCode="0"/>
    </dxf>
    <dxf>
      <numFmt numFmtId="166" formatCode="0.0E+00"/>
    </dxf>
    <dxf>
      <numFmt numFmtId="173" formatCode="0;0;"/>
    </dxf>
    <dxf>
      <numFmt numFmtId="3" formatCode="#,##0"/>
    </dxf>
    <dxf>
      <numFmt numFmtId="164" formatCode="0.0"/>
    </dxf>
    <dxf>
      <numFmt numFmtId="166" formatCode="0.0E+00"/>
    </dxf>
    <dxf>
      <fill>
        <patternFill>
          <bgColor theme="0"/>
        </patternFill>
      </fill>
    </dxf>
    <dxf>
      <font>
        <color theme="0"/>
      </font>
      <fill>
        <patternFill>
          <bgColor theme="0"/>
        </patternFill>
      </fill>
    </dxf>
    <dxf>
      <fill>
        <patternFill>
          <bgColor rgb="FF00B050"/>
        </patternFill>
      </fill>
    </dxf>
    <dxf>
      <numFmt numFmtId="1" formatCode="0"/>
    </dxf>
    <dxf>
      <numFmt numFmtId="164" formatCode="0.0"/>
    </dxf>
    <dxf>
      <numFmt numFmtId="2" formatCode="0.00"/>
    </dxf>
    <dxf>
      <numFmt numFmtId="166" formatCode="0.0E+00"/>
    </dxf>
    <dxf>
      <numFmt numFmtId="1" formatCode="0"/>
    </dxf>
    <dxf>
      <numFmt numFmtId="1" formatCode="0"/>
    </dxf>
    <dxf>
      <numFmt numFmtId="166" formatCode="0.0E+00"/>
    </dxf>
    <dxf>
      <numFmt numFmtId="166" formatCode="0.0E+00"/>
    </dxf>
    <dxf>
      <numFmt numFmtId="1" formatCode="0"/>
    </dxf>
    <dxf>
      <numFmt numFmtId="1" formatCode="0"/>
    </dxf>
    <dxf>
      <numFmt numFmtId="1" formatCode="0"/>
    </dxf>
    <dxf>
      <numFmt numFmtId="1" formatCode="0"/>
    </dxf>
    <dxf>
      <numFmt numFmtId="166" formatCode="0.0E+00"/>
    </dxf>
    <dxf>
      <numFmt numFmtId="1" formatCode="0"/>
    </dxf>
    <dxf>
      <numFmt numFmtId="166" formatCode="0.0E+00"/>
    </dxf>
    <dxf>
      <numFmt numFmtId="164" formatCode="0.0"/>
    </dxf>
    <dxf>
      <numFmt numFmtId="2" formatCode="0.00"/>
    </dxf>
    <dxf>
      <numFmt numFmtId="164" formatCode="0.0"/>
    </dxf>
    <dxf>
      <numFmt numFmtId="2" formatCode="0.00"/>
    </dxf>
    <dxf>
      <numFmt numFmtId="2" formatCode="0.00"/>
    </dxf>
    <dxf>
      <numFmt numFmtId="166" formatCode="0.0E+00"/>
    </dxf>
    <dxf>
      <numFmt numFmtId="164" formatCode="0.0"/>
    </dxf>
    <dxf>
      <numFmt numFmtId="166" formatCode="0.0E+00"/>
    </dxf>
    <dxf>
      <numFmt numFmtId="166" formatCode="0.0E+00"/>
    </dxf>
    <dxf>
      <numFmt numFmtId="1" formatCode="0"/>
    </dxf>
    <dxf>
      <numFmt numFmtId="1" formatCode="0"/>
    </dxf>
    <dxf>
      <numFmt numFmtId="164" formatCode="0.0"/>
    </dxf>
    <dxf>
      <numFmt numFmtId="164" formatCode="0.0"/>
    </dxf>
    <dxf>
      <numFmt numFmtId="2" formatCode="0.00"/>
    </dxf>
    <dxf>
      <numFmt numFmtId="166" formatCode="0.0E+00"/>
    </dxf>
    <dxf>
      <numFmt numFmtId="166" formatCode="0.0E+00"/>
    </dxf>
    <dxf>
      <numFmt numFmtId="1" formatCode="0"/>
    </dxf>
    <dxf>
      <numFmt numFmtId="2" formatCode="0.00"/>
    </dxf>
    <dxf>
      <numFmt numFmtId="166" formatCode="0.0E+00"/>
    </dxf>
    <dxf>
      <numFmt numFmtId="2" formatCode="0.00"/>
    </dxf>
    <dxf>
      <numFmt numFmtId="164" formatCode="0.0"/>
    </dxf>
    <dxf>
      <numFmt numFmtId="166" formatCode="0.0E+00"/>
    </dxf>
    <dxf>
      <numFmt numFmtId="164" formatCode="0.0"/>
    </dxf>
    <dxf>
      <numFmt numFmtId="166" formatCode="0.0E+00"/>
    </dxf>
    <dxf>
      <numFmt numFmtId="2" formatCode="0.00"/>
    </dxf>
    <dxf>
      <numFmt numFmtId="1" formatCode="0"/>
    </dxf>
    <dxf>
      <numFmt numFmtId="166" formatCode="0.0E+00"/>
    </dxf>
    <dxf>
      <numFmt numFmtId="2" formatCode="0.00"/>
    </dxf>
    <dxf>
      <numFmt numFmtId="166" formatCode="0.0E+00"/>
    </dxf>
    <dxf>
      <numFmt numFmtId="164" formatCode="0.0"/>
    </dxf>
    <dxf>
      <numFmt numFmtId="1" formatCode="0"/>
    </dxf>
    <dxf>
      <numFmt numFmtId="2" formatCode="0.00"/>
    </dxf>
    <dxf>
      <numFmt numFmtId="166" formatCode="0.0E+00"/>
    </dxf>
    <dxf>
      <numFmt numFmtId="164" formatCode="0.0"/>
    </dxf>
    <dxf>
      <numFmt numFmtId="166" formatCode="0.0E+00"/>
    </dxf>
    <dxf>
      <numFmt numFmtId="1" formatCode="0"/>
    </dxf>
    <dxf>
      <numFmt numFmtId="166" formatCode="0.0E+00"/>
    </dxf>
    <dxf>
      <numFmt numFmtId="166" formatCode="0.0E+00"/>
    </dxf>
    <dxf>
      <numFmt numFmtId="164" formatCode="0.0"/>
    </dxf>
    <dxf>
      <numFmt numFmtId="2" formatCode="0.00"/>
    </dxf>
    <dxf>
      <numFmt numFmtId="1" formatCode="0"/>
    </dxf>
    <dxf>
      <numFmt numFmtId="2" formatCode="0.00"/>
    </dxf>
    <dxf>
      <numFmt numFmtId="164" formatCode="0.0"/>
    </dxf>
    <dxf>
      <numFmt numFmtId="166" formatCode="0.0E+00"/>
    </dxf>
    <dxf>
      <numFmt numFmtId="166" formatCode="0.0E+00"/>
    </dxf>
    <dxf>
      <numFmt numFmtId="166" formatCode="0.0E+00"/>
    </dxf>
    <dxf>
      <numFmt numFmtId="1" formatCode="0"/>
    </dxf>
    <dxf>
      <numFmt numFmtId="166" formatCode="0.0E+00"/>
    </dxf>
    <dxf>
      <numFmt numFmtId="2" formatCode="0.00"/>
    </dxf>
    <dxf>
      <numFmt numFmtId="164" formatCode="0.0"/>
    </dxf>
    <dxf>
      <numFmt numFmtId="166" formatCode="0.0E+00"/>
    </dxf>
    <dxf>
      <numFmt numFmtId="164" formatCode="0.0"/>
    </dxf>
    <dxf>
      <numFmt numFmtId="166" formatCode="0.0E+00"/>
    </dxf>
    <dxf>
      <numFmt numFmtId="2" formatCode="0.00"/>
    </dxf>
    <dxf>
      <numFmt numFmtId="1" formatCode="0"/>
    </dxf>
    <dxf>
      <numFmt numFmtId="1" formatCode="0"/>
    </dxf>
    <dxf>
      <numFmt numFmtId="164" formatCode="0.0"/>
    </dxf>
    <dxf>
      <numFmt numFmtId="1" formatCode="0"/>
    </dxf>
    <dxf>
      <numFmt numFmtId="166" formatCode="0.0E+00"/>
    </dxf>
    <dxf>
      <numFmt numFmtId="166" formatCode="0.0E+00"/>
    </dxf>
    <dxf>
      <numFmt numFmtId="2" formatCode="0.00"/>
    </dxf>
    <dxf>
      <numFmt numFmtId="166" formatCode="0.0E+00"/>
    </dxf>
    <dxf>
      <numFmt numFmtId="164" formatCode="0.0"/>
    </dxf>
    <dxf>
      <numFmt numFmtId="2" formatCode="0.00"/>
    </dxf>
    <dxf>
      <numFmt numFmtId="164" formatCode="0.0"/>
    </dxf>
    <dxf>
      <numFmt numFmtId="166" formatCode="0.0E+00"/>
    </dxf>
    <dxf>
      <numFmt numFmtId="2" formatCode="0.00"/>
    </dxf>
    <dxf>
      <numFmt numFmtId="1" formatCode="0"/>
    </dxf>
    <dxf>
      <numFmt numFmtId="1" formatCode="0"/>
    </dxf>
    <dxf>
      <numFmt numFmtId="164" formatCode="0.0"/>
    </dxf>
    <dxf>
      <numFmt numFmtId="2" formatCode="0.00"/>
    </dxf>
    <dxf>
      <numFmt numFmtId="1" formatCode="0"/>
    </dxf>
    <dxf>
      <numFmt numFmtId="166" formatCode="0.0E+00"/>
    </dxf>
    <dxf>
      <numFmt numFmtId="164" formatCode="0.0"/>
    </dxf>
    <dxf>
      <numFmt numFmtId="2" formatCode="0.00"/>
    </dxf>
    <dxf>
      <numFmt numFmtId="166" formatCode="0.0E+00"/>
    </dxf>
    <dxf>
      <numFmt numFmtId="166" formatCode="0.0E+00"/>
    </dxf>
    <dxf>
      <numFmt numFmtId="1" formatCode="0"/>
    </dxf>
    <dxf>
      <numFmt numFmtId="2" formatCode="0.00"/>
    </dxf>
    <dxf>
      <numFmt numFmtId="166" formatCode="0.0E+00"/>
    </dxf>
    <dxf>
      <numFmt numFmtId="164" formatCode="0.0"/>
    </dxf>
    <dxf>
      <numFmt numFmtId="166" formatCode="0.0E+00"/>
    </dxf>
    <dxf>
      <numFmt numFmtId="1" formatCode="0"/>
    </dxf>
    <dxf>
      <numFmt numFmtId="2" formatCode="0.00"/>
    </dxf>
    <dxf>
      <numFmt numFmtId="164" formatCode="0.0"/>
    </dxf>
    <dxf>
      <numFmt numFmtId="15" formatCode="0.00E+00"/>
    </dxf>
    <dxf>
      <numFmt numFmtId="166" formatCode="0.0E+00"/>
    </dxf>
    <dxf>
      <numFmt numFmtId="164" formatCode="0.0"/>
    </dxf>
    <dxf>
      <numFmt numFmtId="2" formatCode="0.00"/>
    </dxf>
    <dxf>
      <numFmt numFmtId="166" formatCode="0.0E+00"/>
    </dxf>
    <dxf>
      <numFmt numFmtId="166" formatCode="0.0E+00"/>
    </dxf>
    <dxf>
      <numFmt numFmtId="164" formatCode="0.0"/>
    </dxf>
    <dxf>
      <numFmt numFmtId="166" formatCode="0.0E+00"/>
    </dxf>
    <dxf>
      <numFmt numFmtId="1" formatCode="0"/>
    </dxf>
    <dxf>
      <numFmt numFmtId="166" formatCode="0.0E+00"/>
    </dxf>
    <dxf>
      <numFmt numFmtId="2" formatCode="0.00"/>
    </dxf>
    <dxf>
      <numFmt numFmtId="1" formatCode="0"/>
    </dxf>
    <dxf>
      <numFmt numFmtId="166" formatCode="0.0E+00"/>
    </dxf>
    <dxf>
      <numFmt numFmtId="166" formatCode="0.0E+00"/>
    </dxf>
    <dxf>
      <numFmt numFmtId="164" formatCode="0.0"/>
    </dxf>
    <dxf>
      <numFmt numFmtId="2" formatCode="0.00"/>
    </dxf>
    <dxf>
      <numFmt numFmtId="1" formatCode="0"/>
    </dxf>
    <dxf>
      <numFmt numFmtId="166" formatCode="0.0E+00"/>
    </dxf>
    <dxf>
      <numFmt numFmtId="2" formatCode="0.00"/>
    </dxf>
    <dxf>
      <numFmt numFmtId="166" formatCode="0.0E+00"/>
    </dxf>
    <dxf>
      <numFmt numFmtId="164" formatCode="0.0"/>
    </dxf>
    <dxf>
      <numFmt numFmtId="166" formatCode="0.0E+00"/>
    </dxf>
    <dxf>
      <numFmt numFmtId="1" formatCode="0"/>
    </dxf>
    <dxf>
      <numFmt numFmtId="2" formatCode="0.00"/>
    </dxf>
    <dxf>
      <numFmt numFmtId="166" formatCode="0.0E+00"/>
    </dxf>
    <dxf>
      <numFmt numFmtId="164" formatCode="0.0"/>
    </dxf>
    <dxf>
      <numFmt numFmtId="1" formatCode="0"/>
    </dxf>
    <dxf>
      <numFmt numFmtId="166" formatCode="0.0E+00"/>
    </dxf>
    <dxf>
      <numFmt numFmtId="166" formatCode="0.0E+00"/>
    </dxf>
    <dxf>
      <numFmt numFmtId="164" formatCode="0.0"/>
    </dxf>
    <dxf>
      <numFmt numFmtId="2" formatCode="0.00"/>
    </dxf>
    <dxf>
      <numFmt numFmtId="1" formatCode="0"/>
    </dxf>
    <dxf>
      <numFmt numFmtId="164" formatCode="0.0"/>
    </dxf>
    <dxf>
      <numFmt numFmtId="1" formatCode="0"/>
    </dxf>
    <dxf>
      <numFmt numFmtId="166" formatCode="0.0E+00"/>
    </dxf>
    <dxf>
      <numFmt numFmtId="164" formatCode="0.0"/>
    </dxf>
    <dxf>
      <numFmt numFmtId="2" formatCode="0.00"/>
    </dxf>
    <dxf>
      <numFmt numFmtId="1" formatCode="0"/>
    </dxf>
    <dxf>
      <numFmt numFmtId="166" formatCode="0.0E+00"/>
    </dxf>
    <dxf>
      <numFmt numFmtId="1" formatCode="0"/>
    </dxf>
    <dxf>
      <numFmt numFmtId="166" formatCode="0.0E+00"/>
    </dxf>
    <dxf>
      <numFmt numFmtId="164" formatCode="0.0"/>
    </dxf>
    <dxf>
      <numFmt numFmtId="2" formatCode="0.00"/>
    </dxf>
    <dxf>
      <numFmt numFmtId="1" formatCode="0"/>
    </dxf>
    <dxf>
      <numFmt numFmtId="166" formatCode="0.0E+00"/>
    </dxf>
    <dxf>
      <numFmt numFmtId="1" formatCode="0"/>
    </dxf>
    <dxf>
      <numFmt numFmtId="2" formatCode="0.00"/>
    </dxf>
    <dxf>
      <numFmt numFmtId="1" formatCode="0"/>
    </dxf>
    <dxf>
      <numFmt numFmtId="166" formatCode="0.0E+00"/>
    </dxf>
    <dxf>
      <numFmt numFmtId="166" formatCode="0.0E+00"/>
    </dxf>
    <dxf>
      <numFmt numFmtId="1" formatCode="0"/>
    </dxf>
    <dxf>
      <numFmt numFmtId="164" formatCode="0.0"/>
    </dxf>
    <dxf>
      <numFmt numFmtId="2" formatCode="0.00"/>
    </dxf>
    <dxf>
      <numFmt numFmtId="166" formatCode="0.0E+00"/>
    </dxf>
    <dxf>
      <numFmt numFmtId="1" formatCode="0"/>
    </dxf>
    <dxf>
      <numFmt numFmtId="166" formatCode="0.0E+00"/>
    </dxf>
    <dxf>
      <numFmt numFmtId="1" formatCode="0"/>
    </dxf>
    <dxf>
      <numFmt numFmtId="166" formatCode="0.0E+00"/>
    </dxf>
    <dxf>
      <numFmt numFmtId="166" formatCode="0.0E+00"/>
    </dxf>
    <dxf>
      <numFmt numFmtId="1" formatCode="0"/>
    </dxf>
    <dxf>
      <numFmt numFmtId="164" formatCode="0.0"/>
    </dxf>
    <dxf>
      <numFmt numFmtId="2" formatCode="0.00"/>
    </dxf>
    <dxf>
      <numFmt numFmtId="166" formatCode="0.0E+00"/>
    </dxf>
    <dxf>
      <numFmt numFmtId="1" formatCode="0"/>
    </dxf>
    <dxf>
      <numFmt numFmtId="166" formatCode="0.0E+00"/>
    </dxf>
    <dxf>
      <numFmt numFmtId="1" formatCode="0"/>
    </dxf>
    <dxf>
      <numFmt numFmtId="166" formatCode="0.0E+00"/>
    </dxf>
    <dxf>
      <numFmt numFmtId="166" formatCode="0.0E+00"/>
    </dxf>
    <dxf>
      <numFmt numFmtId="1" formatCode="0"/>
    </dxf>
    <dxf>
      <numFmt numFmtId="166" formatCode="0.0E+00"/>
    </dxf>
    <dxf>
      <numFmt numFmtId="166" formatCode="0.0E+00"/>
    </dxf>
    <dxf>
      <fill>
        <patternFill>
          <bgColor theme="0"/>
        </patternFill>
      </fill>
    </dxf>
    <dxf>
      <numFmt numFmtId="15" formatCode="0.00E+00"/>
    </dxf>
    <dxf>
      <font>
        <color theme="0"/>
      </font>
      <fill>
        <patternFill>
          <bgColor theme="0"/>
        </patternFill>
      </fill>
    </dxf>
    <dxf>
      <numFmt numFmtId="15" formatCode="0.00E+00"/>
    </dxf>
    <dxf>
      <fill>
        <patternFill>
          <bgColor theme="0"/>
        </patternFill>
      </fill>
    </dxf>
    <dxf>
      <font>
        <color theme="0"/>
      </font>
      <fill>
        <patternFill>
          <bgColor theme="0"/>
        </patternFill>
      </fill>
    </dxf>
    <dxf>
      <numFmt numFmtId="173" formatCode="0;0;"/>
    </dxf>
    <dxf>
      <numFmt numFmtId="166" formatCode="0.0E+00"/>
    </dxf>
    <dxf>
      <numFmt numFmtId="1" formatCode="0"/>
    </dxf>
    <dxf>
      <numFmt numFmtId="164" formatCode="0.0"/>
    </dxf>
    <dxf>
      <numFmt numFmtId="2" formatCode="0.00"/>
    </dxf>
    <dxf>
      <numFmt numFmtId="166" formatCode="0.0E+00"/>
    </dxf>
    <dxf>
      <numFmt numFmtId="2" formatCode="0.00"/>
    </dxf>
    <dxf>
      <numFmt numFmtId="164" formatCode="0.0"/>
    </dxf>
    <dxf>
      <numFmt numFmtId="1" formatCode="0"/>
    </dxf>
    <dxf>
      <numFmt numFmtId="166" formatCode="0.0E+00"/>
    </dxf>
    <dxf>
      <numFmt numFmtId="173" formatCode="0;0;"/>
    </dxf>
    <dxf>
      <numFmt numFmtId="166" formatCode="0.0E+00"/>
    </dxf>
    <dxf>
      <fill>
        <patternFill>
          <bgColor rgb="FF00B050"/>
        </patternFill>
      </fill>
    </dxf>
    <dxf>
      <font>
        <strike val="0"/>
        <color auto="1"/>
      </font>
      <fill>
        <patternFill>
          <bgColor theme="5"/>
        </patternFill>
      </fill>
    </dxf>
    <dxf>
      <font>
        <color theme="0"/>
      </font>
      <fill>
        <patternFill>
          <bgColor theme="0"/>
        </patternFill>
      </fill>
    </dxf>
    <dxf>
      <numFmt numFmtId="166" formatCode="0.0E+00"/>
    </dxf>
    <dxf>
      <numFmt numFmtId="174" formatCode="#,##0.0"/>
    </dxf>
    <dxf>
      <numFmt numFmtId="1" formatCode="0"/>
    </dxf>
    <dxf>
      <fill>
        <patternFill>
          <bgColor theme="0"/>
        </patternFill>
      </fill>
    </dxf>
    <dxf>
      <fill>
        <patternFill>
          <bgColor theme="5"/>
        </patternFill>
      </fill>
    </dxf>
    <dxf>
      <fill>
        <patternFill>
          <bgColor rgb="FF00B050"/>
        </patternFill>
      </fill>
    </dxf>
    <dxf>
      <fill>
        <patternFill>
          <bgColor theme="0"/>
        </patternFill>
      </fill>
    </dxf>
    <dxf>
      <numFmt numFmtId="15" formatCode="0.00E+00"/>
    </dxf>
    <dxf>
      <numFmt numFmtId="164" formatCode="0.0"/>
    </dxf>
    <dxf>
      <numFmt numFmtId="3" formatCode="#,##0"/>
    </dxf>
    <dxf>
      <font>
        <color theme="0"/>
      </font>
      <fill>
        <patternFill>
          <bgColor theme="0"/>
        </patternFill>
      </fill>
    </dxf>
    <dxf>
      <numFmt numFmtId="15" formatCode="0.00E+00"/>
    </dxf>
    <dxf>
      <numFmt numFmtId="3" formatCode="#,##0"/>
    </dxf>
    <dxf>
      <numFmt numFmtId="164" formatCode="0.0"/>
    </dxf>
    <dxf>
      <font>
        <color theme="0"/>
      </font>
      <fill>
        <patternFill>
          <bgColor theme="0"/>
        </patternFill>
      </fill>
    </dxf>
    <dxf>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ont>
        <color theme="0"/>
      </font>
      <fill>
        <patternFill>
          <bgColor theme="0"/>
        </patternFill>
      </fill>
    </dxf>
    <dxf>
      <fill>
        <patternFill>
          <bgColor theme="0"/>
        </patternFill>
      </fill>
    </dxf>
    <dxf>
      <numFmt numFmtId="15" formatCode="0.00E+00"/>
    </dxf>
    <dxf>
      <numFmt numFmtId="164" formatCode="0.0"/>
    </dxf>
    <dxf>
      <numFmt numFmtId="3" formatCode="#,##0"/>
    </dxf>
    <dxf>
      <font>
        <color theme="0"/>
      </font>
      <fill>
        <patternFill>
          <bgColor theme="0"/>
        </patternFill>
      </fill>
    </dxf>
    <dxf>
      <fill>
        <patternFill>
          <bgColor theme="0"/>
        </patternFill>
      </fill>
    </dxf>
    <dxf>
      <numFmt numFmtId="15" formatCode="0.00E+00"/>
    </dxf>
    <dxf>
      <numFmt numFmtId="164" formatCode="0.0"/>
    </dxf>
    <dxf>
      <numFmt numFmtId="3" formatCode="#,##0"/>
    </dxf>
    <dxf>
      <numFmt numFmtId="15" formatCode="0.00E+00"/>
    </dxf>
    <dxf>
      <fill>
        <patternFill>
          <bgColor theme="0"/>
        </patternFill>
      </fill>
    </dxf>
    <dxf>
      <font>
        <color theme="0"/>
      </font>
      <fill>
        <patternFill>
          <bgColor theme="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ill>
        <patternFill>
          <bgColor theme="5"/>
        </patternFill>
      </fill>
    </dxf>
    <dxf>
      <fill>
        <patternFill>
          <bgColor rgb="FF00B050"/>
        </patternFill>
      </fill>
    </dxf>
    <dxf>
      <fill>
        <patternFill>
          <bgColor theme="0"/>
        </patternFill>
      </fill>
    </dxf>
    <dxf>
      <fill>
        <patternFill>
          <bgColor theme="5"/>
        </patternFill>
      </fill>
    </dxf>
    <dxf>
      <fill>
        <patternFill>
          <bgColor rgb="FF00B050"/>
        </patternFill>
      </fill>
    </dxf>
    <dxf>
      <font>
        <color theme="0"/>
      </font>
      <fill>
        <patternFill>
          <bgColor theme="0"/>
        </patternFill>
      </fill>
    </dxf>
    <dxf>
      <fill>
        <patternFill>
          <bgColor theme="0"/>
        </patternFill>
      </fill>
    </dxf>
    <dxf>
      <numFmt numFmtId="15" formatCode="0.00E+00"/>
    </dxf>
    <dxf>
      <numFmt numFmtId="166" formatCode="0.0E+00"/>
    </dxf>
    <dxf>
      <numFmt numFmtId="1" formatCode="0"/>
    </dxf>
    <dxf>
      <numFmt numFmtId="164" formatCode="0.0"/>
    </dxf>
    <dxf>
      <numFmt numFmtId="2" formatCode="0.00"/>
    </dxf>
    <dxf>
      <numFmt numFmtId="166" formatCode="0.0E+00"/>
    </dxf>
    <dxf>
      <numFmt numFmtId="173" formatCode="0;0;"/>
    </dxf>
    <dxf>
      <fill>
        <patternFill>
          <bgColor theme="0"/>
        </patternFill>
      </fill>
    </dxf>
    <dxf>
      <numFmt numFmtId="15" formatCode="0.00E+00"/>
    </dxf>
    <dxf>
      <numFmt numFmtId="164" formatCode="0.0"/>
    </dxf>
    <dxf>
      <numFmt numFmtId="3" formatCode="#,##0"/>
    </dxf>
    <dxf>
      <font>
        <color theme="0"/>
      </font>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ill>
        <patternFill>
          <bgColor theme="0"/>
        </patternFill>
      </fill>
    </dxf>
    <dxf>
      <font>
        <color theme="0"/>
      </font>
      <fill>
        <patternFill>
          <bgColor theme="0"/>
        </patternFill>
      </fill>
    </dxf>
    <dxf>
      <numFmt numFmtId="15" formatCode="0.00E+00"/>
    </dxf>
    <dxf>
      <fill>
        <patternFill>
          <bgColor rgb="FF00B050"/>
        </patternFill>
      </fill>
    </dxf>
    <dxf>
      <fill>
        <patternFill>
          <bgColor theme="5"/>
        </patternFill>
      </fill>
    </dxf>
    <dxf>
      <numFmt numFmtId="1" formatCode="0"/>
    </dxf>
    <dxf>
      <numFmt numFmtId="174" formatCode="#,##0.0"/>
    </dxf>
    <dxf>
      <numFmt numFmtId="15" formatCode="0.00E+00"/>
    </dxf>
    <dxf>
      <font>
        <color theme="0"/>
      </font>
      <fill>
        <patternFill>
          <bgColor theme="0"/>
        </patternFill>
      </fill>
    </dxf>
    <dxf>
      <fill>
        <patternFill>
          <bgColor rgb="FF00B050"/>
        </patternFill>
      </fill>
    </dxf>
    <dxf>
      <fill>
        <patternFill>
          <bgColor theme="5"/>
        </patternFill>
      </fill>
    </dxf>
    <dxf>
      <numFmt numFmtId="2" formatCode="0.00"/>
    </dxf>
    <dxf>
      <numFmt numFmtId="173" formatCode="0;0;"/>
    </dxf>
    <dxf>
      <numFmt numFmtId="166" formatCode="0.0E+00"/>
    </dxf>
    <dxf>
      <numFmt numFmtId="164" formatCode="0.0"/>
    </dxf>
    <dxf>
      <numFmt numFmtId="1" formatCode="0"/>
    </dxf>
    <dxf>
      <numFmt numFmtId="166" formatCode="0.0E+00"/>
    </dxf>
    <dxf>
      <numFmt numFmtId="166" formatCode="0.0E+00"/>
    </dxf>
    <dxf>
      <numFmt numFmtId="173" formatCode="0;0;"/>
    </dxf>
    <dxf>
      <numFmt numFmtId="2" formatCode="0.00"/>
    </dxf>
    <dxf>
      <numFmt numFmtId="164" formatCode="0.0"/>
    </dxf>
    <dxf>
      <numFmt numFmtId="1" formatCode="0"/>
    </dxf>
    <dxf>
      <numFmt numFmtId="166" formatCode="0.0E+00"/>
    </dxf>
    <dxf>
      <font>
        <color theme="0"/>
      </font>
      <fill>
        <patternFill>
          <bgColor theme="0"/>
        </patternFill>
      </fill>
    </dxf>
    <dxf>
      <fill>
        <patternFill>
          <bgColor theme="0"/>
        </patternFill>
      </fill>
    </dxf>
    <dxf>
      <numFmt numFmtId="15" formatCode="0.00E+00"/>
    </dxf>
    <dxf>
      <numFmt numFmtId="164" formatCode="0.0"/>
    </dxf>
    <dxf>
      <numFmt numFmtId="3" formatCode="#,##0"/>
    </dxf>
    <dxf>
      <numFmt numFmtId="15" formatCode="0.00E+00"/>
    </dxf>
    <dxf>
      <numFmt numFmtId="164" formatCode="0.0"/>
    </dxf>
    <dxf>
      <numFmt numFmtId="3" formatCode="#,##0"/>
    </dxf>
    <dxf>
      <font>
        <color theme="0"/>
      </font>
      <fill>
        <patternFill>
          <bgColor theme="0"/>
        </patternFill>
      </fill>
    </dxf>
    <dxf>
      <fill>
        <patternFill>
          <bgColor theme="0"/>
        </patternFill>
      </fill>
    </dxf>
    <dxf>
      <fill>
        <patternFill>
          <bgColor theme="0"/>
        </patternFill>
      </fill>
    </dxf>
    <dxf>
      <font>
        <color theme="0"/>
      </font>
      <fill>
        <patternFill>
          <bgColor theme="0"/>
        </patternFill>
      </fill>
    </dxf>
    <dxf>
      <numFmt numFmtId="15" formatCode="0.00E+00"/>
    </dxf>
    <dxf>
      <fill>
        <patternFill>
          <bgColor rgb="FF00B050"/>
        </patternFill>
      </fill>
    </dxf>
    <dxf>
      <fill>
        <patternFill>
          <bgColor rgb="FF00B050"/>
        </patternFill>
      </fill>
    </dxf>
    <dxf>
      <fill>
        <patternFill>
          <bgColor theme="5"/>
        </patternFill>
      </fill>
    </dxf>
    <dxf>
      <fill>
        <patternFill>
          <bgColor theme="5"/>
        </patternFill>
      </fill>
    </dxf>
    <dxf>
      <fill>
        <patternFill>
          <bgColor rgb="FF00B050"/>
        </patternFill>
      </fill>
    </dxf>
    <dxf>
      <fill>
        <patternFill>
          <bgColor theme="5"/>
        </patternFill>
      </fill>
    </dxf>
    <dxf>
      <fill>
        <patternFill>
          <bgColor rgb="FF00B050"/>
        </patternFill>
      </fill>
    </dxf>
    <dxf>
      <fill>
        <patternFill>
          <bgColor theme="5"/>
        </patternFill>
      </fill>
    </dxf>
    <dxf>
      <fill>
        <patternFill>
          <bgColor theme="5"/>
        </patternFill>
      </fill>
    </dxf>
    <dxf>
      <fill>
        <patternFill>
          <bgColor rgb="FF00B05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ont>
        <color theme="0"/>
      </font>
      <fill>
        <patternFill>
          <bgColor theme="0"/>
        </patternFill>
      </fill>
    </dxf>
    <dxf>
      <fill>
        <patternFill>
          <bgColor theme="0"/>
        </patternFill>
      </fill>
    </dxf>
    <dxf>
      <numFmt numFmtId="15" formatCode="0.00E+00"/>
    </dxf>
    <dxf>
      <numFmt numFmtId="164" formatCode="0.0"/>
    </dxf>
    <dxf>
      <numFmt numFmtId="3" formatCode="#,##0"/>
    </dxf>
    <dxf>
      <fill>
        <patternFill>
          <bgColor theme="0"/>
        </patternFill>
      </fill>
    </dxf>
    <dxf>
      <font>
        <color theme="0"/>
      </font>
      <fill>
        <patternFill>
          <bgColor theme="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3" formatCode="#,##0"/>
    </dxf>
    <dxf>
      <numFmt numFmtId="164" formatCode="0.0"/>
    </dxf>
    <dxf>
      <numFmt numFmtId="166" formatCode="0.0E+00"/>
    </dxf>
    <dxf>
      <fill>
        <patternFill>
          <bgColor theme="0"/>
        </patternFill>
      </fill>
    </dxf>
    <dxf>
      <font>
        <color theme="0"/>
      </font>
      <fill>
        <patternFill>
          <bgColor theme="0"/>
        </patternFill>
      </fill>
    </dxf>
    <dxf>
      <numFmt numFmtId="15" formatCode="0.00E+00"/>
    </dxf>
    <dxf>
      <numFmt numFmtId="3" formatCode="#,##0"/>
    </dxf>
    <dxf>
      <numFmt numFmtId="164" formatCode="0.0"/>
    </dxf>
    <dxf>
      <fill>
        <patternFill>
          <bgColor theme="0"/>
        </patternFill>
      </fill>
    </dxf>
    <dxf>
      <numFmt numFmtId="164" formatCode="0.0"/>
    </dxf>
    <dxf>
      <font>
        <color theme="0"/>
      </font>
      <fill>
        <patternFill>
          <bgColor theme="0"/>
        </patternFill>
      </fill>
    </dxf>
    <dxf>
      <numFmt numFmtId="3" formatCode="#,##0"/>
    </dxf>
    <dxf>
      <numFmt numFmtId="15" formatCode="0.00E+00"/>
    </dxf>
    <dxf>
      <fill>
        <patternFill>
          <bgColor theme="5"/>
        </patternFill>
      </fill>
    </dxf>
    <dxf>
      <fill>
        <patternFill>
          <bgColor rgb="FF00B050"/>
        </patternFill>
      </fill>
    </dxf>
    <dxf>
      <numFmt numFmtId="3" formatCode="#,##0"/>
    </dxf>
    <dxf>
      <numFmt numFmtId="166" formatCode="0.0E+00"/>
    </dxf>
    <dxf>
      <fill>
        <patternFill>
          <bgColor theme="0"/>
        </patternFill>
      </fill>
    </dxf>
    <dxf>
      <font>
        <color theme="0"/>
      </font>
      <fill>
        <patternFill>
          <bgColor theme="0"/>
        </patternFill>
      </fill>
    </dxf>
    <dxf>
      <numFmt numFmtId="164" formatCode="0.0"/>
    </dxf>
    <dxf>
      <numFmt numFmtId="164" formatCode="0.0"/>
    </dxf>
    <dxf>
      <numFmt numFmtId="3" formatCode="#,##0"/>
    </dxf>
    <dxf>
      <font>
        <color theme="0"/>
      </font>
      <fill>
        <patternFill>
          <bgColor theme="0"/>
        </patternFill>
      </fill>
    </dxf>
    <dxf>
      <fill>
        <patternFill>
          <bgColor theme="0"/>
        </patternFill>
      </fill>
    </dxf>
    <dxf>
      <numFmt numFmtId="166" formatCode="0.0E+00"/>
    </dxf>
    <dxf>
      <font>
        <color theme="0"/>
      </font>
      <fill>
        <patternFill>
          <bgColor theme="0"/>
        </patternFill>
      </fill>
    </dxf>
    <dxf>
      <font>
        <color theme="0"/>
      </font>
      <fill>
        <patternFill>
          <bgColor theme="0"/>
        </patternFill>
      </fill>
    </dxf>
    <dxf>
      <fill>
        <patternFill>
          <bgColor theme="0"/>
        </patternFill>
      </fill>
    </dxf>
    <dxf>
      <numFmt numFmtId="164" formatCode="0.0"/>
    </dxf>
    <dxf>
      <numFmt numFmtId="15" formatCode="0.00E+00"/>
    </dxf>
    <dxf>
      <numFmt numFmtId="3" formatCode="#,##0"/>
    </dxf>
    <dxf>
      <numFmt numFmtId="164" formatCode="0.0"/>
    </dxf>
    <dxf>
      <numFmt numFmtId="15" formatCode="0.00E+00"/>
    </dxf>
    <dxf>
      <font>
        <color theme="0"/>
      </font>
      <fill>
        <patternFill>
          <bgColor theme="0"/>
        </patternFill>
      </fill>
    </dxf>
    <dxf>
      <numFmt numFmtId="3" formatCode="#,##0"/>
    </dxf>
    <dxf>
      <fill>
        <patternFill>
          <bgColor theme="0"/>
        </patternFill>
      </fill>
    </dxf>
    <dxf>
      <fill>
        <patternFill>
          <bgColor theme="0"/>
        </patternFill>
      </fill>
    </dxf>
    <dxf>
      <numFmt numFmtId="166" formatCode="0.0E+00"/>
    </dxf>
    <dxf>
      <numFmt numFmtId="164" formatCode="0.0"/>
    </dxf>
    <dxf>
      <numFmt numFmtId="3" formatCode="#,##0"/>
    </dxf>
    <dxf>
      <font>
        <color theme="0"/>
      </font>
      <fill>
        <patternFill>
          <bgColor theme="0"/>
        </patternFill>
      </fill>
    </dxf>
    <dxf>
      <fill>
        <patternFill>
          <bgColor theme="0"/>
        </patternFill>
      </fill>
    </dxf>
    <dxf>
      <numFmt numFmtId="15" formatCode="0.00E+00"/>
    </dxf>
    <dxf>
      <font>
        <color theme="0"/>
      </font>
      <fill>
        <patternFill>
          <bgColor theme="0"/>
        </patternFill>
      </fill>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164" formatCode="0.0"/>
    </dxf>
    <dxf>
      <fill>
        <patternFill>
          <bgColor theme="5"/>
        </patternFill>
      </fill>
    </dxf>
    <dxf>
      <fill>
        <patternFill>
          <bgColor rgb="FF00B050"/>
        </patternFill>
      </fill>
    </dxf>
    <dxf>
      <numFmt numFmtId="3" formatCode="#,##0"/>
    </dxf>
    <dxf>
      <numFmt numFmtId="15" formatCode="0.00E+00"/>
    </dxf>
    <dxf>
      <fill>
        <patternFill>
          <bgColor theme="0"/>
        </patternFill>
      </fill>
    </dxf>
    <dxf>
      <fill>
        <patternFill>
          <bgColor theme="5"/>
        </patternFill>
      </fill>
    </dxf>
    <dxf>
      <font>
        <color theme="0"/>
      </font>
      <fill>
        <patternFill>
          <bgColor theme="0"/>
        </patternFill>
      </fill>
    </dxf>
    <dxf>
      <fill>
        <patternFill>
          <bgColor theme="0"/>
        </patternFill>
      </fill>
    </dxf>
    <dxf>
      <numFmt numFmtId="15" formatCode="0.00E+00"/>
    </dxf>
    <dxf>
      <numFmt numFmtId="3" formatCode="#,##0"/>
    </dxf>
    <dxf>
      <font>
        <color theme="0"/>
      </font>
      <fill>
        <patternFill>
          <bgColor theme="0"/>
        </patternFill>
      </fill>
    </dxf>
    <dxf>
      <fill>
        <patternFill>
          <bgColor theme="0"/>
        </patternFill>
      </fill>
    </dxf>
    <dxf>
      <numFmt numFmtId="164" formatCode="0.0"/>
    </dxf>
    <dxf>
      <numFmt numFmtId="15" formatCode="0.00E+00"/>
    </dxf>
    <dxf>
      <fill>
        <patternFill>
          <bgColor theme="5"/>
        </patternFill>
      </fill>
    </dxf>
    <dxf>
      <fill>
        <patternFill>
          <bgColor rgb="FF00B050"/>
        </patternFill>
      </fill>
    </dxf>
    <dxf>
      <numFmt numFmtId="3" formatCode="#,##0"/>
    </dxf>
    <dxf>
      <numFmt numFmtId="164" formatCode="0.0"/>
    </dxf>
    <dxf>
      <fill>
        <patternFill>
          <bgColor rgb="FF00B050"/>
        </patternFill>
      </fill>
    </dxf>
    <dxf>
      <fill>
        <patternFill>
          <bgColor theme="5"/>
        </patternFill>
      </fill>
    </dxf>
    <dxf>
      <fill>
        <patternFill>
          <bgColor rgb="FF00B050"/>
        </patternFill>
      </fill>
    </dxf>
    <dxf>
      <numFmt numFmtId="3" formatCode="#,##0"/>
    </dxf>
    <dxf>
      <numFmt numFmtId="164" formatCode="0.0"/>
    </dxf>
    <dxf>
      <numFmt numFmtId="15" formatCode="0.00E+00"/>
    </dxf>
    <dxf>
      <fill>
        <patternFill>
          <bgColor theme="0"/>
        </patternFill>
      </fill>
    </dxf>
    <dxf>
      <font>
        <color theme="0"/>
      </font>
      <fill>
        <patternFill>
          <bgColor theme="0"/>
        </patternFill>
      </fill>
    </dxf>
    <dxf>
      <fill>
        <patternFill>
          <bgColor theme="5"/>
        </patternFill>
      </fill>
    </dxf>
    <dxf>
      <fill>
        <patternFill>
          <bgColor rgb="FF00B050"/>
        </patternFill>
      </fill>
    </dxf>
    <dxf>
      <fill>
        <patternFill>
          <bgColor theme="5"/>
        </patternFill>
      </fill>
    </dxf>
    <dxf>
      <fill>
        <patternFill>
          <bgColor rgb="FF00B050"/>
        </patternFill>
      </fill>
    </dxf>
    <dxf>
      <numFmt numFmtId="15" formatCode="0.00E+00"/>
    </dxf>
    <dxf>
      <fill>
        <patternFill>
          <bgColor theme="0"/>
        </patternFill>
      </fill>
    </dxf>
    <dxf>
      <font>
        <color theme="0"/>
      </font>
      <fill>
        <patternFill>
          <bgColor theme="0"/>
        </patternFill>
      </fill>
    </dxf>
    <dxf>
      <fill>
        <patternFill>
          <bgColor theme="5"/>
        </patternFill>
      </fill>
    </dxf>
    <dxf>
      <numFmt numFmtId="3" formatCode="#,##0"/>
    </dxf>
    <dxf>
      <numFmt numFmtId="164" formatCode="0.0"/>
    </dxf>
    <dxf>
      <numFmt numFmtId="166" formatCode="0.0E+00"/>
    </dxf>
    <dxf>
      <fill>
        <patternFill>
          <bgColor theme="0"/>
        </patternFill>
      </fill>
    </dxf>
    <dxf>
      <font>
        <color theme="0"/>
      </font>
      <fill>
        <patternFill>
          <bgColor theme="0"/>
        </patternFill>
      </fill>
    </dxf>
    <dxf>
      <fill>
        <patternFill>
          <bgColor theme="5"/>
        </patternFill>
      </fill>
    </dxf>
    <dxf>
      <fill>
        <patternFill>
          <bgColor rgb="FF00B050"/>
        </patternFill>
      </fill>
    </dxf>
    <dxf>
      <numFmt numFmtId="3" formatCode="#,##0"/>
    </dxf>
    <dxf>
      <numFmt numFmtId="164" formatCode="0.0"/>
    </dxf>
    <dxf>
      <numFmt numFmtId="166" formatCode="0.0E+00"/>
    </dxf>
    <dxf>
      <font>
        <color theme="0"/>
      </font>
      <fill>
        <patternFill>
          <bgColor theme="0"/>
        </patternFill>
      </fill>
    </dxf>
    <dxf>
      <fill>
        <patternFill>
          <bgColor rgb="FF00B050"/>
        </patternFill>
      </fill>
    </dxf>
    <dxf>
      <fill>
        <patternFill>
          <bgColor theme="0"/>
        </patternFill>
      </fill>
    </dxf>
    <dxf>
      <font>
        <color theme="0"/>
      </font>
      <fill>
        <patternFill>
          <bgColor theme="0"/>
        </patternFill>
      </fill>
    </dxf>
    <dxf>
      <numFmt numFmtId="15" formatCode="0.00E+00"/>
    </dxf>
    <dxf>
      <fill>
        <patternFill>
          <bgColor theme="0"/>
        </patternFill>
      </fill>
    </dxf>
    <dxf>
      <numFmt numFmtId="164" formatCode="0.0"/>
    </dxf>
    <dxf>
      <numFmt numFmtId="3" formatCode="#,##0"/>
    </dxf>
    <dxf>
      <numFmt numFmtId="15" formatCode="0.00E+00"/>
    </dxf>
    <dxf>
      <fill>
        <patternFill>
          <bgColor theme="0"/>
        </patternFill>
      </fill>
    </dxf>
    <dxf>
      <numFmt numFmtId="3" formatCode="#,##0"/>
    </dxf>
    <dxf>
      <numFmt numFmtId="164" formatCode="0.0"/>
    </dxf>
    <dxf>
      <fill>
        <patternFill>
          <bgColor rgb="FF00B050"/>
        </patternFill>
      </fill>
    </dxf>
    <dxf>
      <fill>
        <patternFill>
          <bgColor theme="0"/>
        </patternFill>
      </fill>
    </dxf>
    <dxf>
      <numFmt numFmtId="15" formatCode="0.00E+00"/>
    </dxf>
    <dxf>
      <numFmt numFmtId="3" formatCode="#,##0"/>
    </dxf>
    <dxf>
      <numFmt numFmtId="164" formatCode="0.0"/>
    </dxf>
    <dxf>
      <font>
        <color theme="0"/>
      </font>
      <fill>
        <patternFill>
          <bgColor theme="0"/>
        </patternFill>
      </fill>
    </dxf>
    <dxf>
      <fill>
        <patternFill>
          <bgColor theme="5"/>
        </patternFill>
      </fill>
    </dxf>
    <dxf>
      <fill>
        <patternFill>
          <bgColor theme="5"/>
        </patternFill>
      </fill>
    </dxf>
    <dxf>
      <fill>
        <patternFill>
          <bgColor rgb="FF00B050"/>
        </patternFill>
      </fill>
    </dxf>
    <dxf>
      <numFmt numFmtId="15" formatCode="0.00E+00"/>
    </dxf>
    <dxf>
      <font>
        <color theme="0"/>
      </font>
      <fill>
        <patternFill>
          <bgColor theme="0"/>
        </patternFill>
      </fill>
    </dxf>
    <dxf>
      <fill>
        <patternFill>
          <bgColor theme="0"/>
        </patternFill>
      </fill>
    </dxf>
    <dxf>
      <numFmt numFmtId="3" formatCode="#,##0"/>
    </dxf>
    <dxf>
      <numFmt numFmtId="164" formatCode="0.0"/>
    </dxf>
    <dxf>
      <numFmt numFmtId="2" formatCode="0.00"/>
    </dxf>
    <dxf>
      <numFmt numFmtId="164" formatCode="0.0"/>
    </dxf>
    <dxf>
      <numFmt numFmtId="166" formatCode="0.0E+00"/>
    </dxf>
    <dxf>
      <numFmt numFmtId="173" formatCode="0;0;"/>
    </dxf>
    <dxf>
      <numFmt numFmtId="1" formatCode="0"/>
    </dxf>
    <dxf>
      <numFmt numFmtId="166" formatCode="0.0E+00"/>
    </dxf>
    <dxf>
      <numFmt numFmtId="3" formatCode="#,##0"/>
    </dxf>
    <dxf>
      <numFmt numFmtId="15" formatCode="0.00E+00"/>
    </dxf>
    <dxf>
      <fill>
        <patternFill>
          <bgColor theme="0"/>
        </patternFill>
      </fill>
    </dxf>
    <dxf>
      <font>
        <color theme="0"/>
      </font>
      <fill>
        <patternFill>
          <bgColor theme="0"/>
        </patternFill>
      </fill>
    </dxf>
    <dxf>
      <numFmt numFmtId="164" formatCode="0.0"/>
    </dxf>
    <dxf>
      <font>
        <color theme="0"/>
      </font>
      <fill>
        <patternFill>
          <bgColor theme="0"/>
        </patternFill>
      </fill>
    </dxf>
    <dxf>
      <numFmt numFmtId="15" formatCode="0.00E+00"/>
    </dxf>
    <dxf>
      <fill>
        <patternFill>
          <bgColor theme="0"/>
        </patternFill>
      </fill>
    </dxf>
    <dxf>
      <fill>
        <patternFill>
          <bgColor rgb="FF00B050"/>
        </patternFill>
      </fill>
    </dxf>
    <dxf>
      <numFmt numFmtId="164" formatCode="0.0"/>
    </dxf>
    <dxf>
      <numFmt numFmtId="166" formatCode="0.0E+00"/>
    </dxf>
    <dxf>
      <fill>
        <patternFill>
          <bgColor theme="0"/>
        </patternFill>
      </fill>
    </dxf>
    <dxf>
      <font>
        <color theme="0"/>
      </font>
      <fill>
        <patternFill>
          <bgColor theme="0"/>
        </patternFill>
      </fill>
    </dxf>
    <dxf>
      <numFmt numFmtId="3" formatCode="#,##0"/>
    </dxf>
    <dxf>
      <fill>
        <patternFill>
          <bgColor theme="5"/>
        </patternFill>
      </fill>
    </dxf>
    <dxf>
      <fill>
        <patternFill>
          <bgColor rgb="FF00B050"/>
        </patternFill>
      </fill>
    </dxf>
    <dxf>
      <fill>
        <patternFill>
          <bgColor theme="5"/>
        </patternFill>
      </fill>
    </dxf>
    <dxf>
      <font>
        <color theme="0"/>
      </font>
      <fill>
        <patternFill>
          <bgColor theme="0"/>
        </patternFill>
      </fill>
    </dxf>
    <dxf>
      <numFmt numFmtId="3" formatCode="#,##0"/>
    </dxf>
    <dxf>
      <numFmt numFmtId="164" formatCode="0.0"/>
    </dxf>
    <dxf>
      <fill>
        <patternFill>
          <bgColor theme="0"/>
        </patternFill>
      </fill>
    </dxf>
    <dxf>
      <numFmt numFmtId="15" formatCode="0.00E+00"/>
    </dxf>
    <dxf>
      <font>
        <color theme="0"/>
      </font>
      <fill>
        <patternFill>
          <bgColor theme="0"/>
        </patternFill>
      </fill>
    </dxf>
    <dxf>
      <fill>
        <patternFill>
          <bgColor theme="5"/>
        </patternFill>
      </fill>
    </dxf>
    <dxf>
      <fill>
        <patternFill>
          <bgColor rgb="FF00B050"/>
        </patternFill>
      </fill>
    </dxf>
    <dxf>
      <numFmt numFmtId="173" formatCode="0;0;"/>
    </dxf>
    <dxf>
      <numFmt numFmtId="1" formatCode="0"/>
    </dxf>
    <dxf>
      <numFmt numFmtId="166" formatCode="0.0E+00"/>
    </dxf>
    <dxf>
      <numFmt numFmtId="2" formatCode="0.00"/>
    </dxf>
    <dxf>
      <numFmt numFmtId="166" formatCode="0.0E+00"/>
    </dxf>
    <dxf>
      <numFmt numFmtId="164" formatCode="0.0"/>
    </dxf>
    <dxf>
      <numFmt numFmtId="166" formatCode="0.0E+00"/>
    </dxf>
    <dxf>
      <numFmt numFmtId="164" formatCode="0.0"/>
    </dxf>
    <dxf>
      <numFmt numFmtId="3" formatCode="#,##0"/>
    </dxf>
    <dxf>
      <fill>
        <patternFill>
          <bgColor theme="0"/>
        </patternFill>
      </fill>
    </dxf>
    <dxf>
      <numFmt numFmtId="15" formatCode="0.00E+00"/>
    </dxf>
    <dxf>
      <fill>
        <patternFill>
          <bgColor theme="0"/>
        </patternFill>
      </fill>
    </dxf>
    <dxf>
      <font>
        <color theme="0"/>
      </font>
      <fill>
        <patternFill>
          <bgColor theme="0"/>
        </patternFill>
      </fill>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numFmt numFmtId="2" formatCode="0.00"/>
      <fill>
        <patternFill patternType="solid">
          <fgColor indexed="64"/>
          <bgColor theme="0"/>
        </patternFill>
      </fill>
      <alignment horizontal="center"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0"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fill>
        <patternFill patternType="solid">
          <fgColor indexed="64"/>
          <bgColor theme="0"/>
        </patternFill>
      </fill>
      <alignment horizontal="left" vertical="center" textRotation="0" wrapText="1" indent="0" justifyLastLine="0" shrinkToFit="0" readingOrder="0"/>
      <border diagonalUp="0" diagonalDown="0" outline="0">
        <left/>
        <right/>
        <top style="dashed">
          <color auto="1"/>
        </top>
        <bottom/>
      </border>
    </dxf>
    <dxf>
      <font>
        <strike val="0"/>
        <outline val="0"/>
        <shadow val="0"/>
        <u val="none"/>
        <vertAlign val="baseline"/>
        <sz val="10"/>
        <color auto="1"/>
        <name val="Times New Roman"/>
        <family val="1"/>
        <scheme val="none"/>
      </font>
    </dxf>
    <dxf>
      <border outline="0">
        <left style="thin">
          <color auto="1"/>
        </left>
        <right style="thin">
          <color auto="1"/>
        </right>
        <bottom style="thin">
          <color auto="1"/>
        </bottom>
      </border>
    </dxf>
    <dxf>
      <font>
        <strike val="0"/>
        <outline val="0"/>
        <shadow val="0"/>
        <u val="none"/>
        <vertAlign val="baseline"/>
        <sz val="10"/>
        <color auto="1"/>
        <name val="Times New Roman"/>
        <family val="1"/>
        <scheme val="none"/>
      </font>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font>
        <strike val="0"/>
        <outline val="0"/>
        <shadow val="0"/>
        <u val="none"/>
        <sz val="10"/>
        <name val="Times New Roman"/>
        <family val="1"/>
        <scheme val="none"/>
      </font>
    </dxf>
    <dxf>
      <border outline="0">
        <left style="thin">
          <color auto="1"/>
        </left>
        <right style="thin">
          <color auto="1"/>
        </right>
        <bottom style="thin">
          <color auto="1"/>
        </bottom>
      </border>
    </dxf>
    <dxf>
      <font>
        <strike val="0"/>
        <outline val="0"/>
        <shadow val="0"/>
        <u val="none"/>
        <sz val="10"/>
        <name val="Times New Roman"/>
        <family val="1"/>
        <scheme val="none"/>
      </font>
    </dxf>
    <dxf>
      <border outline="0">
        <bottom style="dashed">
          <color auto="1"/>
        </bottom>
      </border>
    </dxf>
    <dxf>
      <font>
        <b/>
        <i val="0"/>
        <strike val="0"/>
        <condense val="0"/>
        <extend val="0"/>
        <outline val="0"/>
        <shadow val="0"/>
        <u val="none"/>
        <vertAlign val="baseline"/>
        <sz val="10"/>
        <color auto="1"/>
        <name val="Times New Roman"/>
        <family val="1"/>
        <scheme val="none"/>
      </font>
      <fill>
        <patternFill patternType="solid">
          <fgColor indexed="64"/>
          <bgColor theme="0"/>
        </patternFill>
      </fill>
      <alignment horizontal="center" vertical="bottom" textRotation="0" wrapText="1" indent="0" justifyLastLine="0" shrinkToFit="0" readingOrder="0"/>
    </dxf>
    <dxf>
      <font>
        <strike val="0"/>
        <outline val="0"/>
        <shadow val="0"/>
        <u val="none"/>
        <sz val="10"/>
        <name val="Times New Roman"/>
        <family val="1"/>
        <scheme val="none"/>
      </font>
      <numFmt numFmtId="166" formatCode="0.0E+00"/>
    </dxf>
    <dxf>
      <font>
        <strike val="0"/>
        <outline val="0"/>
        <shadow val="0"/>
        <u val="none"/>
        <sz val="10"/>
        <name val="Times New Roman"/>
        <family val="1"/>
        <scheme val="none"/>
      </font>
      <numFmt numFmtId="166" formatCode="0.0E+00"/>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left style="thin">
          <color auto="1"/>
        </left>
        <right style="thin">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auto="1"/>
        <name val="Times New Roman"/>
        <family val="1"/>
        <scheme val="none"/>
      </font>
      <numFmt numFmtId="15" formatCode="0.00E+00"/>
      <fill>
        <patternFill patternType="none">
          <fgColor indexed="64"/>
          <bgColor indexed="65"/>
        </patternFill>
      </fill>
      <alignment horizontal="center" vertical="center" textRotation="0" wrapText="1" indent="0" justifyLastLine="0" shrinkToFit="0" readingOrder="0"/>
      <border diagonalUp="0" diagonalDown="0">
        <left style="thin">
          <color auto="1"/>
        </left>
        <right style="thin">
          <color auto="1"/>
        </right>
        <top/>
        <bottom style="thin">
          <color auto="1"/>
        </bottom>
        <vertical/>
        <horizontal/>
      </border>
    </dxf>
    <dxf>
      <font>
        <strike val="0"/>
        <outline val="0"/>
        <shadow val="0"/>
        <u val="none"/>
        <sz val="10"/>
        <color auto="1"/>
        <name val="Times New Roman"/>
        <family val="1"/>
        <scheme val="none"/>
      </font>
      <numFmt numFmtId="15" formatCode="0.00E+00"/>
      <fill>
        <patternFill patternType="none">
          <fgColor indexed="64"/>
          <bgColor auto="1"/>
        </patternFill>
      </fill>
      <alignment horizontal="center" vertical="center" textRotation="0" wrapText="1" indent="0" justifyLastLine="0" shrinkToFit="0" readingOrder="0"/>
      <border diagonalUp="0" diagonalDown="0">
        <left style="thin">
          <color auto="1"/>
        </left>
        <right style="thin">
          <color auto="1"/>
        </right>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indexed="65"/>
        </patternFill>
      </fill>
      <alignment horizontal="center" vertical="center" textRotation="0" wrapText="0" indent="0" justifyLastLine="0" shrinkToFit="0" readingOrder="0"/>
      <border diagonalUp="0" diagonalDown="0">
        <left style="thin">
          <color auto="1"/>
        </left>
        <right style="thin">
          <color auto="1"/>
        </right>
        <top/>
        <bottom style="thin">
          <color auto="1"/>
        </bottom>
        <vertical/>
        <horizontal/>
      </border>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dxf>
    <dxf>
      <font>
        <strike val="0"/>
        <outline val="0"/>
        <shadow val="0"/>
        <u val="none"/>
        <sz val="10"/>
        <name val="Times New Roman"/>
        <family val="1"/>
        <scheme val="none"/>
      </font>
      <numFmt numFmtId="166" formatCode="0.0E+00"/>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fill>
        <patternFill patternType="none">
          <fgColor indexed="64"/>
          <bgColor auto="1"/>
        </patternFill>
      </fill>
      <alignment horizontal="center"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outline="0">
        <left style="medium">
          <color auto="1"/>
        </left>
        <right style="thin">
          <color auto="1"/>
        </right>
        <top style="thin">
          <color auto="1"/>
        </top>
        <bottom style="thin">
          <color auto="1"/>
        </bottom>
      </border>
    </dxf>
    <dxf>
      <font>
        <b val="0"/>
        <i val="0"/>
        <strike val="0"/>
        <condense val="0"/>
        <extend val="0"/>
        <outline val="0"/>
        <shadow val="0"/>
        <u val="none"/>
        <vertAlign val="baseline"/>
        <sz val="11"/>
        <color theme="1"/>
        <name val="Times New Roman"/>
        <family val="1"/>
        <scheme val="none"/>
      </font>
      <alignment horizontal="general" vertical="center" textRotation="0" wrapText="1" indent="0" justifyLastLine="0" shrinkToFit="0" readingOrder="0"/>
      <border diagonalUp="0" diagonalDown="0" outline="0">
        <left style="medium">
          <color auto="1"/>
        </left>
        <right style="medium">
          <color auto="1"/>
        </right>
        <top style="thin">
          <color auto="1"/>
        </top>
        <bottom style="thin">
          <color auto="1"/>
        </bottom>
      </border>
    </dxf>
    <dxf>
      <font>
        <strike val="0"/>
        <outline val="0"/>
        <shadow val="0"/>
        <u val="none"/>
        <sz val="10"/>
        <name val="Times New Roman"/>
        <family val="1"/>
        <scheme val="none"/>
      </font>
      <numFmt numFmtId="166" formatCode="0.0E+00"/>
      <fill>
        <patternFill>
          <fgColor indexed="64"/>
          <bgColor theme="0"/>
        </patternFill>
      </fill>
      <alignment horizontal="center" vertical="center" textRotation="0" wrapText="1" indent="0" justifyLastLine="0" shrinkToFit="0" readingOrder="0"/>
      <border diagonalUp="0" diagonalDown="0" outline="0">
        <left style="medium">
          <color auto="1"/>
        </left>
        <right style="medium">
          <color auto="1"/>
        </right>
        <top style="thin">
          <color auto="1"/>
        </top>
        <bottom style="thin">
          <color auto="1"/>
        </bottom>
      </border>
    </dxf>
    <dxf>
      <border outline="0">
        <right style="thin">
          <color auto="1"/>
        </right>
        <bottom style="thin">
          <color indexed="64"/>
        </bottom>
      </border>
    </dxf>
    <dxf>
      <font>
        <strike val="0"/>
        <outline val="0"/>
        <shadow val="0"/>
        <u val="none"/>
        <sz val="10"/>
        <name val="Times New Roman"/>
        <family val="1"/>
        <scheme val="none"/>
      </font>
    </dxf>
    <dxf>
      <font>
        <strike val="0"/>
        <outline val="0"/>
        <shadow val="0"/>
        <u val="none"/>
        <sz val="10"/>
        <name val="Times New Roman"/>
        <family val="1"/>
        <scheme val="none"/>
      </font>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style="thin">
          <color indexed="64"/>
        </left>
        <right style="medium">
          <color indexed="64"/>
        </right>
        <top style="thin">
          <color indexed="64"/>
        </top>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0" indent="0" justifyLastLine="0" shrinkToFit="0" readingOrder="0"/>
      <border diagonalUp="0" diagonalDown="0" outline="0">
        <left style="thin">
          <color indexed="64"/>
        </left>
        <right style="medium">
          <color indexed="64"/>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 formatCode="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 formatCode="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 formatCode="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 formatCode="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2" formatCode="0.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2" formatCode="0.00"/>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fill>
        <patternFill patternType="solid">
          <fgColor indexed="64"/>
          <bgColor theme="0"/>
        </patternFill>
      </fill>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66" formatCode="0.0E+00"/>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numFmt numFmtId="15" formatCode="0.00E+00"/>
      <fill>
        <patternFill>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color theme="1"/>
        <name val="Times New Roman"/>
        <family val="1"/>
        <scheme val="none"/>
      </font>
      <numFmt numFmtId="15" formatCode="0.00E+00"/>
      <fill>
        <patternFill patternType="none">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numFmt numFmtId="15" formatCode="0.00E+00"/>
      <fill>
        <patternFill patternType="solid">
          <fgColor indexed="64"/>
          <bgColor theme="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strike val="0"/>
        <outline val="0"/>
        <shadow val="0"/>
        <u val="none"/>
        <vertAlign val="baseline"/>
        <sz val="10"/>
        <color theme="1"/>
        <name val="Times New Roman"/>
        <family val="1"/>
        <scheme val="none"/>
      </font>
      <numFmt numFmtId="15" formatCode="0.00E+00"/>
      <fill>
        <patternFill patternType="none">
          <fgColor indexed="64"/>
          <bgColor theme="0"/>
        </patternFill>
      </fill>
      <alignment horizontal="center" vertical="center" textRotation="0" wrapText="0" indent="0" justifyLastLine="0" shrinkToFit="0" readingOrder="0"/>
      <border diagonalUp="0" diagonalDown="0" outline="0">
        <left style="thin">
          <color indexed="64"/>
        </left>
        <right style="thin">
          <color auto="1"/>
        </right>
        <top style="thin">
          <color indexed="64"/>
        </top>
        <bottom style="thin">
          <color indexed="64"/>
        </bottom>
      </border>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outline="0">
        <left style="thin">
          <color auto="1"/>
        </left>
        <right/>
        <top style="thin">
          <color auto="1"/>
        </top>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numFmt numFmtId="0" formatCode="General"/>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alignment horizontal="center" vertical="center" textRotation="0" wrapText="0"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rgb="FF000000"/>
        <name val="Times New Roman"/>
        <family val="1"/>
        <scheme val="none"/>
      </font>
      <alignment horizontal="center" vertical="center" textRotation="0" wrapText="1" indent="0" justifyLastLine="0" shrinkToFit="0" readingOrder="0"/>
      <border diagonalUp="0" diagonalDown="0" outline="0">
        <left style="thin">
          <color auto="1"/>
        </left>
        <right style="thin">
          <color auto="1"/>
        </right>
        <top style="thin">
          <color auto="1"/>
        </top>
        <bottom/>
      </border>
    </dxf>
    <dxf>
      <font>
        <b val="0"/>
        <i val="0"/>
        <strike val="0"/>
        <condense val="0"/>
        <extend val="0"/>
        <outline val="0"/>
        <shadow val="0"/>
        <u val="none"/>
        <vertAlign val="baseline"/>
        <sz val="10"/>
        <color rgb="FF000000"/>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thin">
          <color auto="1"/>
        </left>
        <right style="thin">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alignment horizontal="general" vertical="center" textRotation="0" wrapText="1" indent="0" justifyLastLine="0" shrinkToFit="0" readingOrder="0"/>
      <border diagonalUp="0" diagonalDown="0" outline="0">
        <left style="medium">
          <color auto="1"/>
        </left>
        <right style="medium">
          <color auto="1"/>
        </right>
        <top style="thin">
          <color auto="1"/>
        </top>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general" vertical="center" textRotation="0" wrapText="0" indent="0" justifyLastLine="0" shrinkToFit="0" readingOrder="0"/>
      <border diagonalUp="0" diagonalDown="0" outline="0">
        <left style="medium">
          <color auto="1"/>
        </left>
        <right style="medium">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alignment horizontal="center" vertical="center" textRotation="0" wrapText="1" indent="0" justifyLastLine="0" shrinkToFit="0" readingOrder="0"/>
      <border diagonalUp="0" diagonalDown="0" outline="0">
        <left style="medium">
          <color auto="1"/>
        </left>
        <right style="medium">
          <color auto="1"/>
        </right>
        <top style="thin">
          <color auto="1"/>
        </top>
        <bottom/>
      </border>
    </dxf>
    <dxf>
      <font>
        <b val="0"/>
        <i val="0"/>
        <strike val="0"/>
        <condense val="0"/>
        <extend val="0"/>
        <outline val="0"/>
        <shadow val="0"/>
        <u val="none"/>
        <vertAlign val="baseline"/>
        <sz val="10"/>
        <color theme="1"/>
        <name val="Times New Roman"/>
        <family val="1"/>
        <scheme val="none"/>
      </font>
      <fill>
        <patternFill patternType="solid">
          <fgColor indexed="64"/>
          <bgColor rgb="FFFFFF00"/>
        </patternFill>
      </fill>
      <alignment horizontal="center" vertical="center" textRotation="0" wrapText="0" indent="0" justifyLastLine="0" shrinkToFit="0" readingOrder="0"/>
      <border diagonalUp="0" diagonalDown="0" outline="0">
        <left style="medium">
          <color auto="1"/>
        </left>
        <right style="medium">
          <color auto="1"/>
        </right>
        <top style="thin">
          <color auto="1"/>
        </top>
        <bottom style="thin">
          <color auto="1"/>
        </bottom>
      </border>
    </dxf>
    <dxf>
      <font>
        <b val="0"/>
        <i val="0"/>
        <strike val="0"/>
        <condense val="0"/>
        <extend val="0"/>
        <outline val="0"/>
        <shadow val="0"/>
        <u val="none"/>
        <vertAlign val="baseline"/>
        <sz val="10"/>
        <color theme="1"/>
        <name val="Times New Roman"/>
        <family val="1"/>
        <scheme val="none"/>
      </font>
      <border diagonalUp="0" diagonalDown="0" outline="0">
        <left/>
        <right style="thin">
          <color auto="1"/>
        </right>
        <top/>
        <bottom/>
      </border>
    </dxf>
    <dxf>
      <font>
        <b val="0"/>
        <i val="0"/>
        <strike val="0"/>
        <condense val="0"/>
        <extend val="0"/>
        <outline val="0"/>
        <shadow val="0"/>
        <u val="none"/>
        <vertAlign val="baseline"/>
        <sz val="10"/>
        <color theme="1"/>
        <name val="Times New Roman"/>
        <family val="1"/>
        <scheme val="none"/>
      </font>
      <alignment textRotation="0" wrapText="0" indent="0" justifyLastLine="0" shrinkToFit="0" readingOrder="0"/>
      <border outline="0">
        <right style="thin">
          <color auto="1"/>
        </right>
      </border>
    </dxf>
    <dxf>
      <font>
        <b val="0"/>
        <i val="0"/>
        <strike val="0"/>
        <condense val="0"/>
        <extend val="0"/>
        <outline val="0"/>
        <shadow val="0"/>
        <u val="none"/>
        <vertAlign val="baseline"/>
        <sz val="10"/>
        <color theme="1"/>
        <name val="Times New Roman"/>
        <family val="1"/>
        <scheme val="none"/>
      </font>
      <alignment textRotation="0" wrapText="0" indent="0" justifyLastLine="0" shrinkToFit="0" readingOrder="0"/>
    </dxf>
    <dxf>
      <font>
        <b val="0"/>
        <i val="0"/>
        <strike val="0"/>
        <condense val="0"/>
        <extend val="0"/>
        <outline val="0"/>
        <shadow val="0"/>
        <u val="none"/>
        <vertAlign val="baseline"/>
        <sz val="10"/>
        <color auto="1"/>
        <name val="Times New Roman"/>
        <family val="1"/>
        <scheme val="none"/>
      </font>
      <alignment textRotation="0" wrapText="0" indent="0" justifyLastLine="0" shrinkToFit="0" readingOrder="0"/>
    </dxf>
  </dxfs>
  <tableStyles count="0" defaultTableStyle="TableStyleMedium2" defaultPivotStyle="PivotStyleLight16"/>
  <colors>
    <mruColors>
      <color rgb="FFF04B18"/>
      <color rgb="FFD43D0E"/>
      <color rgb="FFF15A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 Id="rId22" Type="http://schemas.openxmlformats.org/officeDocument/2006/relationships/customXml" Target="../customXml/item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"Inhalation Cancer Risk Estimates"</c:f>
          <c:strCache>
            <c:ptCount val="1"/>
            <c:pt idx="0">
              <c:v>Inhalation Cancer Risk Estimates</c:v>
            </c:pt>
          </c:strCache>
        </c:strRef>
      </c:tx>
      <c:layout>
        <c:manualLayout>
          <c:xMode val="edge"/>
          <c:yMode val="edge"/>
          <c:x val="0.35379421156466734"/>
          <c:y val="5.1188866307768338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19150842647774607"/>
          <c:y val="0.21054931230848406"/>
          <c:w val="0.57646326211389221"/>
          <c:h val="0.58920985270720716"/>
        </c:manualLayout>
      </c:layout>
      <c:barChart>
        <c:barDir val="bar"/>
        <c:grouping val="stacked"/>
        <c:varyColors val="0"/>
        <c:ser>
          <c:idx val="4"/>
          <c:order val="0"/>
          <c:tx>
            <c:strRef>
              <c:f>Dashboard!$E$67</c:f>
              <c:strCache>
                <c:ptCount val="1"/>
                <c:pt idx="0">
                  <c:v>Cancer Risk with APF of 10</c:v>
                </c:pt>
              </c:strCache>
            </c:strRef>
          </c:tx>
          <c:spPr>
            <a:solidFill>
              <a:schemeClr val="accent5"/>
            </a:solidFill>
            <a:ln>
              <a:noFill/>
            </a:ln>
            <a:effectLst/>
          </c:spPr>
          <c:invertIfNegative val="0"/>
          <c:cat>
            <c:strRef>
              <c:f>Dashboard!$C$68:$C$71</c:f>
              <c:strCache>
                <c:ptCount val="4"/>
                <c:pt idx="0">
                  <c:v>ONU: 50th Percentile</c:v>
                </c:pt>
                <c:pt idx="1">
                  <c:v>ONU: 95th Percentile</c:v>
                </c:pt>
                <c:pt idx="2">
                  <c:v>Worker: 50th Percentile</c:v>
                </c:pt>
                <c:pt idx="3">
                  <c:v>Worker: 95th Percentile</c:v>
                </c:pt>
              </c:strCache>
            </c:strRef>
          </c:cat>
          <c:val>
            <c:numRef>
              <c:f>Dashboard!$E$68:$E$71</c:f>
              <c:numCache>
                <c:formatCode>0.00E+00</c:formatCode>
                <c:ptCount val="4"/>
                <c:pt idx="0">
                  <c:v>0</c:v>
                </c:pt>
                <c:pt idx="1">
                  <c:v>0</c:v>
                </c:pt>
                <c:pt idx="2">
                  <c:v>0</c:v>
                </c:pt>
                <c:pt idx="3">
                  <c:v>0</c:v>
                </c:pt>
              </c:numCache>
            </c:numRef>
          </c:val>
          <c:extLst>
            <c:ext xmlns:c16="http://schemas.microsoft.com/office/drawing/2014/chart" uri="{C3380CC4-5D6E-409C-BE32-E72D297353CC}">
              <c16:uniqueId val="{00000000-711A-46F9-818E-EF3CDD75C90A}"/>
            </c:ext>
          </c:extLst>
        </c:ser>
        <c:ser>
          <c:idx val="0"/>
          <c:order val="1"/>
          <c:tx>
            <c:strRef>
              <c:f>Dashboard!$D$67</c:f>
              <c:strCache>
                <c:ptCount val="1"/>
                <c:pt idx="0">
                  <c:v>Cancer Risk</c:v>
                </c:pt>
              </c:strCache>
            </c:strRef>
          </c:tx>
          <c:spPr>
            <a:solidFill>
              <a:schemeClr val="accent1"/>
            </a:solidFill>
            <a:ln>
              <a:noFill/>
            </a:ln>
            <a:effectLst/>
          </c:spPr>
          <c:invertIfNegative val="0"/>
          <c:cat>
            <c:strRef>
              <c:f>Dashboard!$C$68:$C$71</c:f>
              <c:strCache>
                <c:ptCount val="4"/>
                <c:pt idx="0">
                  <c:v>ONU: 50th Percentile</c:v>
                </c:pt>
                <c:pt idx="1">
                  <c:v>ONU: 95th Percentile</c:v>
                </c:pt>
                <c:pt idx="2">
                  <c:v>Worker: 50th Percentile</c:v>
                </c:pt>
                <c:pt idx="3">
                  <c:v>Worker: 95th Percentile</c:v>
                </c:pt>
              </c:strCache>
            </c:strRef>
          </c:cat>
          <c:val>
            <c:numRef>
              <c:f>Dashboard!$D$68:$D$71</c:f>
              <c:numCache>
                <c:formatCode>0.00E+00</c:formatCode>
                <c:ptCount val="4"/>
                <c:pt idx="0">
                  <c:v>0</c:v>
                </c:pt>
                <c:pt idx="1">
                  <c:v>0</c:v>
                </c:pt>
                <c:pt idx="2">
                  <c:v>0</c:v>
                </c:pt>
                <c:pt idx="3">
                  <c:v>0</c:v>
                </c:pt>
              </c:numCache>
            </c:numRef>
          </c:val>
          <c:extLst>
            <c:ext xmlns:c16="http://schemas.microsoft.com/office/drawing/2014/chart" uri="{C3380CC4-5D6E-409C-BE32-E72D297353CC}">
              <c16:uniqueId val="{00000009-711A-46F9-818E-EF3CDD75C90A}"/>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A-711A-46F9-818E-EF3CDD75C90A}"/>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B-711A-46F9-818E-EF3CDD75C90A}"/>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C-711A-46F9-818E-EF3CDD75C90A}"/>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1"/>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1"/>
        <c:axPos val="l"/>
        <c:numFmt formatCode="General" sourceLinked="1"/>
        <c:majorTickMark val="out"/>
        <c:minorTickMark val="none"/>
        <c:tickLblPos val="nextTo"/>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ysClr val="windowText" lastClr="000000"/>
          </a:solidFill>
        </a:ln>
        <a:effectLst/>
      </c:spPr>
    </c:plotArea>
    <c:legend>
      <c:legendPos val="r"/>
      <c:legendEntry>
        <c:idx val="2"/>
        <c:delete val="1"/>
      </c:legendEntry>
      <c:legendEntry>
        <c:idx val="3"/>
        <c:delete val="1"/>
      </c:legendEntry>
      <c:legendEntry>
        <c:idx val="4"/>
        <c:delete val="1"/>
      </c:legendEntry>
      <c:layout>
        <c:manualLayout>
          <c:xMode val="edge"/>
          <c:yMode val="edge"/>
          <c:x val="0.78144800973247541"/>
          <c:y val="0.48592904914666896"/>
          <c:w val="0.20873604061175266"/>
          <c:h val="0.1010115760437011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"Dermal Cancer Risk Estimates"</c:f>
          <c:strCache>
            <c:ptCount val="1"/>
            <c:pt idx="0">
              <c:v>Dermal Cancer Risk Estimates</c:v>
            </c:pt>
          </c:strCache>
        </c:strRef>
      </c:tx>
      <c:layout>
        <c:manualLayout>
          <c:xMode val="edge"/>
          <c:yMode val="edge"/>
          <c:x val="0.36062458254174651"/>
          <c:y val="3.74142531318897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201544053601726"/>
          <c:y val="0.21054931230848406"/>
          <c:w val="0.59535948857066312"/>
          <c:h val="0.64409953815536147"/>
        </c:manualLayout>
      </c:layout>
      <c:barChart>
        <c:barDir val="bar"/>
        <c:grouping val="stacked"/>
        <c:varyColors val="0"/>
        <c:ser>
          <c:idx val="4"/>
          <c:order val="0"/>
          <c:tx>
            <c:strRef>
              <c:f>Dashboard!$M$67</c:f>
              <c:strCache>
                <c:ptCount val="1"/>
                <c:pt idx="0">
                  <c:v>High-End</c:v>
                </c:pt>
              </c:strCache>
            </c:strRef>
          </c:tx>
          <c:spPr>
            <a:solidFill>
              <a:schemeClr val="accent5"/>
            </a:solidFill>
            <a:ln>
              <a:noFill/>
            </a:ln>
            <a:effectLst/>
          </c:spPr>
          <c:invertIfNegative val="0"/>
          <c:cat>
            <c:strRef>
              <c:f>(Dashboard!$O$32,Dashboard!$Q$32)</c:f>
              <c:strCache>
                <c:ptCount val="2"/>
                <c:pt idx="0">
                  <c:v>Worker No Gloves</c:v>
                </c:pt>
                <c:pt idx="1">
                  <c:v>Gloves: PF of 20</c:v>
                </c:pt>
              </c:strCache>
            </c:strRef>
          </c:cat>
          <c:val>
            <c:numRef>
              <c:f>Dashboard!$M$68:$M$69</c:f>
              <c:numCache>
                <c:formatCode>0.00E+00</c:formatCode>
                <c:ptCount val="2"/>
                <c:pt idx="0">
                  <c:v>0</c:v>
                </c:pt>
                <c:pt idx="1">
                  <c:v>0</c:v>
                </c:pt>
              </c:numCache>
            </c:numRef>
          </c:val>
          <c:extLst>
            <c:ext xmlns:c16="http://schemas.microsoft.com/office/drawing/2014/chart" uri="{C3380CC4-5D6E-409C-BE32-E72D297353CC}">
              <c16:uniqueId val="{00000000-1E4C-4BAD-88BF-7259784D8F46}"/>
            </c:ext>
          </c:extLst>
        </c:ser>
        <c:ser>
          <c:idx val="0"/>
          <c:order val="1"/>
          <c:tx>
            <c:strRef>
              <c:f>Dashboard!$N$67</c:f>
              <c:strCache>
                <c:ptCount val="1"/>
                <c:pt idx="0">
                  <c:v>Central Tendency</c:v>
                </c:pt>
              </c:strCache>
            </c:strRef>
          </c:tx>
          <c:spPr>
            <a:solidFill>
              <a:schemeClr val="accent1"/>
            </a:solidFill>
            <a:ln>
              <a:noFill/>
            </a:ln>
            <a:effectLst/>
          </c:spPr>
          <c:invertIfNegative val="0"/>
          <c:dPt>
            <c:idx val="3"/>
            <c:invertIfNegative val="0"/>
            <c:bubble3D val="0"/>
            <c:spPr>
              <a:solidFill>
                <a:schemeClr val="accent5">
                  <a:lumMod val="75000"/>
                </a:schemeClr>
              </a:solidFill>
              <a:ln>
                <a:noFill/>
              </a:ln>
              <a:effectLst/>
            </c:spPr>
            <c:extLst>
              <c:ext xmlns:c16="http://schemas.microsoft.com/office/drawing/2014/chart" uri="{C3380CC4-5D6E-409C-BE32-E72D297353CC}">
                <c16:uniqueId val="{00000008-1E4C-4BAD-88BF-7259784D8F46}"/>
              </c:ext>
            </c:extLst>
          </c:dPt>
          <c:cat>
            <c:strRef>
              <c:f>(Dashboard!$O$32,Dashboard!$Q$32)</c:f>
              <c:strCache>
                <c:ptCount val="2"/>
                <c:pt idx="0">
                  <c:v>Worker No Gloves</c:v>
                </c:pt>
                <c:pt idx="1">
                  <c:v>Gloves: PF of 20</c:v>
                </c:pt>
              </c:strCache>
            </c:strRef>
          </c:cat>
          <c:val>
            <c:numRef>
              <c:f>Dashboard!$N$68:$N$69</c:f>
              <c:numCache>
                <c:formatCode>0.00E+00</c:formatCode>
                <c:ptCount val="2"/>
                <c:pt idx="0">
                  <c:v>0</c:v>
                </c:pt>
                <c:pt idx="1">
                  <c:v>0</c:v>
                </c:pt>
              </c:numCache>
            </c:numRef>
          </c:val>
          <c:extLst>
            <c:ext xmlns:c16="http://schemas.microsoft.com/office/drawing/2014/chart" uri="{C3380CC4-5D6E-409C-BE32-E72D297353CC}">
              <c16:uniqueId val="{00000009-1E4C-4BAD-88BF-7259784D8F46}"/>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A-1E4C-4BAD-88BF-7259784D8F46}"/>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B-1E4C-4BAD-88BF-7259784D8F46}"/>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C-1E4C-4BAD-88BF-7259784D8F46}"/>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0"/>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000">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chemeClr val="tx1"/>
          </a:solidFill>
        </a:ln>
        <a:effectLst/>
      </c:spPr>
    </c:plotArea>
    <c:legend>
      <c:legendPos val="r"/>
      <c:legendEntry>
        <c:idx val="2"/>
        <c:delete val="1"/>
      </c:legendEntry>
      <c:legendEntry>
        <c:idx val="3"/>
        <c:delete val="1"/>
      </c:legendEntry>
      <c:legendEntry>
        <c:idx val="4"/>
        <c:delete val="1"/>
      </c:legendEntry>
      <c:layout>
        <c:manualLayout>
          <c:xMode val="edge"/>
          <c:yMode val="edge"/>
          <c:x val="0.84666892501423174"/>
          <c:y val="0.46328339630668497"/>
          <c:w val="0.14389088631019784"/>
          <c:h val="0.122340157048809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r>
              <a:rPr lang="en-US"/>
              <a:t>Aggregate Cancer Risk Estimates</a:t>
            </a:r>
          </a:p>
        </c:rich>
      </c:tx>
      <c:layout>
        <c:manualLayout>
          <c:xMode val="edge"/>
          <c:yMode val="edge"/>
          <c:x val="0.36062458254174651"/>
          <c:y val="3.7414253131889751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ysClr val="windowText" lastClr="000000"/>
              </a:solidFill>
              <a:latin typeface="+mn-lt"/>
              <a:ea typeface="+mn-ea"/>
              <a:cs typeface="+mn-cs"/>
            </a:defRPr>
          </a:pPr>
          <a:endParaRPr lang="en-US"/>
        </a:p>
      </c:txPr>
    </c:title>
    <c:autoTitleDeleted val="0"/>
    <c:plotArea>
      <c:layout>
        <c:manualLayout>
          <c:layoutTarget val="inner"/>
          <c:xMode val="edge"/>
          <c:yMode val="edge"/>
          <c:x val="0.24201544053601726"/>
          <c:y val="0.21054931230848406"/>
          <c:w val="0.59535948857066312"/>
          <c:h val="0.64409953815536147"/>
        </c:manualLayout>
      </c:layout>
      <c:barChart>
        <c:barDir val="bar"/>
        <c:grouping val="stacked"/>
        <c:varyColors val="0"/>
        <c:ser>
          <c:idx val="4"/>
          <c:order val="0"/>
          <c:tx>
            <c:strRef>
              <c:f>Dashboard!$U$67</c:f>
              <c:strCache>
                <c:ptCount val="1"/>
                <c:pt idx="0">
                  <c:v>High-End</c:v>
                </c:pt>
              </c:strCache>
            </c:strRef>
          </c:tx>
          <c:spPr>
            <a:solidFill>
              <a:schemeClr val="accent5"/>
            </a:solidFill>
            <a:ln>
              <a:noFill/>
            </a:ln>
            <a:effectLst/>
          </c:spPr>
          <c:invertIfNegative val="0"/>
          <c:val>
            <c:numRef>
              <c:f>Dashboard!$U$68:$U$71</c:f>
              <c:numCache>
                <c:formatCode>0.00E+00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Dashboard!$T$68:$T$71</c15:sqref>
                        </c15:formulaRef>
                      </c:ext>
                    </c:extLst>
                    <c:strCache>
                      <c:ptCount val="4"/>
                      <c:pt idx="0">
                        <c:v>Baseline Worker</c:v>
                      </c:pt>
                      <c:pt idx="1">
                        <c:v>Respirator-Only Scenario: APF of 10</c:v>
                      </c:pt>
                      <c:pt idx="2">
                        <c:v>Gloved-only Scenario: APF of 20</c:v>
                      </c:pt>
                      <c:pt idx="3">
                        <c:v>Respirator and Glove Scenario</c:v>
                      </c:pt>
                    </c:strCache>
                  </c:strRef>
                </c15:cat>
              </c15:filteredCategoryTitle>
            </c:ext>
            <c:ext xmlns:c16="http://schemas.microsoft.com/office/drawing/2014/chart" uri="{C3380CC4-5D6E-409C-BE32-E72D297353CC}">
              <c16:uniqueId val="{00000000-3B55-4CB3-BDAB-2D02D0235C9D}"/>
            </c:ext>
          </c:extLst>
        </c:ser>
        <c:ser>
          <c:idx val="0"/>
          <c:order val="1"/>
          <c:tx>
            <c:strRef>
              <c:f>Dashboard!$V$67</c:f>
              <c:strCache>
                <c:ptCount val="1"/>
                <c:pt idx="0">
                  <c:v>Central Tendency</c:v>
                </c:pt>
              </c:strCache>
            </c:strRef>
          </c:tx>
          <c:spPr>
            <a:solidFill>
              <a:schemeClr val="accent1"/>
            </a:solidFill>
            <a:ln>
              <a:noFill/>
            </a:ln>
            <a:effectLst/>
          </c:spPr>
          <c:invertIfNegative val="0"/>
          <c:val>
            <c:numRef>
              <c:f>Dashboard!$V$68:$V$71</c:f>
              <c:numCache>
                <c:formatCode>0.00E+00</c:formatCode>
                <c:ptCount val="4"/>
                <c:pt idx="0">
                  <c:v>0</c:v>
                </c:pt>
                <c:pt idx="1">
                  <c:v>0</c:v>
                </c:pt>
                <c:pt idx="2">
                  <c:v>0</c:v>
                </c:pt>
                <c:pt idx="3">
                  <c:v>0</c:v>
                </c:pt>
              </c:numCache>
            </c:numRef>
          </c:val>
          <c:extLst>
            <c:ext xmlns:c15="http://schemas.microsoft.com/office/drawing/2012/chart" uri="{02D57815-91ED-43cb-92C2-25804820EDAC}">
              <c15:filteredCategoryTitle>
                <c15:cat>
                  <c:strRef>
                    <c:extLst>
                      <c:ext uri="{02D57815-91ED-43cb-92C2-25804820EDAC}">
                        <c15:formulaRef>
                          <c15:sqref>Dashboard!$T$68:$T$71</c15:sqref>
                        </c15:formulaRef>
                      </c:ext>
                    </c:extLst>
                    <c:strCache>
                      <c:ptCount val="4"/>
                      <c:pt idx="0">
                        <c:v>Baseline Worker</c:v>
                      </c:pt>
                      <c:pt idx="1">
                        <c:v>Respirator-Only Scenario: APF of 10</c:v>
                      </c:pt>
                      <c:pt idx="2">
                        <c:v>Gloved-only Scenario: APF of 20</c:v>
                      </c:pt>
                      <c:pt idx="3">
                        <c:v>Respirator and Glove Scenario</c:v>
                      </c:pt>
                    </c:strCache>
                  </c:strRef>
                </c15:cat>
              </c15:filteredCategoryTitle>
            </c:ext>
            <c:ext xmlns:c16="http://schemas.microsoft.com/office/drawing/2014/chart" uri="{C3380CC4-5D6E-409C-BE32-E72D297353CC}">
              <c16:uniqueId val="{00000003-3B55-4CB3-BDAB-2D02D0235C9D}"/>
            </c:ext>
          </c:extLst>
        </c:ser>
        <c:dLbls>
          <c:showLegendKey val="0"/>
          <c:showVal val="0"/>
          <c:showCatName val="0"/>
          <c:showSerName val="0"/>
          <c:showPercent val="0"/>
          <c:showBubbleSize val="0"/>
        </c:dLbls>
        <c:gapWidth val="150"/>
        <c:overlap val="100"/>
        <c:axId val="580062808"/>
        <c:axId val="580066744"/>
      </c:barChart>
      <c:scatterChart>
        <c:scatterStyle val="lineMarker"/>
        <c:varyColors val="0"/>
        <c:ser>
          <c:idx val="1"/>
          <c:order val="2"/>
          <c:tx>
            <c:v>1.00E-06</c:v>
          </c:tx>
          <c:spPr>
            <a:ln w="28575" cap="rnd">
              <a:solidFill>
                <a:srgbClr val="FF0000"/>
              </a:solidFill>
              <a:round/>
            </a:ln>
            <a:effectLst/>
          </c:spPr>
          <c:marker>
            <c:symbol val="none"/>
          </c:marker>
          <c:xVal>
            <c:numLit>
              <c:formatCode>General</c:formatCode>
              <c:ptCount val="6"/>
              <c:pt idx="0">
                <c:v>9.9999999999999995E-7</c:v>
              </c:pt>
              <c:pt idx="1">
                <c:v>9.9999999999999995E-7</c:v>
              </c:pt>
              <c:pt idx="2">
                <c:v>9.9999999999999995E-7</c:v>
              </c:pt>
              <c:pt idx="3">
                <c:v>9.9999999999999995E-7</c:v>
              </c:pt>
              <c:pt idx="4">
                <c:v>9.9999999999999995E-7</c:v>
              </c:pt>
              <c:pt idx="5">
                <c:v>9.9999999999999995E-7</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4-3B55-4CB3-BDAB-2D02D0235C9D}"/>
            </c:ext>
          </c:extLst>
        </c:ser>
        <c:ser>
          <c:idx val="2"/>
          <c:order val="3"/>
          <c:tx>
            <c:v>1.00E-05</c:v>
          </c:tx>
          <c:spPr>
            <a:ln w="28575" cap="rnd">
              <a:solidFill>
                <a:srgbClr val="FF0000"/>
              </a:solidFill>
              <a:round/>
            </a:ln>
            <a:effectLst/>
          </c:spPr>
          <c:marker>
            <c:symbol val="none"/>
          </c:marker>
          <c:xVal>
            <c:numLit>
              <c:formatCode>General</c:formatCode>
              <c:ptCount val="6"/>
              <c:pt idx="0">
                <c:v>1.0000000000000001E-5</c:v>
              </c:pt>
              <c:pt idx="1">
                <c:v>1.0000000000000001E-5</c:v>
              </c:pt>
              <c:pt idx="2">
                <c:v>1.0000000000000001E-5</c:v>
              </c:pt>
              <c:pt idx="3">
                <c:v>1.0000000000000001E-5</c:v>
              </c:pt>
              <c:pt idx="4">
                <c:v>1.0000000000000001E-5</c:v>
              </c:pt>
              <c:pt idx="5">
                <c:v>1.0000000000000001E-5</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5-3B55-4CB3-BDAB-2D02D0235C9D}"/>
            </c:ext>
          </c:extLst>
        </c:ser>
        <c:ser>
          <c:idx val="3"/>
          <c:order val="4"/>
          <c:tx>
            <c:v>1.00E-04</c:v>
          </c:tx>
          <c:spPr>
            <a:ln w="28575" cap="rnd">
              <a:solidFill>
                <a:srgbClr val="FF0000"/>
              </a:solidFill>
              <a:round/>
            </a:ln>
            <a:effectLst/>
          </c:spPr>
          <c:marker>
            <c:symbol val="none"/>
          </c:marker>
          <c:xVal>
            <c:numLit>
              <c:formatCode>General</c:formatCode>
              <c:ptCount val="6"/>
              <c:pt idx="0">
                <c:v>1E-4</c:v>
              </c:pt>
              <c:pt idx="1">
                <c:v>1E-4</c:v>
              </c:pt>
              <c:pt idx="2">
                <c:v>1E-4</c:v>
              </c:pt>
              <c:pt idx="3">
                <c:v>1E-4</c:v>
              </c:pt>
              <c:pt idx="4">
                <c:v>1E-4</c:v>
              </c:pt>
              <c:pt idx="5">
                <c:v>1E-4</c:v>
              </c:pt>
            </c:numLit>
          </c:xVal>
          <c:yVal>
            <c:numLit>
              <c:formatCode>General</c:formatCode>
              <c:ptCount val="6"/>
              <c:pt idx="0">
                <c:v>7</c:v>
              </c:pt>
              <c:pt idx="1">
                <c:v>5</c:v>
              </c:pt>
              <c:pt idx="2">
                <c:v>4</c:v>
              </c:pt>
              <c:pt idx="3">
                <c:v>3</c:v>
              </c:pt>
              <c:pt idx="4">
                <c:v>2</c:v>
              </c:pt>
              <c:pt idx="5">
                <c:v>0</c:v>
              </c:pt>
            </c:numLit>
          </c:yVal>
          <c:smooth val="0"/>
          <c:extLst>
            <c:ext xmlns:c16="http://schemas.microsoft.com/office/drawing/2014/chart" uri="{C3380CC4-5D6E-409C-BE32-E72D297353CC}">
              <c16:uniqueId val="{00000006-3B55-4CB3-BDAB-2D02D0235C9D}"/>
            </c:ext>
          </c:extLst>
        </c:ser>
        <c:dLbls>
          <c:showLegendKey val="0"/>
          <c:showVal val="0"/>
          <c:showCatName val="0"/>
          <c:showSerName val="0"/>
          <c:showPercent val="0"/>
          <c:showBubbleSize val="0"/>
        </c:dLbls>
        <c:axId val="599810312"/>
        <c:axId val="599814248"/>
      </c:scatterChart>
      <c:catAx>
        <c:axId val="580062808"/>
        <c:scaling>
          <c:orientation val="minMax"/>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6744"/>
        <c:crosses val="autoZero"/>
        <c:auto val="0"/>
        <c:lblAlgn val="ctr"/>
        <c:lblOffset val="100"/>
        <c:noMultiLvlLbl val="0"/>
      </c:catAx>
      <c:valAx>
        <c:axId val="580066744"/>
        <c:scaling>
          <c:logBase val="10"/>
          <c:orientation val="minMax"/>
          <c:min val="1.0000000000000005E-7"/>
        </c:scaling>
        <c:delete val="0"/>
        <c:axPos val="b"/>
        <c:majorGridlines>
          <c:spPr>
            <a:ln w="9525" cap="flat" cmpd="sng" algn="ctr">
              <a:solidFill>
                <a:schemeClr val="tx1">
                  <a:lumMod val="15000"/>
                  <a:lumOff val="85000"/>
                </a:schemeClr>
              </a:solidFill>
              <a:round/>
            </a:ln>
            <a:effectLst/>
          </c:spPr>
        </c:majorGridlines>
        <c:title>
          <c:tx>
            <c:rich>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r>
                  <a:rPr lang="en-US" sz="1000">
                    <a:solidFill>
                      <a:sysClr val="windowText" lastClr="000000"/>
                    </a:solidFill>
                  </a:rPr>
                  <a:t>Excess Cancer Risk</a:t>
                </a:r>
              </a:p>
            </c:rich>
          </c:tx>
          <c:layout>
            <c:manualLayout>
              <c:xMode val="edge"/>
              <c:yMode val="edge"/>
              <c:x val="0.36584643797039879"/>
              <c:y val="0.91033093796437237"/>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title>
        <c:numFmt formatCode="0.E+0" sourceLinked="0"/>
        <c:majorTickMark val="none"/>
        <c:minorTickMark val="none"/>
        <c:tickLblPos val="high"/>
        <c:spPr>
          <a:noFill/>
          <a:ln>
            <a:noFill/>
          </a:ln>
          <a:effectLst/>
        </c:spPr>
        <c:txPr>
          <a:bodyPr rot="-6000000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crossAx val="580062808"/>
        <c:crosses val="autoZero"/>
        <c:crossBetween val="between"/>
      </c:valAx>
      <c:valAx>
        <c:axId val="599814248"/>
        <c:scaling>
          <c:orientation val="minMax"/>
          <c:max val="7"/>
        </c:scaling>
        <c:delete val="0"/>
        <c:axPos val="l"/>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0312"/>
        <c:crosses val="autoZero"/>
        <c:crossBetween val="midCat"/>
      </c:valAx>
      <c:valAx>
        <c:axId val="599810312"/>
        <c:scaling>
          <c:logBase val="10"/>
          <c:orientation val="minMax"/>
          <c:max val="1"/>
          <c:min val="1.0000000000000005E-7"/>
        </c:scaling>
        <c:delete val="0"/>
        <c:axPos val="t"/>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599814248"/>
        <c:crosses val="max"/>
        <c:crossBetween val="midCat"/>
      </c:valAx>
      <c:spPr>
        <a:noFill/>
        <a:ln>
          <a:solidFill>
            <a:schemeClr val="tx1"/>
          </a:solidFill>
        </a:ln>
        <a:effectLst/>
      </c:spPr>
    </c:plotArea>
    <c:legend>
      <c:legendPos val="r"/>
      <c:legendEntry>
        <c:idx val="2"/>
        <c:delete val="1"/>
      </c:legendEntry>
      <c:legendEntry>
        <c:idx val="3"/>
        <c:delete val="1"/>
      </c:legendEntry>
      <c:legendEntry>
        <c:idx val="4"/>
        <c:delete val="1"/>
      </c:legendEntry>
      <c:layout>
        <c:manualLayout>
          <c:xMode val="edge"/>
          <c:yMode val="edge"/>
          <c:x val="0.84666892501423174"/>
          <c:y val="0.46328339630668497"/>
          <c:w val="0.14389088631019784"/>
          <c:h val="0.12234015704880916"/>
        </c:manualLayout>
      </c:layout>
      <c:overlay val="0"/>
      <c:spPr>
        <a:noFill/>
        <a:ln>
          <a:noFill/>
        </a:ln>
        <a:effectLst/>
      </c:spPr>
      <c:txPr>
        <a:bodyPr rot="0" spcFirstLastPara="1" vertOverflow="ellipsis" vert="horz" wrap="square" anchor="ctr" anchorCtr="1"/>
        <a:lstStyle/>
        <a:p>
          <a:pPr>
            <a:defRPr sz="1000" b="0" i="0" u="none" strike="noStrike" kern="1200" baseline="0">
              <a:solidFill>
                <a:sysClr val="windowText" lastClr="000000"/>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editAs="oneCell">
    <xdr:from>
      <xdr:col>1</xdr:col>
      <xdr:colOff>390525</xdr:colOff>
      <xdr:row>7</xdr:row>
      <xdr:rowOff>69850</xdr:rowOff>
    </xdr:from>
    <xdr:to>
      <xdr:col>4</xdr:col>
      <xdr:colOff>777875</xdr:colOff>
      <xdr:row>7</xdr:row>
      <xdr:rowOff>2730500</xdr:rowOff>
    </xdr:to>
    <xdr:pic>
      <xdr:nvPicPr>
        <xdr:cNvPr id="3" name="Picture 2" descr="C:\Users\BMasten\AppData\Local\Microsoft\Windows\INetCache\Content.MSO\738A09A3.tmp">
          <a:extLst>
            <a:ext uri="{FF2B5EF4-FFF2-40B4-BE49-F238E27FC236}">
              <a16:creationId xmlns:a16="http://schemas.microsoft.com/office/drawing/2014/main" id="{BCD2BC90-E99E-48FB-9EFD-EC3437198F44}"/>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85875" y="2451100"/>
          <a:ext cx="2635250" cy="26606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947207</xdr:colOff>
      <xdr:row>79</xdr:row>
      <xdr:rowOff>52916</xdr:rowOff>
    </xdr:from>
    <xdr:to>
      <xdr:col>8</xdr:col>
      <xdr:colOff>912812</xdr:colOff>
      <xdr:row>109</xdr:row>
      <xdr:rowOff>88305</xdr:rowOff>
    </xdr:to>
    <xdr:graphicFrame macro="">
      <xdr:nvGraphicFramePr>
        <xdr:cNvPr id="2" name="Chart 1">
          <a:extLst>
            <a:ext uri="{FF2B5EF4-FFF2-40B4-BE49-F238E27FC236}">
              <a16:creationId xmlns:a16="http://schemas.microsoft.com/office/drawing/2014/main" id="{336E37D1-9157-4832-8D78-BBF54087BB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624417</xdr:colOff>
      <xdr:row>35</xdr:row>
      <xdr:rowOff>74083</xdr:rowOff>
    </xdr:from>
    <xdr:to>
      <xdr:col>15</xdr:col>
      <xdr:colOff>547688</xdr:colOff>
      <xdr:row>64</xdr:row>
      <xdr:rowOff>77522</xdr:rowOff>
    </xdr:to>
    <xdr:graphicFrame macro="">
      <xdr:nvGraphicFramePr>
        <xdr:cNvPr id="3" name="Chart 2">
          <a:extLst>
            <a:ext uri="{FF2B5EF4-FFF2-40B4-BE49-F238E27FC236}">
              <a16:creationId xmlns:a16="http://schemas.microsoft.com/office/drawing/2014/main" id="{24BED884-0E58-47CA-9D22-2C97DD19BF23}"/>
            </a:ext>
            <a:ext uri="{147F2762-F138-4A5C-976F-8EAC2B608ADB}">
              <a16:predDERef xmlns:a16="http://schemas.microsoft.com/office/drawing/2014/main" pred="{336E37D1-9157-4832-8D78-BBF54087BBE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18</xdr:col>
      <xdr:colOff>338667</xdr:colOff>
      <xdr:row>36</xdr:row>
      <xdr:rowOff>42334</xdr:rowOff>
    </xdr:from>
    <xdr:to>
      <xdr:col>23</xdr:col>
      <xdr:colOff>304272</xdr:colOff>
      <xdr:row>65</xdr:row>
      <xdr:rowOff>45773</xdr:rowOff>
    </xdr:to>
    <xdr:graphicFrame macro="">
      <xdr:nvGraphicFramePr>
        <xdr:cNvPr id="4" name="Chart 3">
          <a:extLst>
            <a:ext uri="{FF2B5EF4-FFF2-40B4-BE49-F238E27FC236}">
              <a16:creationId xmlns:a16="http://schemas.microsoft.com/office/drawing/2014/main" id="{C55DC01D-AACD-4CAE-9642-850E08A3693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981075</xdr:colOff>
      <xdr:row>1</xdr:row>
      <xdr:rowOff>19049</xdr:rowOff>
    </xdr:from>
    <xdr:to>
      <xdr:col>11</xdr:col>
      <xdr:colOff>400050</xdr:colOff>
      <xdr:row>3</xdr:row>
      <xdr:rowOff>245268</xdr:rowOff>
    </xdr:to>
    <xdr:sp macro="" textlink="">
      <xdr:nvSpPr>
        <xdr:cNvPr id="4" name="TextBox 3">
          <a:extLst>
            <a:ext uri="{FF2B5EF4-FFF2-40B4-BE49-F238E27FC236}">
              <a16:creationId xmlns:a16="http://schemas.microsoft.com/office/drawing/2014/main" id="{2C23DA81-FB55-437E-9302-C2E02213CA4A}"/>
            </a:ext>
          </a:extLst>
        </xdr:cNvPr>
        <xdr:cNvSpPr txBox="1"/>
      </xdr:nvSpPr>
      <xdr:spPr>
        <a:xfrm>
          <a:off x="5267325" y="190499"/>
          <a:ext cx="4152900" cy="1235869"/>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Cancer Risk &gt; Benchmark Cancer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Cancer Risk ≤ Benchmark Cancer Risk Level</a:t>
          </a:r>
          <a:endParaRPr lang="en-US" sz="1000" i="1">
            <a:solidFill>
              <a:schemeClr val="dk1"/>
            </a:solidFill>
            <a:latin typeface="+mn-lt"/>
            <a:ea typeface="+mn-ea"/>
            <a:cs typeface="+mn-cs"/>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104775</xdr:colOff>
      <xdr:row>7</xdr:row>
      <xdr:rowOff>171449</xdr:rowOff>
    </xdr:from>
    <xdr:to>
      <xdr:col>4</xdr:col>
      <xdr:colOff>676275</xdr:colOff>
      <xdr:row>11</xdr:row>
      <xdr:rowOff>38100</xdr:rowOff>
    </xdr:to>
    <xdr:sp macro="" textlink="">
      <xdr:nvSpPr>
        <xdr:cNvPr id="3" name="TextBox 2">
          <a:extLst>
            <a:ext uri="{FF2B5EF4-FFF2-40B4-BE49-F238E27FC236}">
              <a16:creationId xmlns:a16="http://schemas.microsoft.com/office/drawing/2014/main" id="{00C24D45-490A-452B-9CC3-B52F76EE2535}"/>
            </a:ext>
          </a:extLst>
        </xdr:cNvPr>
        <xdr:cNvSpPr txBox="1"/>
      </xdr:nvSpPr>
      <xdr:spPr>
        <a:xfrm>
          <a:off x="247650" y="2438399"/>
          <a:ext cx="3552825" cy="1066801"/>
        </a:xfrm>
        <a:prstGeom prst="rect">
          <a:avLst/>
        </a:prstGeom>
        <a:solidFill>
          <a:schemeClr val="lt1"/>
        </a:solidFill>
        <a:ln w="12700"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lang="en-US" sz="1000" b="1"/>
            <a:t>Key</a:t>
          </a:r>
          <a:endParaRPr lang="en-US" sz="1000"/>
        </a:p>
        <a:p>
          <a:r>
            <a:rPr lang="en-US" sz="1000"/>
            <a:t>             =  </a:t>
          </a:r>
          <a:r>
            <a:rPr lang="en-US" sz="1000">
              <a:solidFill>
                <a:srgbClr val="FF0000"/>
              </a:solidFill>
            </a:rPr>
            <a:t>Risk</a:t>
          </a:r>
          <a:r>
            <a:rPr lang="en-US" sz="1000"/>
            <a:t>.  </a:t>
          </a:r>
          <a:r>
            <a:rPr lang="en-US" sz="1000" baseline="0"/>
            <a:t>       </a:t>
          </a:r>
          <a:r>
            <a:rPr lang="en-US" sz="1000" i="1"/>
            <a:t>MOE</a:t>
          </a:r>
          <a:r>
            <a:rPr lang="en-US" sz="1000" i="1" baseline="-25000"/>
            <a:t>acute or chronic</a:t>
          </a:r>
          <a:r>
            <a:rPr lang="en-US" sz="1000" i="1" baseline="0"/>
            <a:t> &lt; MOE</a:t>
          </a:r>
          <a:r>
            <a:rPr lang="en-US" sz="1000" i="1" baseline="-25000"/>
            <a:t>benchmark</a:t>
          </a:r>
          <a:endParaRPr lang="en-US" sz="1000" i="0" baseline="0"/>
        </a:p>
        <a:p>
          <a:r>
            <a:rPr lang="en-US" sz="1000" i="0" baseline="0"/>
            <a:t>                                  </a:t>
          </a:r>
          <a:r>
            <a:rPr lang="en-US" sz="1000" i="1" baseline="0"/>
            <a:t>Cancer Risk &gt; Benchmark Cancer Risk Level</a:t>
          </a:r>
        </a:p>
        <a:p>
          <a:endParaRPr lang="en-US" sz="1000" i="1" baseline="0"/>
        </a:p>
        <a:p>
          <a:pPr marL="0" marR="0" indent="0" defTabSz="914400" eaLnBrk="1" fontAlgn="auto" latinLnBrk="0" hangingPunct="1">
            <a:lnSpc>
              <a:spcPct val="100000"/>
            </a:lnSpc>
            <a:spcBef>
              <a:spcPts val="0"/>
            </a:spcBef>
            <a:spcAft>
              <a:spcPts val="0"/>
            </a:spcAft>
            <a:buClrTx/>
            <a:buSzTx/>
            <a:buFontTx/>
            <a:buNone/>
            <a:tabLst/>
            <a:defRPr/>
          </a:pPr>
          <a:r>
            <a:rPr lang="en-US" sz="1000">
              <a:solidFill>
                <a:schemeClr val="dk1"/>
              </a:solidFill>
              <a:latin typeface="+mn-lt"/>
              <a:ea typeface="+mn-ea"/>
              <a:cs typeface="+mn-cs"/>
            </a:rPr>
            <a:t>             =  </a:t>
          </a:r>
          <a:r>
            <a:rPr lang="en-US" sz="1000">
              <a:solidFill>
                <a:srgbClr val="339933"/>
              </a:solidFill>
              <a:latin typeface="+mn-lt"/>
              <a:ea typeface="+mn-ea"/>
              <a:cs typeface="+mn-cs"/>
            </a:rPr>
            <a:t>No Risk</a:t>
          </a:r>
          <a:r>
            <a:rPr lang="en-US" sz="1000">
              <a:solidFill>
                <a:schemeClr val="dk1"/>
              </a:solidFill>
              <a:latin typeface="+mn-lt"/>
              <a:ea typeface="+mn-ea"/>
              <a:cs typeface="+mn-cs"/>
            </a:rPr>
            <a:t>.   </a:t>
          </a:r>
          <a:r>
            <a:rPr lang="en-US" sz="1000" i="1">
              <a:solidFill>
                <a:schemeClr val="dk1"/>
              </a:solidFill>
              <a:latin typeface="+mn-lt"/>
              <a:ea typeface="+mn-ea"/>
              <a:cs typeface="+mn-cs"/>
            </a:rPr>
            <a:t>MOE</a:t>
          </a:r>
          <a:r>
            <a:rPr lang="en-US" sz="1000" i="1" baseline="-25000">
              <a:solidFill>
                <a:schemeClr val="dk1"/>
              </a:solidFill>
              <a:latin typeface="+mn-lt"/>
              <a:ea typeface="+mn-ea"/>
              <a:cs typeface="+mn-cs"/>
            </a:rPr>
            <a:t>acute or chronic</a:t>
          </a:r>
          <a:r>
            <a:rPr lang="en-US" sz="1000" i="1" baseline="0">
              <a:solidFill>
                <a:schemeClr val="dk1"/>
              </a:solidFill>
              <a:latin typeface="+mn-lt"/>
              <a:ea typeface="+mn-ea"/>
              <a:cs typeface="+mn-cs"/>
            </a:rPr>
            <a:t> ≥ MOE</a:t>
          </a:r>
          <a:r>
            <a:rPr lang="en-US" sz="1000" i="1" baseline="-25000">
              <a:solidFill>
                <a:schemeClr val="dk1"/>
              </a:solidFill>
              <a:latin typeface="+mn-lt"/>
              <a:ea typeface="+mn-ea"/>
              <a:cs typeface="+mn-cs"/>
            </a:rPr>
            <a:t>benchmark</a:t>
          </a:r>
          <a:endParaRPr lang="en-US" sz="1000" i="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US" sz="1000" i="0" baseline="0">
              <a:solidFill>
                <a:schemeClr val="dk1"/>
              </a:solidFill>
              <a:latin typeface="+mn-lt"/>
              <a:ea typeface="+mn-ea"/>
              <a:cs typeface="+mn-cs"/>
            </a:rPr>
            <a:t>                                  </a:t>
          </a:r>
          <a:r>
            <a:rPr lang="en-US" sz="1000" i="1" baseline="0">
              <a:solidFill>
                <a:schemeClr val="dk1"/>
              </a:solidFill>
              <a:latin typeface="+mn-lt"/>
              <a:ea typeface="+mn-ea"/>
              <a:cs typeface="+mn-cs"/>
            </a:rPr>
            <a:t>Cancer Risk ≤ Benchmark Cancer Risk Level</a:t>
          </a:r>
          <a:endParaRPr lang="en-US" sz="1000" i="1">
            <a:solidFill>
              <a:schemeClr val="dk1"/>
            </a:solidFill>
            <a:latin typeface="+mn-lt"/>
            <a:ea typeface="+mn-ea"/>
            <a:cs typeface="+mn-cs"/>
          </a:endParaRP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D8401935-84AF-4270-8FB1-5E2E43DBF2D4}" name="Inhalation_Exp" displayName="Inhalation_Exp" ref="A4:AA67" totalsRowShown="0" headerRowDxfId="646" dataDxfId="645">
  <autoFilter ref="A4:AA67" xr:uid="{D8401935-84AF-4270-8FB1-5E2E43DBF2D4}"/>
  <tableColumns count="27">
    <tableColumn id="1" xr3:uid="{8B9E498B-E535-487D-BD43-3A1DC38F8269}" name="Column1" dataDxfId="644" totalsRowDxfId="643"/>
    <tableColumn id="2" xr3:uid="{031D3ED0-7732-4916-93A6-570184F31658}" name="OES Group" dataDxfId="642" totalsRowDxfId="641"/>
    <tableColumn id="3" xr3:uid="{C54AC08B-2171-4932-9675-344FCE6A4CAE}" name="OES" dataDxfId="640" totalsRowDxfId="639"/>
    <tableColumn id="4" xr3:uid="{F737B7D7-234B-4298-9FE4-C56434A78344}" name="Worker Type" dataDxfId="638" totalsRowDxfId="637"/>
    <tableColumn id="5" xr3:uid="{89394E55-C669-41DA-8B58-BEB3216B6932}" name="Vapor Exposure Scenario" dataDxfId="636" totalsRowDxfId="635"/>
    <tableColumn id="6" xr3:uid="{CDFD586A-A503-40F6-B1F2-119C056FF477}" name="ED_High-End" dataDxfId="634" totalsRowDxfId="633"/>
    <tableColumn id="7" xr3:uid="{1E4E25BD-BB7A-4F49-9926-3FF8EB0F649B}" name="ED_Central Tendency" dataDxfId="632" totalsRowDxfId="631"/>
    <tableColumn id="8" xr3:uid="{1F235D25-0699-476A-999A-BAE54EB68501}" name="Vapor HE" dataDxfId="630" totalsRowDxfId="629"/>
    <tableColumn id="9" xr3:uid="{7CE221CF-6ABC-4C39-BB1F-EE22EB921A7E}" name="Vapor CT" dataDxfId="628" totalsRowDxfId="627"/>
    <tableColumn id="16" xr3:uid="{3EC94010-FCA9-41B8-86A5-049AB602C368}" name="Mist HE" dataDxfId="626" totalsRowDxfId="625"/>
    <tableColumn id="17" xr3:uid="{323D941F-DB99-45D0-BDDC-DAE2D3A77919}" name="Mist CT" dataDxfId="624" totalsRowDxfId="623"/>
    <tableColumn id="10" xr3:uid="{2D1C3CBB-2959-4240-BE7F-3DA4DB464EB8}" name="Dust HE" dataDxfId="622" totalsRowDxfId="621"/>
    <tableColumn id="13" xr3:uid="{C2A7932E-E5D9-4C3B-AB4D-5760E8581B67}" name="Dust CT" dataDxfId="620" totalsRowDxfId="619"/>
    <tableColumn id="12" xr3:uid="{5D90BFF4-0370-499F-88BC-186619D3907B}" name="All Routes HE" dataDxfId="618" totalsRowDxfId="617"/>
    <tableColumn id="11" xr3:uid="{CF089516-A289-41C8-9217-FC8260BBAEC8}" name="All Routes CT" dataDxfId="616" totalsRowDxfId="615"/>
    <tableColumn id="14" xr3:uid="{D8D13849-0619-4A64-8E83-8771B61FFED2}" name="24hr_High-End" dataDxfId="614" totalsRowDxfId="613">
      <calculatedColumnFormula>(((N5)*ED_8)*WorkBreathRate)/IF(Inhalation_Exp[[#This Row],[Worker Type]]="Female of Reproductive Age",BW_F,BW_default)</calculatedColumnFormula>
    </tableColumn>
    <tableColumn id="15" xr3:uid="{59BA6381-8B7F-4F1F-A431-183C58C00B76}" name="24hr_Central Tendency" dataDxfId="612" totalsRowDxfId="611">
      <calculatedColumnFormula>(((O5)*ED_8)*WorkBreathRate)/IF(Inhalation_Exp[[#This Row],[Worker Type]]="Female of Reproductive Age",BW_F,BW_default)</calculatedColumnFormula>
    </tableColumn>
    <tableColumn id="18" xr3:uid="{34A66C89-4510-4FFE-8377-0BAD909E0C24}" name="Int_High-End" dataDxfId="610" totalsRowDxfId="609">
      <calculatedColumnFormula>IF(EFID&gt;Inhalation_Exp[[#This Row],[ED_High-End]],Inhalation_Exp[[#This Row],[24hr_High-End]]*Inhalation_Exp[[#This Row],[ED_High-End]]/ID,Inhalation_Exp[[#This Row],[24hr_High-End]]*EFID/ID)</calculatedColumnFormula>
    </tableColumn>
    <tableColumn id="19" xr3:uid="{72F83336-E929-4C33-964A-3EB6EB40A105}" name="Int_Central Tendency" dataDxfId="608" totalsRowDxfId="607">
      <calculatedColumnFormula>IF(EFID&gt;Inhalation_Exp[[#This Row],[ED_Central Tendency]],Inhalation_Exp[[#This Row],[24hr_Central Tendency]]*Inhalation_Exp[[#This Row],[ED_Central Tendency]]/ID,Inhalation_Exp[[#This Row],[24hr_Central Tendency]]*EFID/ID)</calculatedColumnFormula>
    </tableColumn>
    <tableColumn id="24" xr3:uid="{2EF85EA6-053F-499C-9BF0-0F5656E94B6D}" name="ADD_High-End" dataDxfId="606" totalsRowDxfId="605">
      <calculatedColumnFormula>P5*F5*WY_high/(WY_high*365)</calculatedColumnFormula>
    </tableColumn>
    <tableColumn id="25" xr3:uid="{36CF039B-AE1A-42DA-856B-8E000BED49A0}" name="ADD_Central Tendency" dataDxfId="604" totalsRowDxfId="603">
      <calculatedColumnFormula>Q5*G5*WY_mid/(WY_mid*365)</calculatedColumnFormula>
    </tableColumn>
    <tableColumn id="26" xr3:uid="{3A77D090-2E90-4046-AED4-F7BE62ECBB01}" name="LADD_High-End" dataDxfId="602" totalsRowDxfId="601">
      <calculatedColumnFormula>P5*F5*WY_high/(LT*365)</calculatedColumnFormula>
    </tableColumn>
    <tableColumn id="27" xr3:uid="{B2E4B413-F9F2-4C69-AD7F-9F9B83B1F9E1}" name="LADD_Central Tendency" dataDxfId="600" totalsRowDxfId="599">
      <calculatedColumnFormula>Q5*G5*WY_mid/(LT*365)</calculatedColumnFormula>
    </tableColumn>
    <tableColumn id="20" xr3:uid="{D66C692A-95A3-46A6-B519-23B552732334}" name="Eight-Hour TWA Data Points" dataDxfId="598" totalsRowDxfId="597"/>
    <tableColumn id="21" xr3:uid="{95F01858-982C-4E6C-B071-590CFEA5B034}" name="Total Data Points" dataDxfId="596" totalsRowDxfId="595"/>
    <tableColumn id="22" xr3:uid="{3D024B1C-C570-43E2-A1C7-77868DE73688}" name="Sources &amp; Notes" dataDxfId="594" totalsRowDxfId="593"/>
    <tableColumn id="23" xr3:uid="{14E1BB3A-BA6D-4CB5-8802-3B7332A0EEA5}" name="Data Type" dataDxfId="592" totalsRowDxfId="591"/>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E0F39C-8328-4698-9F18-12CEF82BB456}" name="Dermal_Exp" displayName="Dermal_Exp" ref="A3:R52" totalsRowShown="0" headerRowDxfId="590" dataDxfId="589" tableBorderDxfId="588">
  <autoFilter ref="A3:R52" xr:uid="{4DE0F39C-8328-4698-9F18-12CEF82BB456}"/>
  <tableColumns count="18">
    <tableColumn id="5" xr3:uid="{0201E299-ACE7-41CE-89FF-44176D0FE674}" name="sort" dataDxfId="587"/>
    <tableColumn id="2" xr3:uid="{01B060B3-40B7-4FDE-AA23-E13A2121A0C7}" name="OES" dataDxfId="586"/>
    <tableColumn id="11" xr3:uid="{2F31C538-873A-4287-9C89-B20290605EE9}" name="Worker Type" dataDxfId="585"/>
    <tableColumn id="10" xr3:uid="{116A4532-98BD-4EDF-B594-BE709576A9B6}" name="ED_High-End" dataDxfId="584"/>
    <tableColumn id="9" xr3:uid="{4B7F3F7C-93BF-4171-87B1-BBB8D1899EA6}" name="ED_Central Tendency" dataDxfId="583"/>
    <tableColumn id="12" xr3:uid="{C7648BE0-0833-4475-87EF-BC432104B35D}" name="High-End Exposure to Liquid" dataDxfId="582"/>
    <tableColumn id="13" xr3:uid="{A5995FE9-0A48-495E-BD77-893C549EACE2}" name=" Central Tendency Exposure to Liquids" dataDxfId="581"/>
    <tableColumn id="3" xr3:uid="{7C011295-03C7-4BDF-89A2-E6A13D93574B}" name="High-End Exposure to Solids" dataDxfId="580"/>
    <tableColumn id="4" xr3:uid="{E09F1D04-39E4-4DBB-B848-59F151856E71}" name="Central Tendency  Exposure to Solids" dataDxfId="579"/>
    <tableColumn id="6" xr3:uid="{45D16D1A-3B38-4BFA-A319-40AD303429C3}" name="High-End AD (mg/kg-day)" dataDxfId="578">
      <calculatedColumnFormula>IF(Dermal_Exp[[#This Row],[Worker Type]]&lt;&gt;"",(Dermal_Exp[[#This Row],[High-End Exposure to Liquid]]+Dermal_Exp[[#This Row],[High-End Exposure to Solids]]),"Not Assessed")</calculatedColumnFormula>
    </tableColumn>
    <tableColumn id="14" xr3:uid="{1B601C22-CB24-41BB-BD6C-305E4E626652}" name="Central Tendency AD (mg/kg-day)" dataDxfId="577">
      <calculatedColumnFormula>IF(Dermal_Exp[[#This Row],[Worker Type]]&lt;&gt;"",(Dermal_Exp[[#This Row],[ Central Tendency Exposure to Liquids]]+Dermal_Exp[[#This Row],[Central Tendency  Exposure to Solids]]),"Not Assessed")</calculatedColumnFormula>
    </tableColumn>
    <tableColumn id="1" xr3:uid="{14C869CE-3DCC-42FD-B791-771CF8BE7F4A}" name="High-End IADD (mg/kg-day)" dataDxfId="576">
      <calculatedColumnFormula>IFERROR(Dermal_Exp[[#This Row],[High-End AD (mg/kg-day)]]*IF(Dermal_Exp[[#This Row],[ED_High-End]]&gt;EFID,EFID,Dermal_Exp[[#This Row],[ED_High-End]])/ID,"Not Assessed")</calculatedColumnFormula>
    </tableColumn>
    <tableColumn id="17" xr3:uid="{9EFC90CB-A461-4ADE-A8B4-75F6D64EE2CD}" name="Central Tendency IADD (mg/kg-day)" dataDxfId="575">
      <calculatedColumnFormula>IFERROR(Dermal_Exp[[#This Row],[Central Tendency AD (mg/kg-day)]]*IF(Dermal_Exp[[#This Row],[ED_Central Tendency]]&gt;EFID,EFID,Dermal_Exp[[#This Row],[ED_Central Tendency]])/ID,"Not Assessed")</calculatedColumnFormula>
    </tableColumn>
    <tableColumn id="7" xr3:uid="{A473226B-926A-43B0-8063-C950222670D0}" name="High-End ADD (mg/kg-day)" dataDxfId="574">
      <calculatedColumnFormula>IFERROR(Dermal_Exp[[#This Row],[High-End AD (mg/kg-day)]]*Dermal_Exp[[#This Row],[ED_High-End]]*WY_high/(365*WY_high),"Not Assessed")</calculatedColumnFormula>
    </tableColumn>
    <tableColumn id="18" xr3:uid="{04D45394-DB7F-4B02-BB50-A4A68373A612}" name="Central Tendency ADD (mg/kg-day)" dataDxfId="573">
      <calculatedColumnFormula>IFERROR(Dermal_Exp[[#This Row],[Central Tendency AD (mg/kg-day)]]*Dermal_Exp[[#This Row],[ED_Central Tendency]]*WY_mid/(365*WY_mid),"Not Assessed")</calculatedColumnFormula>
    </tableColumn>
    <tableColumn id="8" xr3:uid="{20F74786-E9A7-4230-8932-3462A12F8F91}" name="High-End LADD (mg/kg-day)" dataDxfId="572">
      <calculatedColumnFormula>IFERROR(Dermal_Exp[[#This Row],[High-End AD (mg/kg-day)]]*Dermal_Exp[[#This Row],[ED_High-End]]*WY_high/(365*LT),"Not Assessed")</calculatedColumnFormula>
    </tableColumn>
    <tableColumn id="19" xr3:uid="{3C989027-0728-4C9E-9D69-7608287CC55C}" name="Central Tendency LADD (mg/kg-day)" dataDxfId="571">
      <calculatedColumnFormula>IFERROR(Dermal_Exp[[#This Row],[Central Tendency AD (mg/kg-day)]]*Dermal_Exp[[#This Row],[ED_Central Tendency]]*WY_mid/(365*LT),"Not Assessed")</calculatedColumnFormula>
    </tableColumn>
    <tableColumn id="15" xr3:uid="{0ADD7861-E409-4E28-B624-CAA290A6EB66}" name="Column1" dataDxfId="570">
      <calculatedColumnFormula>Dermal_Exp[[#This Row],[High-End AD (mg/kg-day)]]*80</calculatedColumnFormula>
    </tableColumn>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E33DC64D-8EB3-4501-870A-D2291E5D1931}" name="Tox_Table" displayName="Tox_Table" ref="B11:L16" totalsRowShown="0" headerRowDxfId="569" dataDxfId="567" headerRowBorderDxfId="568" tableBorderDxfId="566">
  <autoFilter ref="B11:L16" xr:uid="{E33DC64D-8EB3-4501-870A-D2291E5D1931}"/>
  <tableColumns count="11">
    <tableColumn id="1" xr3:uid="{EE67F4A7-6CA6-4037-85CB-90F21462F8D8}" name="Exposure Type" dataDxfId="565"/>
    <tableColumn id="3" xr3:uid="{8043AA1D-35D8-4428-A2DB-4CD78DBBEADD}" name="Health Effect" dataDxfId="564"/>
    <tableColumn id="4" xr3:uid="{3E18B802-0F43-4860-ACE8-BECBFB6A254B}" name="Endpoint" dataDxfId="563"/>
    <tableColumn id="5" xr3:uid="{3832D19D-7F09-45DE-8FF8-E748D2DF228E}" name="Study" dataDxfId="562"/>
    <tableColumn id="6" xr3:uid="{86FA5EF5-8257-4B7D-B67F-81533F26169D}" name="Code" dataDxfId="561"/>
    <tableColumn id="7" xr3:uid="{167C2AF7-F3D6-4569-BA48-0421171478DF}" name="HEC (mg/m3)" dataDxfId="560"/>
    <tableColumn id="8" xr3:uid="{CBBF44F9-78BA-4F5D-B479-0AE98FEBF3BF}" name="HEC (ppm)" dataDxfId="559"/>
    <tableColumn id="9" xr3:uid="{BEF18460-7978-4A17-89D2-4AE396E867BC}" name="HED / POD (mg/kg/day)" dataDxfId="558"/>
    <tableColumn id="10" xr3:uid="{9E0456CF-018C-45C3-867D-D19DEF864DBE}" name="Benchmark MOE" dataDxfId="557"/>
    <tableColumn id="11" xr3:uid="{8A108CB0-4931-41ED-BAFA-789F9D4AC56A}" name="IUR (ppm-1)" dataDxfId="556"/>
    <tableColumn id="12" xr3:uid="{6108CA2F-F7B0-4D12-AEB6-AE3B95A6A2DD}" name="CSF (mg/kg-day-1)" dataDxfId="555"/>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7559093-7373-429C-8127-29E318B09181}" name="AEGL_Table" displayName="AEGL_Table" ref="B5:K7" totalsRowShown="0" headerRowDxfId="554" dataDxfId="553" tableBorderDxfId="552">
  <autoFilter ref="B5:K7" xr:uid="{77559093-7373-429C-8127-29E318B09181}"/>
  <tableColumns count="10">
    <tableColumn id="1" xr3:uid="{E09A7697-B506-4F05-8E1E-79D8EA865ACB}" name="Column1" dataDxfId="551"/>
    <tableColumn id="3" xr3:uid="{C788C624-DA81-49B0-8B69-054D97CFFA8C}" name="Toxicity Endpoint" dataDxfId="550"/>
    <tableColumn id="4" xr3:uid="{F86D2B03-EBA9-4512-9A55-456C97028BF6}" name="Study" dataDxfId="549"/>
    <tableColumn id="5" xr3:uid="{A7D48F76-C8C6-471E-B609-F3652DCF0AFD}" name="Code" dataDxfId="548"/>
    <tableColumn id="6" xr3:uid="{2CD20B61-A298-438F-A315-51319315A567}" name="AEGL-1 HEC (mg/m3)" dataDxfId="547"/>
    <tableColumn id="7" xr3:uid="{A3BEF587-F8BD-49BC-9BAF-C3CEC1AC28A7}" name="AEGL-1 HEC (ppm)" dataDxfId="546"/>
    <tableColumn id="8" xr3:uid="{647F1209-AF4A-4FB1-90F2-7FFB5644970E}" name="AEGL-2 HEC (mg/m3)" dataDxfId="545"/>
    <tableColumn id="9" xr3:uid="{ED1AEC0B-DEA7-433A-BF7A-BC77E3385ED2}" name="AEGL-2 HEC (ppm)" dataDxfId="544"/>
    <tableColumn id="10" xr3:uid="{0C4B6FE2-A202-4184-A282-CFEFF98F5C3C}" name="AEGL-3 HEC (mg/m3)" dataDxfId="543"/>
    <tableColumn id="11" xr3:uid="{3AA98D77-89DB-4638-B474-ADB02DA19559}" name="AEGL-3 HEC (ppm)" dataDxfId="542"/>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4.xml"/><Relationship Id="rId2" Type="http://schemas.openxmlformats.org/officeDocument/2006/relationships/table" Target="../tables/table3.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5430CF-2664-4AA9-85F6-85D5C93086E5}">
  <dimension ref="A1:F10"/>
  <sheetViews>
    <sheetView zoomScaleNormal="100" workbookViewId="0"/>
  </sheetViews>
  <sheetFormatPr defaultColWidth="9.1796875" defaultRowHeight="25.5" customHeight="1" x14ac:dyDescent="0.3"/>
  <cols>
    <col min="1" max="1" width="13.453125" style="452" customWidth="1"/>
    <col min="2" max="2" width="11.453125" style="452" customWidth="1"/>
    <col min="3" max="3" width="10.81640625" style="452" customWidth="1"/>
    <col min="4" max="4" width="11.453125" style="452" customWidth="1"/>
    <col min="5" max="5" width="11.81640625" style="452" customWidth="1"/>
    <col min="6" max="16384" width="9.1796875" style="452"/>
  </cols>
  <sheetData>
    <row r="1" spans="1:6" ht="25.5" customHeight="1" x14ac:dyDescent="0.3">
      <c r="A1" s="675"/>
      <c r="C1" s="475"/>
      <c r="D1" s="475"/>
      <c r="E1" s="475"/>
    </row>
    <row r="3" spans="1:6" ht="25.5" customHeight="1" x14ac:dyDescent="0.3">
      <c r="B3" s="476" t="s">
        <v>0</v>
      </c>
      <c r="C3" s="476"/>
      <c r="D3" s="476"/>
      <c r="E3" s="476"/>
      <c r="F3" s="476"/>
    </row>
    <row r="4" spans="1:6" ht="25.5" customHeight="1" x14ac:dyDescent="0.3">
      <c r="B4" s="476"/>
      <c r="C4" s="476"/>
      <c r="D4" s="476"/>
      <c r="E4" s="476"/>
      <c r="F4" s="476"/>
    </row>
    <row r="5" spans="1:6" ht="25.5" customHeight="1" x14ac:dyDescent="0.3">
      <c r="B5" s="476" t="s">
        <v>1</v>
      </c>
      <c r="C5" s="476"/>
      <c r="D5" s="476"/>
      <c r="E5" s="476"/>
      <c r="F5" s="476"/>
    </row>
    <row r="6" spans="1:6" ht="25.5" customHeight="1" x14ac:dyDescent="0.3">
      <c r="B6" s="476"/>
      <c r="C6" s="476"/>
      <c r="D6" s="476"/>
      <c r="E6" s="476"/>
      <c r="F6" s="476"/>
    </row>
    <row r="7" spans="1:6" ht="25.5" customHeight="1" x14ac:dyDescent="0.3">
      <c r="B7" s="476"/>
      <c r="C7" s="476"/>
      <c r="D7" s="476"/>
      <c r="E7" s="476"/>
      <c r="F7" s="476"/>
    </row>
    <row r="8" spans="1:6" ht="216.75" customHeight="1" x14ac:dyDescent="0.3"/>
    <row r="9" spans="1:6" ht="25.5" customHeight="1" x14ac:dyDescent="0.3">
      <c r="B9" s="476" t="s">
        <v>2</v>
      </c>
      <c r="C9" s="476"/>
      <c r="D9" s="476"/>
      <c r="E9" s="476"/>
      <c r="F9" s="476"/>
    </row>
    <row r="10" spans="1:6" ht="25.5" customHeight="1" x14ac:dyDescent="0.35">
      <c r="B10" s="474" t="s">
        <v>3</v>
      </c>
      <c r="C10" s="474"/>
      <c r="D10" s="474"/>
      <c r="E10" s="474"/>
      <c r="F10" s="474"/>
    </row>
  </sheetData>
  <sheetProtection sheet="1" objects="1" scenarios="1" formatCells="0" formatColumns="0" formatRows="0"/>
  <mergeCells count="5">
    <mergeCell ref="B10:F10"/>
    <mergeCell ref="C1:E1"/>
    <mergeCell ref="B3:F4"/>
    <mergeCell ref="B5:F7"/>
    <mergeCell ref="B9:F9"/>
  </mergeCells>
  <pageMargins left="0.7" right="0.7" top="0.75" bottom="0.75" header="0.3" footer="0.3"/>
  <pageSetup paperSize="0" orientation="portrait" horizontalDpi="0" verticalDpi="0" copies="0"/>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6F35426-BDBC-475C-88AC-FB17AC9ACD28}">
  <sheetPr codeName="Sheet12">
    <tabColor rgb="FF92D050"/>
  </sheetPr>
  <dimension ref="A1:FF41"/>
  <sheetViews>
    <sheetView workbookViewId="0"/>
  </sheetViews>
  <sheetFormatPr defaultColWidth="8.81640625" defaultRowHeight="13" x14ac:dyDescent="0.35"/>
  <cols>
    <col min="1" max="1" width="4.54296875" style="12" customWidth="1"/>
    <col min="2" max="2" width="5.1796875" style="9" hidden="1" customWidth="1"/>
    <col min="3" max="3" width="23.1796875" style="12" customWidth="1"/>
    <col min="4" max="4" width="37.7265625" style="9" customWidth="1"/>
    <col min="5" max="5" width="18" style="12" bestFit="1" customWidth="1"/>
    <col min="6" max="6" width="10.453125" style="12" bestFit="1" customWidth="1"/>
    <col min="7" max="9" width="10.1796875" style="12" customWidth="1"/>
    <col min="10" max="10" width="2.81640625" style="12" customWidth="1"/>
    <col min="11" max="11" width="25.81640625" style="12" bestFit="1" customWidth="1"/>
    <col min="12" max="12" width="23.1796875" style="12" customWidth="1"/>
    <col min="13" max="13" width="11.1796875" style="12" customWidth="1"/>
    <col min="14" max="14" width="13.81640625" style="12" customWidth="1"/>
    <col min="15" max="16" width="11.7265625" style="12" customWidth="1"/>
    <col min="17" max="17" width="8.54296875" style="12" customWidth="1"/>
    <col min="18" max="18" width="2.54296875" style="12" customWidth="1"/>
    <col min="19" max="19" width="23.1796875" style="12" customWidth="1"/>
    <col min="20" max="20" width="23.54296875" style="12" customWidth="1"/>
    <col min="21" max="22" width="17.453125" style="12" customWidth="1"/>
    <col min="23" max="26" width="20.453125" style="12" customWidth="1"/>
    <col min="27" max="28" width="18.81640625" style="12" customWidth="1"/>
    <col min="29" max="29" width="28.453125" style="3" customWidth="1"/>
    <col min="30" max="30" width="26.81640625" style="3" customWidth="1"/>
    <col min="31" max="31" width="15.1796875" style="3" customWidth="1"/>
    <col min="32" max="32" width="17.81640625" style="3" customWidth="1"/>
    <col min="33" max="33" width="22.453125" style="3" customWidth="1"/>
    <col min="34" max="34" width="21.81640625" style="3" customWidth="1"/>
    <col min="35" max="35" width="17.453125" style="3" customWidth="1"/>
    <col min="36" max="36" width="14.54296875" style="12" customWidth="1"/>
    <col min="37" max="37" width="17.1796875" style="12" customWidth="1"/>
    <col min="38" max="38" width="16" style="12" customWidth="1"/>
    <col min="39" max="39" width="24.1796875" style="12" customWidth="1"/>
    <col min="40" max="40" width="15.54296875" style="12" customWidth="1"/>
    <col min="41" max="41" width="14.1796875" style="12" customWidth="1"/>
    <col min="42" max="43" width="8.81640625" style="12"/>
    <col min="44" max="44" width="18.453125" style="12" customWidth="1"/>
    <col min="45" max="45" width="15" style="12" customWidth="1"/>
    <col min="46" max="46" width="21.453125" style="12" customWidth="1"/>
    <col min="47" max="47" width="15.453125" style="12" customWidth="1"/>
    <col min="48" max="48" width="16.54296875" style="12" customWidth="1"/>
    <col min="49" max="50" width="8.81640625" style="12"/>
    <col min="51" max="51" width="17.81640625" style="12" customWidth="1"/>
    <col min="52" max="52" width="14.453125" style="12" customWidth="1"/>
    <col min="53" max="53" width="18.54296875" style="12" customWidth="1"/>
    <col min="54" max="54" width="13.54296875" style="12" customWidth="1"/>
    <col min="55" max="55" width="15.1796875" style="12" customWidth="1"/>
    <col min="56" max="57" width="8.81640625" style="12"/>
    <col min="58" max="58" width="16.1796875" style="12" customWidth="1"/>
    <col min="59" max="59" width="12" style="12" customWidth="1"/>
    <col min="60" max="60" width="18" style="12" customWidth="1"/>
    <col min="61" max="61" width="16.1796875" style="12" customWidth="1"/>
    <col min="62" max="62" width="14.1796875" style="12" customWidth="1"/>
    <col min="63" max="63" width="10.1796875" style="12" customWidth="1"/>
    <col min="64" max="16384" width="8.81640625" style="12"/>
  </cols>
  <sheetData>
    <row r="1" spans="1:162" ht="13.5" thickBot="1" x14ac:dyDescent="0.4">
      <c r="A1" s="680"/>
      <c r="J1" s="14"/>
      <c r="K1" s="14"/>
      <c r="AC1" s="12"/>
      <c r="AD1" s="12"/>
      <c r="AE1" s="12"/>
      <c r="AF1" s="12"/>
      <c r="AG1" s="12"/>
      <c r="AH1" s="12"/>
      <c r="AI1" s="12"/>
    </row>
    <row r="2" spans="1:162" s="14" customFormat="1" ht="27.5" thickBot="1" x14ac:dyDescent="0.35">
      <c r="B2" s="22"/>
      <c r="C2" s="92" t="s">
        <v>64</v>
      </c>
      <c r="D2" s="335" t="s">
        <v>281</v>
      </c>
      <c r="I2" s="110"/>
    </row>
    <row r="3" spans="1:162" s="14" customFormat="1" ht="26" x14ac:dyDescent="0.3">
      <c r="B3" s="22"/>
      <c r="C3" s="93" t="s">
        <v>68</v>
      </c>
      <c r="D3" s="336" t="s">
        <v>69</v>
      </c>
      <c r="I3" s="110"/>
    </row>
    <row r="4" spans="1:162" s="14" customFormat="1" ht="30.75" customHeight="1" x14ac:dyDescent="0.3">
      <c r="B4" s="22"/>
      <c r="C4" s="18" t="s">
        <v>215</v>
      </c>
      <c r="D4" s="337" t="str">
        <f>_xlfn.XLOOKUP($C$4,Inhalation_Exp[OES],Inhalation_Exp[Data Type])</f>
        <v>Modeled Data</v>
      </c>
      <c r="I4" s="110"/>
    </row>
    <row r="5" spans="1:162" s="14" customFormat="1" x14ac:dyDescent="0.35">
      <c r="B5" s="22"/>
      <c r="C5" s="29"/>
      <c r="D5" s="29"/>
      <c r="E5" s="29"/>
      <c r="I5" s="16"/>
      <c r="K5" s="29"/>
    </row>
    <row r="6" spans="1:162" ht="13.5" x14ac:dyDescent="0.35">
      <c r="A6" s="14"/>
      <c r="C6" s="15" t="s">
        <v>75</v>
      </c>
      <c r="D6" s="22"/>
      <c r="E6" s="22"/>
      <c r="F6" s="16"/>
      <c r="G6" s="16"/>
      <c r="H6" s="16"/>
      <c r="I6" s="16"/>
      <c r="K6" s="15" t="s">
        <v>67</v>
      </c>
      <c r="M6" s="14"/>
      <c r="N6" s="14"/>
      <c r="O6" s="16"/>
      <c r="P6" s="16"/>
      <c r="Q6" s="16"/>
      <c r="S6" s="15" t="s">
        <v>76</v>
      </c>
      <c r="T6" s="22"/>
      <c r="U6" s="16"/>
      <c r="V6" s="16"/>
      <c r="W6" s="16"/>
      <c r="X6" s="16"/>
      <c r="Y6" s="14"/>
      <c r="Z6" s="14"/>
      <c r="AA6" s="14"/>
      <c r="AB6" s="14"/>
      <c r="AC6" s="12"/>
      <c r="AD6" s="12"/>
      <c r="AE6" s="12"/>
      <c r="AF6" s="12"/>
      <c r="AG6" s="12"/>
      <c r="AH6" s="12"/>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row>
    <row r="7" spans="1:162" x14ac:dyDescent="0.35">
      <c r="A7" s="14"/>
      <c r="C7" s="17" t="s">
        <v>77</v>
      </c>
      <c r="E7" s="9"/>
      <c r="I7" s="101"/>
      <c r="K7" s="17" t="s">
        <v>77</v>
      </c>
      <c r="N7" s="10"/>
      <c r="O7" s="16"/>
      <c r="P7" s="16"/>
      <c r="Q7" s="16"/>
      <c r="S7" s="17" t="s">
        <v>77</v>
      </c>
      <c r="T7" s="9"/>
      <c r="V7" s="101"/>
      <c r="W7" s="101"/>
      <c r="X7" s="102"/>
      <c r="AC7" s="12"/>
      <c r="AD7" s="12"/>
      <c r="AE7" s="12"/>
      <c r="AF7" s="12"/>
      <c r="AG7" s="12"/>
      <c r="AH7" s="12"/>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row>
    <row r="8" spans="1:162" ht="25.5" customHeight="1" x14ac:dyDescent="0.35">
      <c r="A8" s="14"/>
      <c r="C8" s="520" t="s">
        <v>78</v>
      </c>
      <c r="D8" s="489" t="s">
        <v>79</v>
      </c>
      <c r="E8" s="489" t="s">
        <v>282</v>
      </c>
      <c r="F8" s="456" t="s">
        <v>80</v>
      </c>
      <c r="G8" s="456" t="s">
        <v>81</v>
      </c>
      <c r="H8" s="456" t="s">
        <v>82</v>
      </c>
      <c r="I8" s="19" t="s">
        <v>83</v>
      </c>
      <c r="J8" s="28"/>
      <c r="K8" s="520" t="s">
        <v>78</v>
      </c>
      <c r="L8" s="524" t="s">
        <v>79</v>
      </c>
      <c r="M8" s="456" t="s">
        <v>283</v>
      </c>
      <c r="N8" s="456" t="s">
        <v>80</v>
      </c>
      <c r="O8" s="456" t="s">
        <v>81</v>
      </c>
      <c r="P8" s="456" t="s">
        <v>82</v>
      </c>
      <c r="Q8" s="19" t="s">
        <v>83</v>
      </c>
      <c r="S8" s="520" t="s">
        <v>78</v>
      </c>
      <c r="T8" s="489" t="s">
        <v>79</v>
      </c>
      <c r="U8" s="456" t="s">
        <v>80</v>
      </c>
      <c r="V8" s="456" t="s">
        <v>84</v>
      </c>
      <c r="W8" s="456" t="s">
        <v>82</v>
      </c>
      <c r="X8" s="19" t="s">
        <v>83</v>
      </c>
      <c r="Y8" s="28"/>
      <c r="Z8" s="28"/>
      <c r="AA8" s="28"/>
      <c r="AB8" s="28"/>
      <c r="AC8" s="28"/>
      <c r="AD8" s="12"/>
      <c r="AE8" s="12"/>
      <c r="AF8" s="12"/>
      <c r="AG8" s="12"/>
      <c r="AH8" s="12"/>
      <c r="AI8" s="12"/>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row>
    <row r="9" spans="1:162" ht="27.75" customHeight="1" x14ac:dyDescent="0.35">
      <c r="A9" s="14"/>
      <c r="C9" s="521"/>
      <c r="D9" s="508"/>
      <c r="E9" s="504"/>
      <c r="F9" s="457" t="s">
        <v>85</v>
      </c>
      <c r="G9" s="457" t="s">
        <v>86</v>
      </c>
      <c r="H9" s="457" t="s">
        <v>87</v>
      </c>
      <c r="I9" s="24" t="s">
        <v>88</v>
      </c>
      <c r="J9" s="28"/>
      <c r="K9" s="653"/>
      <c r="L9" s="525"/>
      <c r="M9" s="457" t="s">
        <v>284</v>
      </c>
      <c r="N9" s="457" t="s">
        <v>85</v>
      </c>
      <c r="O9" s="457" t="s">
        <v>86</v>
      </c>
      <c r="P9" s="457" t="s">
        <v>89</v>
      </c>
      <c r="Q9" s="24" t="s">
        <v>90</v>
      </c>
      <c r="S9" s="521"/>
      <c r="T9" s="508"/>
      <c r="U9" s="457" t="s">
        <v>91</v>
      </c>
      <c r="V9" s="457" t="s">
        <v>86</v>
      </c>
      <c r="W9" s="457" t="s">
        <v>87</v>
      </c>
      <c r="X9" s="24" t="s">
        <v>88</v>
      </c>
      <c r="Y9" s="28"/>
      <c r="Z9" s="28"/>
      <c r="AA9" s="28"/>
      <c r="AB9" s="28"/>
      <c r="AC9" s="28"/>
      <c r="AD9" s="12"/>
      <c r="AE9" s="12"/>
      <c r="AF9" s="12"/>
      <c r="AG9" s="12"/>
      <c r="AH9" s="12"/>
      <c r="AI9" s="12"/>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row>
    <row r="10" spans="1:162" ht="27.75" customHeight="1" x14ac:dyDescent="0.35">
      <c r="A10" s="14"/>
      <c r="C10" s="296" t="s">
        <v>214</v>
      </c>
      <c r="D10" s="650" t="s">
        <v>92</v>
      </c>
      <c r="E10" s="444">
        <f>SUMIFS(Inhalation_Exp[All Routes HE],Inhalation_Exp[OES],$C$4,Inhalation_Exp[Worker Type],$C10,Inhalation_Exp[Data Type],$D$4)</f>
        <v>1.5</v>
      </c>
      <c r="F10" s="237">
        <f>SUMIFS(Inhalation_Exp[24hr_High-End],Inhalation_Exp[OES],$C$4,Inhalation_Exp[Worker Type],$C10,Inhalation_Exp[Data Type],$D$4)</f>
        <v>0.1875</v>
      </c>
      <c r="G10" s="237">
        <f>SUMIFS(Inhalation_Exp[Int_High-End],Inhalation_Exp[OES],$C$4,Inhalation_Exp[Worker Type],$C10,Inhalation_Exp[Data Type],$D$4)</f>
        <v>0.13750000000000001</v>
      </c>
      <c r="H10" s="237">
        <f>SUMIFS(Inhalation_Exp[ADD_High-End],Inhalation_Exp[OES],$C$4,Inhalation_Exp[Worker Type],$C10,Inhalation_Exp[Data Type],$D$4)</f>
        <v>0.12842465753424659</v>
      </c>
      <c r="I10" s="235">
        <f>SUMIFS(Inhalation_Exp[LADD_High-End],Inhalation_Exp[OES],$C$4,Inhalation_Exp[Worker Type],$C10,Inhalation_Exp[Data Type],$D$4)</f>
        <v>6.5858798735511065E-2</v>
      </c>
      <c r="J10" s="28"/>
      <c r="K10" s="296" t="s">
        <v>214</v>
      </c>
      <c r="L10" s="650" t="s">
        <v>92</v>
      </c>
      <c r="M10" s="237">
        <f>N10*BW_default</f>
        <v>0.95272799999999991</v>
      </c>
      <c r="N10" s="237">
        <f>SUMIFS(Dermal_Exp[High-End AD (mg/kg-day)],Dermal_Exp[Worker Type],$K10,Dermal_Exp[OES],$C$4)</f>
        <v>1.1909099999999999E-2</v>
      </c>
      <c r="O10" s="237">
        <f>SUMIFS(Dermal_Exp[High-End IADD (mg/kg-day)],Dermal_Exp[Worker Type],$K10,Dermal_Exp[OES],$C$4)</f>
        <v>8.7333399999999992E-3</v>
      </c>
      <c r="P10" s="237">
        <f>SUMIFS(Dermal_Exp[High-End ADD (mg/kg-day)],Dermal_Exp[Worker Type],$K10,Dermal_Exp[OES],$C$4)</f>
        <v>8.156917808219177E-3</v>
      </c>
      <c r="Q10" s="235">
        <f>SUMIFS(Dermal_Exp[High-End LADD (mg/kg-day)],Dermal_Exp[Worker Type],$K10,Dermal_Exp[OES],$C$4)</f>
        <v>4.1830347734457315E-3</v>
      </c>
      <c r="S10" s="296" t="s">
        <v>214</v>
      </c>
      <c r="T10" s="650" t="s">
        <v>92</v>
      </c>
      <c r="U10" s="237">
        <f t="shared" ref="U10:X15" si="0">N10+F10</f>
        <v>0.19940910000000001</v>
      </c>
      <c r="V10" s="237">
        <f t="shared" si="0"/>
        <v>0.14623334000000002</v>
      </c>
      <c r="W10" s="237">
        <f t="shared" si="0"/>
        <v>0.13658157534246576</v>
      </c>
      <c r="X10" s="237">
        <f t="shared" si="0"/>
        <v>7.0041833508956791E-2</v>
      </c>
      <c r="Y10" s="28"/>
      <c r="Z10" s="28"/>
      <c r="AA10" s="28"/>
      <c r="AB10" s="28"/>
      <c r="AC10" s="28"/>
      <c r="AD10" s="12"/>
      <c r="AE10" s="12"/>
      <c r="AF10" s="12"/>
      <c r="AG10" s="12"/>
      <c r="AH10" s="12"/>
      <c r="AI10" s="12"/>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row>
    <row r="11" spans="1:162" ht="15" customHeight="1" x14ac:dyDescent="0.35">
      <c r="A11" s="14"/>
      <c r="C11" s="297" t="s">
        <v>74</v>
      </c>
      <c r="D11" s="651"/>
      <c r="E11" s="275">
        <f>SUMIFS(Inhalation_Exp[All Routes HE],Inhalation_Exp[OES],$C$4,Inhalation_Exp[Worker Type],$C11,Inhalation_Exp[Data Type],$D$4)</f>
        <v>1.5</v>
      </c>
      <c r="F11" s="275">
        <f>SUMIFS(Inhalation_Exp[24hr_High-End],Inhalation_Exp[OES],$C$4,Inhalation_Exp[Worker Type],$C11,Inhalation_Exp[Data Type],$D$4)</f>
        <v>0.20711080428028991</v>
      </c>
      <c r="G11" s="275">
        <f>SUMIFS(Inhalation_Exp[Int_High-End],Inhalation_Exp[OES],$C$4,Inhalation_Exp[Worker Type],$C11,Inhalation_Exp[Data Type],$D$4)</f>
        <v>0.15188125647221262</v>
      </c>
      <c r="H11" s="275">
        <f>SUMIFS(Inhalation_Exp[ADD_High-End],Inhalation_Exp[OES],$C$4,Inhalation_Exp[Worker Type],$C11,Inhalation_Exp[Data Type],$D$4)</f>
        <v>0.14185671526047253</v>
      </c>
      <c r="I11" s="295">
        <f>SUMIFS(Inhalation_Exp[LADD_High-End],Inhalation_Exp[OES],$C$4,Inhalation_Exp[Worker Type],$C11,Inhalation_Exp[Data Type],$D$4)</f>
        <v>7.2747033466908986E-2</v>
      </c>
      <c r="J11" s="53"/>
      <c r="K11" s="297" t="s">
        <v>74</v>
      </c>
      <c r="L11" s="651"/>
      <c r="M11" s="275">
        <f>N11*BW_F</f>
        <v>0.79272963812154706</v>
      </c>
      <c r="N11" s="275">
        <f>SUMIFS(Dermal_Exp[High-End AD (mg/kg-day)],Dermal_Exp[Worker Type],$K11,Dermal_Exp[OES],$C$4)</f>
        <v>1.0945524861878452E-2</v>
      </c>
      <c r="O11" s="275">
        <f>SUMIFS(Dermal_Exp[High-End IADD (mg/kg-day)],Dermal_Exp[Worker Type],$K11,Dermal_Exp[OES],$C$4)</f>
        <v>8.0267182320441985E-3</v>
      </c>
      <c r="P11" s="275">
        <f>SUMIFS(Dermal_Exp[High-End ADD (mg/kg-day)],Dermal_Exp[Worker Type],$K11,Dermal_Exp[OES],$C$4)</f>
        <v>7.4969348369030497E-3</v>
      </c>
      <c r="Q11" s="295">
        <f>SUMIFS(Dermal_Exp[High-End LADD (mg/kg-day)],Dermal_Exp[Worker Type],$K11,Dermal_Exp[OES],$C$4)</f>
        <v>3.8445819676425894E-3</v>
      </c>
      <c r="S11" s="297" t="s">
        <v>74</v>
      </c>
      <c r="T11" s="651"/>
      <c r="U11" s="275">
        <f t="shared" si="0"/>
        <v>0.21805632914216835</v>
      </c>
      <c r="V11" s="275">
        <f t="shared" si="0"/>
        <v>0.15990797470425683</v>
      </c>
      <c r="W11" s="275">
        <f t="shared" si="0"/>
        <v>0.14935365009737558</v>
      </c>
      <c r="X11" s="275">
        <f t="shared" si="0"/>
        <v>7.6591615434551577E-2</v>
      </c>
      <c r="Y11" s="53"/>
      <c r="Z11" s="53"/>
      <c r="AA11" s="53"/>
      <c r="AB11" s="53"/>
      <c r="AC11" s="53"/>
      <c r="AD11" s="12"/>
      <c r="AE11" s="12"/>
      <c r="AF11" s="12"/>
      <c r="AG11" s="12"/>
      <c r="AH11" s="12"/>
      <c r="AI11" s="12"/>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row>
    <row r="12" spans="1:162" ht="15.75" customHeight="1" thickBot="1" x14ac:dyDescent="0.4">
      <c r="A12" s="14"/>
      <c r="C12" s="26" t="s">
        <v>94</v>
      </c>
      <c r="D12" s="652"/>
      <c r="E12" s="238">
        <f>SUMIFS(Inhalation_Exp[All Routes HE],Inhalation_Exp[OES],$C$4,Inhalation_Exp[Worker Type],$C12,Inhalation_Exp[Data Type],$D$4)</f>
        <v>6.6000000000000003E-2</v>
      </c>
      <c r="F12" s="238">
        <f>SUMIFS(Inhalation_Exp[24hr_High-End],Inhalation_Exp[OES],$C$4,Inhalation_Exp[Worker Type],$C12,Inhalation_Exp[Data Type],$D$4)</f>
        <v>8.2500000000000004E-3</v>
      </c>
      <c r="G12" s="238">
        <f>SUMIFS(Inhalation_Exp[Int_High-End],Inhalation_Exp[OES],$C$4,Inhalation_Exp[Worker Type],$C12,Inhalation_Exp[Data Type],$D$4)</f>
        <v>6.0499999999999998E-3</v>
      </c>
      <c r="H12" s="238">
        <f>SUMIFS(Inhalation_Exp[ADD_High-End],Inhalation_Exp[OES],$C$4,Inhalation_Exp[Worker Type],$C12,Inhalation_Exp[Data Type],$D$4)</f>
        <v>5.6506849315068495E-3</v>
      </c>
      <c r="I12" s="236">
        <f>SUMIFS(Inhalation_Exp[LADD_High-End],Inhalation_Exp[OES],$C$4,Inhalation_Exp[Worker Type],$C12,Inhalation_Exp[Data Type],$D$4)</f>
        <v>2.897787144362487E-3</v>
      </c>
      <c r="J12" s="53"/>
      <c r="K12" s="26" t="s">
        <v>94</v>
      </c>
      <c r="L12" s="652"/>
      <c r="M12" s="238">
        <f>N12*BW_default</f>
        <v>0.23862719999999998</v>
      </c>
      <c r="N12" s="238">
        <f>SUMIFS(Dermal_Exp[High-End AD (mg/kg-day)],Dermal_Exp[Worker Type],$K12,Dermal_Exp[OES],$C$4)</f>
        <v>2.9828399999999996E-3</v>
      </c>
      <c r="O12" s="238">
        <f>SUMIFS(Dermal_Exp[High-End IADD (mg/kg-day)],Dermal_Exp[Worker Type],$K12,Dermal_Exp[OES],$C$4)</f>
        <v>2.1874159999999998E-3</v>
      </c>
      <c r="P12" s="238">
        <f>SUMIFS(Dermal_Exp[High-End ADD (mg/kg-day)],Dermal_Exp[Worker Type],$K12,Dermal_Exp[OES],$C$4)</f>
        <v>2.0430410958904104E-3</v>
      </c>
      <c r="Q12" s="236">
        <f>SUMIFS(Dermal_Exp[High-End LADD (mg/kg-day)],Dermal_Exp[Worker Type],$K12,Dermal_Exp[OES],$C$4)</f>
        <v>1.047713382507903E-3</v>
      </c>
      <c r="S12" s="26" t="s">
        <v>94</v>
      </c>
      <c r="T12" s="652"/>
      <c r="U12" s="238">
        <f t="shared" si="0"/>
        <v>1.1232840000000001E-2</v>
      </c>
      <c r="V12" s="238">
        <f t="shared" si="0"/>
        <v>8.2374159999999991E-3</v>
      </c>
      <c r="W12" s="238">
        <f t="shared" si="0"/>
        <v>7.6937260273972595E-3</v>
      </c>
      <c r="X12" s="238">
        <f t="shared" si="0"/>
        <v>3.9455005268703904E-3</v>
      </c>
      <c r="Y12" s="53"/>
      <c r="Z12" s="53"/>
      <c r="AA12" s="53"/>
      <c r="AB12" s="53"/>
      <c r="AC12" s="53"/>
      <c r="AD12" s="12"/>
      <c r="AE12" s="12"/>
      <c r="AF12" s="12"/>
      <c r="AG12" s="12"/>
      <c r="AH12" s="12"/>
      <c r="AI12" s="12"/>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row>
    <row r="13" spans="1:162" ht="15.75" customHeight="1" x14ac:dyDescent="0.35">
      <c r="A13" s="14"/>
      <c r="C13" s="396" t="s">
        <v>214</v>
      </c>
      <c r="D13" s="650" t="s">
        <v>93</v>
      </c>
      <c r="E13" s="237">
        <f>SUMIFS(Inhalation_Exp[All Routes CT],Inhalation_Exp[OES],$C$4,Inhalation_Exp[Worker Type],$C13,Inhalation_Exp[Data Type],$D$4)</f>
        <v>6.6000000000000003E-2</v>
      </c>
      <c r="F13" s="246">
        <f>SUMIFS(Inhalation_Exp[24hr_Central Tendency],Inhalation_Exp[OES],$C$4,Inhalation_Exp[Worker Type],$C13,Inhalation_Exp[Data Type],$D$4)</f>
        <v>8.2500000000000004E-3</v>
      </c>
      <c r="G13" s="246">
        <f>SUMIFS(Inhalation_Exp[Int_Central Tendency],Inhalation_Exp[OES],$C$4,Inhalation_Exp[Worker Type],$C13,Inhalation_Exp[Data Type],$D$4)</f>
        <v>6.0499999999999998E-3</v>
      </c>
      <c r="H13" s="246">
        <f>SUMIFS(Inhalation_Exp[ADD_Central Tendency],Inhalation_Exp[OES],$C$4,Inhalation_Exp[Worker Type],$C13,Inhalation_Exp[Data Type],$D$4)</f>
        <v>4.7013698630136991E-3</v>
      </c>
      <c r="I13" s="247">
        <f>SUMIFS(Inhalation_Exp[LADD_Central Tendency],Inhalation_Exp[OES],$C$4,Inhalation_Exp[Worker Type],$C13,Inhalation_Exp[Data Type],$D$4)</f>
        <v>1.8684931506849317E-3</v>
      </c>
      <c r="J13" s="53"/>
      <c r="K13" s="297" t="s">
        <v>214</v>
      </c>
      <c r="L13" s="650" t="s">
        <v>93</v>
      </c>
      <c r="M13" s="237">
        <f>N13*BW_default</f>
        <v>0.47636399999999995</v>
      </c>
      <c r="N13" s="237">
        <f>SUMIFS(Dermal_Exp[Central Tendency AD (mg/kg-day)],Dermal_Exp[Worker Type],$K13,Dermal_Exp[OES],$C$4)</f>
        <v>5.9545499999999994E-3</v>
      </c>
      <c r="O13" s="237">
        <f>SUMIFS(Dermal_Exp[Central Tendency IADD (mg/kg-day)],Dermal_Exp[Worker Type],$K13,Dermal_Exp[OES],$C$4)</f>
        <v>4.3666699999999996E-3</v>
      </c>
      <c r="P13" s="237">
        <f>SUMIFS(Dermal_Exp[Central Tendency ADD (mg/kg-day)],Dermal_Exp[Worker Type],$K13,Dermal_Exp[OES],$C$4)</f>
        <v>3.3932778082191783E-3</v>
      </c>
      <c r="Q13" s="235">
        <f>SUMIFS(Dermal_Exp[Central Tendency LADD (mg/kg-day)],Dermal_Exp[Worker Type],$K13,Dermal_Exp[OES],$C$4)</f>
        <v>1.3486104109589041E-3</v>
      </c>
      <c r="S13" s="297" t="s">
        <v>214</v>
      </c>
      <c r="T13" s="650" t="s">
        <v>93</v>
      </c>
      <c r="U13" s="294">
        <f t="shared" si="0"/>
        <v>1.420455E-2</v>
      </c>
      <c r="V13" s="294">
        <f t="shared" si="0"/>
        <v>1.0416669999999999E-2</v>
      </c>
      <c r="W13" s="294">
        <f t="shared" si="0"/>
        <v>8.0946476712328783E-3</v>
      </c>
      <c r="X13" s="294">
        <f t="shared" si="0"/>
        <v>3.2171035616438358E-3</v>
      </c>
      <c r="Y13" s="53"/>
      <c r="Z13" s="53"/>
      <c r="AA13" s="53"/>
      <c r="AB13" s="53"/>
      <c r="AC13" s="53"/>
      <c r="AD13" s="12"/>
      <c r="AE13" s="12"/>
      <c r="AF13" s="12"/>
      <c r="AG13" s="12"/>
      <c r="AH13" s="12"/>
      <c r="AI13" s="12"/>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row>
    <row r="14" spans="1:162" ht="15" customHeight="1" x14ac:dyDescent="0.35">
      <c r="A14" s="14"/>
      <c r="C14" s="297" t="s">
        <v>74</v>
      </c>
      <c r="D14" s="651"/>
      <c r="E14" s="275">
        <f>SUMIFS(Inhalation_Exp[All Routes CT],Inhalation_Exp[OES],$C$4,Inhalation_Exp[Worker Type],$C14,Inhalation_Exp[Data Type],$D$4)</f>
        <v>6.6000000000000003E-2</v>
      </c>
      <c r="F14" s="275">
        <f>SUMIFS(Inhalation_Exp[24hr_Central Tendency],Inhalation_Exp[OES],$C$4,Inhalation_Exp[Worker Type],$C14,Inhalation_Exp[Data Type],$D$4)</f>
        <v>9.1128753883327578E-3</v>
      </c>
      <c r="G14" s="275">
        <f>SUMIFS(Inhalation_Exp[Int_Central Tendency],Inhalation_Exp[OES],$C$4,Inhalation_Exp[Worker Type],$C14,Inhalation_Exp[Data Type],$D$4)</f>
        <v>6.6827752847773555E-3</v>
      </c>
      <c r="H14" s="275">
        <f>SUMIFS(Inhalation_Exp[ADD_Central Tendency],Inhalation_Exp[OES],$C$4,Inhalation_Exp[Worker Type],$C14,Inhalation_Exp[Data Type],$D$4)</f>
        <v>5.19309063225538E-3</v>
      </c>
      <c r="I14" s="295">
        <f>SUMIFS(Inhalation_Exp[LADD_Central Tendency],Inhalation_Exp[OES],$C$4,Inhalation_Exp[Worker Type],$C14,Inhalation_Exp[Data Type],$D$4)</f>
        <v>2.0639206358963689E-3</v>
      </c>
      <c r="J14" s="53"/>
      <c r="K14" s="297" t="s">
        <v>74</v>
      </c>
      <c r="L14" s="651"/>
      <c r="M14" s="275">
        <f>N14*BW_F</f>
        <v>0.39636481906077353</v>
      </c>
      <c r="N14" s="275">
        <f>SUMIFS(Dermal_Exp[Central Tendency AD (mg/kg-day)],Dermal_Exp[Worker Type],$K14,Dermal_Exp[OES],$C$4)</f>
        <v>5.4727624309392261E-3</v>
      </c>
      <c r="O14" s="275">
        <f>SUMIFS(Dermal_Exp[Central Tendency IADD (mg/kg-day)],Dermal_Exp[Worker Type],$K14,Dermal_Exp[OES],$C$4)</f>
        <v>4.0133591160220992E-3</v>
      </c>
      <c r="P14" s="275">
        <f>SUMIFS(Dermal_Exp[Central Tendency ADD (mg/kg-day)],Dermal_Exp[Worker Type],$K14,Dermal_Exp[OES],$C$4)</f>
        <v>3.1187248921516687E-3</v>
      </c>
      <c r="Q14" s="295">
        <f>SUMIFS(Dermal_Exp[Central Tendency LADD (mg/kg-day)],Dermal_Exp[Worker Type],$K14,Dermal_Exp[OES],$C$4)</f>
        <v>1.239493226367971E-3</v>
      </c>
      <c r="S14" s="297" t="s">
        <v>74</v>
      </c>
      <c r="T14" s="651"/>
      <c r="U14" s="275">
        <f t="shared" si="0"/>
        <v>1.4585637819271984E-2</v>
      </c>
      <c r="V14" s="275">
        <f t="shared" si="0"/>
        <v>1.0696134400799456E-2</v>
      </c>
      <c r="W14" s="275">
        <f t="shared" si="0"/>
        <v>8.3118155244070492E-3</v>
      </c>
      <c r="X14" s="275">
        <f t="shared" si="0"/>
        <v>3.3034138622643396E-3</v>
      </c>
      <c r="Y14" s="53"/>
      <c r="Z14" s="53"/>
      <c r="AA14" s="53"/>
      <c r="AB14" s="53"/>
      <c r="AC14" s="53"/>
      <c r="AD14" s="12"/>
      <c r="AE14" s="12"/>
      <c r="AF14" s="12"/>
      <c r="AG14" s="12"/>
      <c r="AH14" s="12"/>
      <c r="AI14" s="12"/>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4"/>
    </row>
    <row r="15" spans="1:162" ht="15.75" customHeight="1" thickBot="1" x14ac:dyDescent="0.4">
      <c r="A15" s="14"/>
      <c r="C15" s="26" t="s">
        <v>94</v>
      </c>
      <c r="D15" s="652"/>
      <c r="E15" s="238">
        <f>SUMIFS(Inhalation_Exp[All Routes CT],Inhalation_Exp[OES],$C$4,Inhalation_Exp[Worker Type],$C15,Inhalation_Exp[Data Type],$D$4)</f>
        <v>6.6000000000000003E-2</v>
      </c>
      <c r="F15" s="238">
        <f>SUMIFS(Inhalation_Exp[24hr_Central Tendency],Inhalation_Exp[OES],$C$4,Inhalation_Exp[Worker Type],$C15,Inhalation_Exp[Data Type],$D$4)</f>
        <v>8.2500000000000004E-3</v>
      </c>
      <c r="G15" s="238">
        <f>SUMIFS(Inhalation_Exp[Int_Central Tendency],Inhalation_Exp[OES],$C$4,Inhalation_Exp[Worker Type],$C15,Inhalation_Exp[Data Type],$D$4)</f>
        <v>6.0499999999999998E-3</v>
      </c>
      <c r="H15" s="238">
        <f>SUMIFS(Inhalation_Exp[ADD_Central Tendency],Inhalation_Exp[OES],$C$4,Inhalation_Exp[Worker Type],$C15,Inhalation_Exp[Data Type],$D$4)</f>
        <v>4.7013698630136991E-3</v>
      </c>
      <c r="I15" s="236">
        <f>SUMIFS(Inhalation_Exp[LADD_Central Tendency],Inhalation_Exp[OES],$C$4,Inhalation_Exp[Worker Type],$C15,Inhalation_Exp[Data Type],$D$4)</f>
        <v>1.8684931506849317E-3</v>
      </c>
      <c r="J15" s="53"/>
      <c r="K15" s="26" t="s">
        <v>94</v>
      </c>
      <c r="L15" s="652"/>
      <c r="M15" s="238">
        <f>N15*BW_default</f>
        <v>0.23862719999999998</v>
      </c>
      <c r="N15" s="238">
        <f>SUMIFS(Dermal_Exp[Central Tendency AD (mg/kg-day)],Dermal_Exp[Worker Type],$K15,Dermal_Exp[OES],$C$4)</f>
        <v>2.9828399999999996E-3</v>
      </c>
      <c r="O15" s="238">
        <f>SUMIFS(Dermal_Exp[Central Tendency IADD (mg/kg-day)],Dermal_Exp[Worker Type],$K15,Dermal_Exp[OES],$C$4)</f>
        <v>2.1874159999999998E-3</v>
      </c>
      <c r="P15" s="238">
        <f>SUMIFS(Dermal_Exp[Central Tendency ADD (mg/kg-day)],Dermal_Exp[Worker Type],$K15,Dermal_Exp[OES],$C$4)</f>
        <v>1.6998101917808214E-3</v>
      </c>
      <c r="Q15" s="236">
        <f>SUMIFS(Dermal_Exp[Central Tendency LADD (mg/kg-day)],Dermal_Exp[Worker Type],$K15,Dermal_Exp[OES],$C$4)</f>
        <v>6.7556558904109567E-4</v>
      </c>
      <c r="R15" s="249"/>
      <c r="S15" s="26" t="s">
        <v>94</v>
      </c>
      <c r="T15" s="652"/>
      <c r="U15" s="238">
        <f t="shared" si="0"/>
        <v>1.1232840000000001E-2</v>
      </c>
      <c r="V15" s="238">
        <f t="shared" si="0"/>
        <v>8.2374159999999991E-3</v>
      </c>
      <c r="W15" s="238">
        <f t="shared" si="0"/>
        <v>6.4011800547945207E-3</v>
      </c>
      <c r="X15" s="238">
        <f t="shared" si="0"/>
        <v>2.5440587397260275E-3</v>
      </c>
      <c r="Y15" s="53"/>
      <c r="Z15" s="53"/>
      <c r="AA15" s="53"/>
      <c r="AB15" s="53"/>
      <c r="AC15" s="53"/>
      <c r="AD15" s="12"/>
      <c r="AE15" s="12"/>
      <c r="AF15" s="12"/>
      <c r="AG15" s="12"/>
      <c r="AH15" s="12"/>
      <c r="AI15" s="12"/>
      <c r="AJ15" s="14"/>
      <c r="AK15" s="14"/>
      <c r="AL15" s="14"/>
      <c r="AM15" s="14"/>
      <c r="AN15" s="14"/>
      <c r="AO15" s="14"/>
      <c r="AP15" s="14"/>
      <c r="AQ15" s="14"/>
      <c r="AR15" s="14"/>
      <c r="AS15" s="14"/>
      <c r="AT15" s="14"/>
      <c r="AU15" s="14"/>
      <c r="AV15" s="14"/>
      <c r="AW15" s="14"/>
      <c r="AX15" s="14"/>
      <c r="AY15" s="14"/>
      <c r="AZ15" s="14"/>
      <c r="BA15" s="14"/>
      <c r="BB15" s="14"/>
      <c r="BC15" s="14"/>
      <c r="BD15" s="14"/>
      <c r="BE15" s="14"/>
      <c r="BF15" s="14"/>
      <c r="BG15" s="14"/>
      <c r="BH15" s="14"/>
      <c r="BI15" s="14"/>
      <c r="BJ15" s="14"/>
      <c r="BK15" s="14"/>
      <c r="BL15" s="14"/>
      <c r="BM15" s="14"/>
      <c r="BN15" s="14"/>
      <c r="BO15" s="14"/>
      <c r="BP15" s="14"/>
      <c r="BQ15" s="14"/>
      <c r="BR15" s="14"/>
    </row>
    <row r="16" spans="1:162" s="3" customFormat="1" ht="13.5" thickBot="1" x14ac:dyDescent="0.4">
      <c r="A16" s="14"/>
      <c r="B16" s="12"/>
      <c r="C16" s="30"/>
      <c r="D16" s="30"/>
      <c r="E16" s="28"/>
      <c r="F16" s="28"/>
      <c r="G16" s="28"/>
      <c r="H16" s="28"/>
      <c r="I16" s="28"/>
      <c r="J16" s="9"/>
      <c r="K16" s="12"/>
      <c r="L16" s="12"/>
      <c r="M16" s="12"/>
      <c r="N16" s="12"/>
      <c r="O16" s="12"/>
      <c r="P16" s="12"/>
      <c r="Q16" s="12"/>
      <c r="R16" s="14"/>
      <c r="S16" s="14"/>
      <c r="T16" s="14"/>
      <c r="U16" s="14"/>
      <c r="V16" s="14"/>
      <c r="W16" s="14"/>
      <c r="X16" s="14"/>
      <c r="Y16" s="14"/>
      <c r="Z16" s="14"/>
      <c r="AA16" s="14"/>
      <c r="AB16" s="12"/>
      <c r="AC16" s="12"/>
      <c r="AD16" s="12"/>
      <c r="AE16" s="12"/>
      <c r="AF16" s="12"/>
      <c r="AG16" s="12"/>
      <c r="AH16" s="14"/>
      <c r="AI16" s="14"/>
      <c r="AJ16" s="14"/>
      <c r="AK16" s="14"/>
      <c r="AL16" s="14"/>
      <c r="AM16" s="14"/>
      <c r="AN16" s="14"/>
      <c r="AO16" s="14"/>
      <c r="AP16" s="14"/>
      <c r="AQ16" s="14"/>
      <c r="AR16" s="14"/>
      <c r="AS16" s="14"/>
      <c r="AT16" s="14"/>
      <c r="AU16" s="14"/>
      <c r="AV16" s="14"/>
      <c r="AW16" s="14"/>
      <c r="AX16" s="14"/>
      <c r="AY16" s="14"/>
      <c r="AZ16" s="14"/>
      <c r="BA16" s="14"/>
      <c r="BB16" s="14"/>
      <c r="BC16" s="14"/>
      <c r="BD16" s="14"/>
      <c r="BE16" s="14"/>
      <c r="BF16" s="14"/>
      <c r="BG16" s="14"/>
      <c r="BH16" s="14"/>
      <c r="BI16" s="14"/>
      <c r="BJ16" s="14"/>
      <c r="BK16" s="14"/>
      <c r="BL16" s="14"/>
      <c r="BM16" s="14"/>
      <c r="BN16" s="14"/>
      <c r="BO16" s="14"/>
      <c r="BP16" s="14"/>
      <c r="BQ16" s="12"/>
      <c r="BR16" s="12"/>
      <c r="BS16" s="12"/>
      <c r="BT16" s="12"/>
      <c r="BU16" s="12"/>
      <c r="BV16" s="12"/>
      <c r="BW16" s="12"/>
      <c r="BX16" s="12"/>
      <c r="BY16" s="12"/>
      <c r="BZ16" s="12"/>
      <c r="CA16" s="12"/>
      <c r="CB16" s="12"/>
      <c r="CC16" s="12"/>
      <c r="CD16" s="12"/>
      <c r="CE16" s="12"/>
      <c r="CF16" s="12"/>
      <c r="CG16" s="12"/>
      <c r="CH16" s="12"/>
      <c r="CI16" s="12"/>
      <c r="CJ16" s="12"/>
      <c r="CK16" s="12"/>
      <c r="CL16" s="12"/>
      <c r="CM16" s="12"/>
      <c r="CN16" s="12"/>
      <c r="CO16" s="12"/>
      <c r="CP16" s="12"/>
      <c r="CQ16" s="12"/>
      <c r="CR16" s="12"/>
      <c r="CS16" s="12"/>
      <c r="CT16" s="12"/>
      <c r="CU16" s="12"/>
      <c r="CV16" s="12"/>
      <c r="CW16" s="12"/>
      <c r="CX16" s="12"/>
      <c r="CY16" s="12"/>
      <c r="CZ16" s="12"/>
      <c r="DA16" s="12"/>
      <c r="DB16" s="12"/>
      <c r="DC16" s="12"/>
      <c r="DD16" s="12"/>
      <c r="DE16" s="12"/>
      <c r="DF16" s="12"/>
      <c r="DG16" s="12"/>
      <c r="DH16" s="12"/>
      <c r="DI16" s="12"/>
      <c r="DJ16" s="12"/>
      <c r="DK16" s="12"/>
      <c r="DL16" s="12"/>
      <c r="DM16" s="12"/>
      <c r="DN16" s="12"/>
      <c r="DO16" s="12"/>
      <c r="DP16" s="12"/>
      <c r="DQ16" s="12"/>
      <c r="DR16" s="12"/>
      <c r="DS16" s="12"/>
      <c r="DT16" s="12"/>
      <c r="DU16" s="12"/>
      <c r="DV16" s="12"/>
      <c r="DW16" s="12"/>
      <c r="DX16" s="12"/>
      <c r="DY16" s="12"/>
      <c r="DZ16" s="12"/>
      <c r="EA16" s="12"/>
      <c r="EB16" s="12"/>
      <c r="EC16" s="12"/>
      <c r="ED16" s="12"/>
      <c r="EE16" s="12"/>
      <c r="EF16" s="12"/>
      <c r="EG16" s="12"/>
      <c r="EH16" s="12"/>
      <c r="EI16" s="12"/>
      <c r="EJ16" s="12"/>
      <c r="EK16" s="12"/>
      <c r="EL16" s="12"/>
      <c r="EM16" s="12"/>
      <c r="EN16" s="12"/>
      <c r="EO16" s="12"/>
      <c r="EP16" s="12"/>
      <c r="EQ16" s="12"/>
      <c r="ER16" s="12"/>
      <c r="ES16" s="12"/>
      <c r="ET16" s="12"/>
      <c r="EU16" s="12"/>
      <c r="EV16" s="12"/>
      <c r="EW16" s="12"/>
      <c r="EX16" s="12"/>
      <c r="EY16" s="12"/>
      <c r="EZ16" s="12"/>
      <c r="FA16" s="12"/>
      <c r="FB16" s="12"/>
      <c r="FC16" s="12"/>
      <c r="FD16" s="12"/>
      <c r="FE16" s="12"/>
      <c r="FF16" s="12"/>
    </row>
    <row r="17" spans="1:162" s="353" customFormat="1" ht="14.5" customHeight="1" thickBot="1" x14ac:dyDescent="0.4">
      <c r="A17" s="350"/>
      <c r="B17" s="351"/>
      <c r="C17" s="349" t="s">
        <v>285</v>
      </c>
      <c r="D17" s="397" t="s">
        <v>286</v>
      </c>
      <c r="E17" s="398" t="s">
        <v>93</v>
      </c>
      <c r="F17" s="399" t="s">
        <v>287</v>
      </c>
      <c r="G17" s="352"/>
      <c r="H17" s="352"/>
      <c r="I17" s="352"/>
      <c r="J17" s="351"/>
      <c r="K17" s="345" t="s">
        <v>285</v>
      </c>
      <c r="L17" s="346" t="s">
        <v>286</v>
      </c>
      <c r="M17" s="346" t="s">
        <v>93</v>
      </c>
      <c r="N17" s="347" t="s">
        <v>287</v>
      </c>
      <c r="O17" s="351"/>
      <c r="P17" s="351"/>
      <c r="Q17" s="351"/>
      <c r="R17" s="351"/>
      <c r="S17" s="292" t="s">
        <v>285</v>
      </c>
      <c r="T17" s="293" t="s">
        <v>286</v>
      </c>
      <c r="U17" s="293" t="s">
        <v>93</v>
      </c>
      <c r="V17" s="293" t="s">
        <v>287</v>
      </c>
      <c r="W17" s="350"/>
      <c r="X17" s="350"/>
      <c r="Y17" s="350"/>
      <c r="Z17" s="350"/>
      <c r="AA17" s="350"/>
      <c r="AB17" s="351"/>
      <c r="AC17" s="351"/>
      <c r="AD17" s="351"/>
      <c r="AE17" s="351"/>
      <c r="AF17" s="351"/>
      <c r="AG17" s="351"/>
      <c r="AH17" s="350"/>
      <c r="AI17" s="350"/>
      <c r="AJ17" s="350"/>
      <c r="AK17" s="350"/>
      <c r="AL17" s="350"/>
      <c r="AM17" s="350"/>
      <c r="AN17" s="350"/>
      <c r="AO17" s="350"/>
      <c r="AP17" s="350"/>
      <c r="AQ17" s="350"/>
      <c r="AR17" s="350"/>
      <c r="AS17" s="350"/>
      <c r="AT17" s="350"/>
      <c r="AU17" s="350"/>
      <c r="AV17" s="350"/>
      <c r="AW17" s="350"/>
      <c r="AX17" s="350"/>
      <c r="AY17" s="350"/>
      <c r="AZ17" s="350"/>
      <c r="BA17" s="350"/>
      <c r="BB17" s="350"/>
      <c r="BC17" s="350"/>
      <c r="BD17" s="350"/>
      <c r="BE17" s="350"/>
      <c r="BF17" s="350"/>
      <c r="BG17" s="350"/>
      <c r="BH17" s="350"/>
      <c r="BI17" s="350"/>
      <c r="BJ17" s="350"/>
      <c r="BK17" s="350"/>
      <c r="BL17" s="350"/>
      <c r="BM17" s="350"/>
      <c r="BN17" s="350"/>
      <c r="BO17" s="350"/>
      <c r="BP17" s="350"/>
      <c r="BQ17" s="351"/>
      <c r="BR17" s="351"/>
      <c r="BS17" s="351"/>
      <c r="BT17" s="351"/>
      <c r="BU17" s="351"/>
      <c r="BV17" s="351"/>
      <c r="BW17" s="351"/>
      <c r="BX17" s="351"/>
      <c r="BY17" s="351"/>
      <c r="BZ17" s="351"/>
      <c r="CA17" s="351"/>
      <c r="CB17" s="351"/>
      <c r="CC17" s="351"/>
      <c r="CD17" s="351"/>
      <c r="CE17" s="351"/>
      <c r="CF17" s="351"/>
      <c r="CG17" s="351"/>
      <c r="CH17" s="351"/>
      <c r="CI17" s="351"/>
      <c r="CJ17" s="351"/>
      <c r="CK17" s="351"/>
      <c r="CL17" s="351"/>
      <c r="CM17" s="351"/>
      <c r="CN17" s="351"/>
      <c r="CO17" s="351"/>
      <c r="CP17" s="351"/>
      <c r="CQ17" s="351"/>
      <c r="CR17" s="351"/>
      <c r="CS17" s="351"/>
      <c r="CT17" s="351"/>
      <c r="CU17" s="351"/>
      <c r="CV17" s="351"/>
      <c r="CW17" s="351"/>
      <c r="CX17" s="351"/>
      <c r="CY17" s="351"/>
      <c r="CZ17" s="351"/>
      <c r="DA17" s="351"/>
      <c r="DB17" s="351"/>
      <c r="DC17" s="351"/>
      <c r="DD17" s="351"/>
      <c r="DE17" s="351"/>
      <c r="DF17" s="351"/>
      <c r="DG17" s="351"/>
      <c r="DH17" s="351"/>
      <c r="DI17" s="351"/>
      <c r="DJ17" s="351"/>
      <c r="DK17" s="351"/>
      <c r="DL17" s="351"/>
      <c r="DM17" s="351"/>
      <c r="DN17" s="351"/>
      <c r="DO17" s="351"/>
      <c r="DP17" s="351"/>
      <c r="DQ17" s="351"/>
      <c r="DR17" s="351"/>
      <c r="DS17" s="351"/>
      <c r="DT17" s="351"/>
      <c r="DU17" s="351"/>
      <c r="DV17" s="351"/>
      <c r="DW17" s="351"/>
      <c r="DX17" s="351"/>
      <c r="DY17" s="351"/>
      <c r="DZ17" s="351"/>
      <c r="EA17" s="351"/>
      <c r="EB17" s="351"/>
      <c r="EC17" s="351"/>
      <c r="ED17" s="351"/>
      <c r="EE17" s="351"/>
      <c r="EF17" s="351"/>
      <c r="EG17" s="351"/>
      <c r="EH17" s="351"/>
      <c r="EI17" s="351"/>
      <c r="EJ17" s="351"/>
      <c r="EK17" s="351"/>
      <c r="EL17" s="351"/>
      <c r="EM17" s="351"/>
      <c r="EN17" s="351"/>
      <c r="EO17" s="351"/>
      <c r="EP17" s="351"/>
      <c r="EQ17" s="351"/>
      <c r="ER17" s="351"/>
      <c r="ES17" s="351"/>
      <c r="ET17" s="351"/>
      <c r="EU17" s="351"/>
      <c r="EV17" s="351"/>
      <c r="EW17" s="351"/>
      <c r="EX17" s="351"/>
      <c r="EY17" s="351"/>
      <c r="EZ17" s="351"/>
      <c r="FA17" s="351"/>
      <c r="FB17" s="351"/>
      <c r="FC17" s="351"/>
      <c r="FD17" s="351"/>
      <c r="FE17" s="351"/>
      <c r="FF17" s="351"/>
    </row>
    <row r="18" spans="1:162" s="353" customFormat="1" ht="14.5" customHeight="1" thickTop="1" x14ac:dyDescent="0.35">
      <c r="A18" s="350"/>
      <c r="B18" s="351"/>
      <c r="C18" s="646" t="s">
        <v>214</v>
      </c>
      <c r="D18" s="400" t="s">
        <v>288</v>
      </c>
      <c r="E18" s="432">
        <f>E13</f>
        <v>6.6000000000000003E-2</v>
      </c>
      <c r="F18" s="433">
        <f>E10</f>
        <v>1.5</v>
      </c>
      <c r="G18" s="352"/>
      <c r="H18" s="352"/>
      <c r="I18" s="352"/>
      <c r="J18" s="351"/>
      <c r="K18" s="656" t="s">
        <v>214</v>
      </c>
      <c r="L18" s="298" t="s">
        <v>289</v>
      </c>
      <c r="M18" s="354">
        <f>M13</f>
        <v>0.47636399999999995</v>
      </c>
      <c r="N18" s="355">
        <f>M10</f>
        <v>0.95272799999999991</v>
      </c>
      <c r="O18" s="351"/>
      <c r="P18" s="351"/>
      <c r="Q18" s="351"/>
      <c r="R18" s="351"/>
      <c r="S18" s="655" t="s">
        <v>214</v>
      </c>
      <c r="T18" s="471" t="s">
        <v>290</v>
      </c>
      <c r="U18" s="356">
        <f>U13</f>
        <v>1.420455E-2</v>
      </c>
      <c r="V18" s="357">
        <f>U10</f>
        <v>0.19940910000000001</v>
      </c>
      <c r="W18" s="350"/>
      <c r="X18" s="350"/>
      <c r="Y18" s="350"/>
      <c r="Z18" s="350"/>
      <c r="AA18" s="350"/>
      <c r="AB18" s="351"/>
      <c r="AC18" s="351"/>
      <c r="AD18" s="351"/>
      <c r="AE18" s="351"/>
      <c r="AF18" s="351"/>
      <c r="AG18" s="351"/>
      <c r="AH18" s="350"/>
      <c r="AI18" s="350"/>
      <c r="AJ18" s="350"/>
      <c r="AK18" s="350"/>
      <c r="AL18" s="350"/>
      <c r="AM18" s="350"/>
      <c r="AN18" s="350"/>
      <c r="AO18" s="350"/>
      <c r="AP18" s="350"/>
      <c r="AQ18" s="350"/>
      <c r="AR18" s="350"/>
      <c r="AS18" s="350"/>
      <c r="AT18" s="350"/>
      <c r="AU18" s="350"/>
      <c r="AV18" s="350"/>
      <c r="AW18" s="350"/>
      <c r="AX18" s="350"/>
      <c r="AY18" s="350"/>
      <c r="AZ18" s="350"/>
      <c r="BA18" s="350"/>
      <c r="BB18" s="350"/>
      <c r="BC18" s="350"/>
      <c r="BD18" s="350"/>
      <c r="BE18" s="350"/>
      <c r="BF18" s="350"/>
      <c r="BG18" s="350"/>
      <c r="BH18" s="350"/>
      <c r="BI18" s="350"/>
      <c r="BJ18" s="350"/>
      <c r="BK18" s="350"/>
      <c r="BL18" s="350"/>
      <c r="BM18" s="350"/>
      <c r="BN18" s="350"/>
      <c r="BO18" s="350"/>
      <c r="BP18" s="350"/>
      <c r="BQ18" s="351"/>
      <c r="BR18" s="351"/>
      <c r="BS18" s="351"/>
      <c r="BT18" s="351"/>
      <c r="BU18" s="351"/>
      <c r="BV18" s="351"/>
      <c r="BW18" s="351"/>
      <c r="BX18" s="351"/>
      <c r="BY18" s="351"/>
      <c r="BZ18" s="351"/>
      <c r="CA18" s="351"/>
      <c r="CB18" s="351"/>
      <c r="CC18" s="351"/>
      <c r="CD18" s="351"/>
      <c r="CE18" s="351"/>
      <c r="CF18" s="351"/>
      <c r="CG18" s="351"/>
      <c r="CH18" s="351"/>
      <c r="CI18" s="351"/>
      <c r="CJ18" s="351"/>
      <c r="CK18" s="351"/>
      <c r="CL18" s="351"/>
      <c r="CM18" s="351"/>
      <c r="CN18" s="351"/>
      <c r="CO18" s="351"/>
      <c r="CP18" s="351"/>
      <c r="CQ18" s="351"/>
      <c r="CR18" s="351"/>
      <c r="CS18" s="351"/>
      <c r="CT18" s="351"/>
      <c r="CU18" s="351"/>
      <c r="CV18" s="351"/>
      <c r="CW18" s="351"/>
      <c r="CX18" s="351"/>
      <c r="CY18" s="351"/>
      <c r="CZ18" s="351"/>
      <c r="DA18" s="351"/>
      <c r="DB18" s="351"/>
      <c r="DC18" s="351"/>
      <c r="DD18" s="351"/>
      <c r="DE18" s="351"/>
      <c r="DF18" s="351"/>
      <c r="DG18" s="351"/>
      <c r="DH18" s="351"/>
      <c r="DI18" s="351"/>
      <c r="DJ18" s="351"/>
      <c r="DK18" s="351"/>
      <c r="DL18" s="351"/>
      <c r="DM18" s="351"/>
      <c r="DN18" s="351"/>
      <c r="DO18" s="351"/>
      <c r="DP18" s="351"/>
      <c r="DQ18" s="351"/>
      <c r="DR18" s="351"/>
      <c r="DS18" s="351"/>
      <c r="DT18" s="351"/>
      <c r="DU18" s="351"/>
      <c r="DV18" s="351"/>
      <c r="DW18" s="351"/>
      <c r="DX18" s="351"/>
      <c r="DY18" s="351"/>
      <c r="DZ18" s="351"/>
      <c r="EA18" s="351"/>
      <c r="EB18" s="351"/>
      <c r="EC18" s="351"/>
      <c r="ED18" s="351"/>
      <c r="EE18" s="351"/>
      <c r="EF18" s="351"/>
      <c r="EG18" s="351"/>
      <c r="EH18" s="351"/>
      <c r="EI18" s="351"/>
      <c r="EJ18" s="351"/>
      <c r="EK18" s="351"/>
      <c r="EL18" s="351"/>
      <c r="EM18" s="351"/>
      <c r="EN18" s="351"/>
      <c r="EO18" s="351"/>
      <c r="EP18" s="351"/>
      <c r="EQ18" s="351"/>
      <c r="ER18" s="351"/>
      <c r="ES18" s="351"/>
      <c r="ET18" s="351"/>
      <c r="EU18" s="351"/>
      <c r="EV18" s="351"/>
      <c r="EW18" s="351"/>
      <c r="EX18" s="351"/>
      <c r="EY18" s="351"/>
      <c r="EZ18" s="351"/>
      <c r="FA18" s="351"/>
      <c r="FB18" s="351"/>
      <c r="FC18" s="351"/>
      <c r="FD18" s="351"/>
      <c r="FE18" s="351"/>
      <c r="FF18" s="351"/>
    </row>
    <row r="19" spans="1:162" s="353" customFormat="1" ht="14.5" customHeight="1" x14ac:dyDescent="0.35">
      <c r="A19" s="350"/>
      <c r="B19" s="351"/>
      <c r="C19" s="647"/>
      <c r="D19" s="471" t="s">
        <v>290</v>
      </c>
      <c r="E19" s="435">
        <f>F13</f>
        <v>8.2500000000000004E-3</v>
      </c>
      <c r="F19" s="434">
        <f>F10</f>
        <v>0.1875</v>
      </c>
      <c r="G19" s="352"/>
      <c r="H19" s="352"/>
      <c r="I19" s="352"/>
      <c r="J19" s="351"/>
      <c r="K19" s="657"/>
      <c r="L19" s="471" t="s">
        <v>290</v>
      </c>
      <c r="M19" s="358">
        <f>N13</f>
        <v>5.9545499999999994E-3</v>
      </c>
      <c r="N19" s="359">
        <f>N10</f>
        <v>1.1909099999999999E-2</v>
      </c>
      <c r="O19" s="360"/>
      <c r="P19" s="360"/>
      <c r="Q19" s="360"/>
      <c r="R19" s="351"/>
      <c r="S19" s="654"/>
      <c r="T19" s="471" t="s">
        <v>291</v>
      </c>
      <c r="U19" s="358">
        <f>V13</f>
        <v>1.0416669999999999E-2</v>
      </c>
      <c r="V19" s="361">
        <f>V10</f>
        <v>0.14623334000000002</v>
      </c>
      <c r="W19" s="350"/>
      <c r="X19" s="350"/>
      <c r="Y19" s="350"/>
      <c r="Z19" s="350"/>
      <c r="AA19" s="350"/>
      <c r="AB19" s="351"/>
      <c r="AC19" s="351"/>
      <c r="AD19" s="351"/>
      <c r="AE19" s="351"/>
      <c r="AF19" s="351"/>
      <c r="AG19" s="351"/>
      <c r="AH19" s="350"/>
      <c r="AI19" s="350"/>
      <c r="AJ19" s="350"/>
      <c r="AK19" s="350"/>
      <c r="AL19" s="350"/>
      <c r="AM19" s="350"/>
      <c r="AN19" s="350"/>
      <c r="AO19" s="350"/>
      <c r="AP19" s="350"/>
      <c r="AQ19" s="350"/>
      <c r="AR19" s="350"/>
      <c r="AS19" s="350"/>
      <c r="AT19" s="350"/>
      <c r="AU19" s="350"/>
      <c r="AV19" s="350"/>
      <c r="AW19" s="350"/>
      <c r="AX19" s="350"/>
      <c r="AY19" s="350"/>
      <c r="AZ19" s="350"/>
      <c r="BA19" s="350"/>
      <c r="BB19" s="350"/>
      <c r="BC19" s="350"/>
      <c r="BD19" s="350"/>
      <c r="BE19" s="350"/>
      <c r="BF19" s="350"/>
      <c r="BG19" s="350"/>
      <c r="BH19" s="350"/>
      <c r="BI19" s="350"/>
      <c r="BJ19" s="350"/>
      <c r="BK19" s="350"/>
      <c r="BL19" s="350"/>
      <c r="BM19" s="350"/>
      <c r="BN19" s="350"/>
      <c r="BO19" s="350"/>
      <c r="BP19" s="350"/>
      <c r="BQ19" s="351"/>
      <c r="BR19" s="351"/>
      <c r="BS19" s="351"/>
      <c r="BT19" s="351"/>
      <c r="BU19" s="351"/>
      <c r="BV19" s="351"/>
      <c r="BW19" s="351"/>
      <c r="BX19" s="351"/>
      <c r="BY19" s="351"/>
      <c r="BZ19" s="351"/>
      <c r="CA19" s="351"/>
      <c r="CB19" s="351"/>
      <c r="CC19" s="351"/>
      <c r="CD19" s="351"/>
      <c r="CE19" s="351"/>
      <c r="CF19" s="351"/>
      <c r="CG19" s="351"/>
      <c r="CH19" s="351"/>
      <c r="CI19" s="351"/>
      <c r="CJ19" s="351"/>
      <c r="CK19" s="351"/>
      <c r="CL19" s="351"/>
      <c r="CM19" s="351"/>
      <c r="CN19" s="351"/>
      <c r="CO19" s="351"/>
      <c r="CP19" s="351"/>
      <c r="CQ19" s="351"/>
      <c r="CR19" s="351"/>
      <c r="CS19" s="351"/>
      <c r="CT19" s="351"/>
      <c r="CU19" s="351"/>
      <c r="CV19" s="351"/>
      <c r="CW19" s="351"/>
      <c r="CX19" s="351"/>
      <c r="CY19" s="351"/>
      <c r="CZ19" s="351"/>
      <c r="DA19" s="351"/>
      <c r="DB19" s="351"/>
      <c r="DC19" s="351"/>
      <c r="DD19" s="351"/>
      <c r="DE19" s="351"/>
      <c r="DF19" s="351"/>
      <c r="DG19" s="351"/>
      <c r="DH19" s="351"/>
      <c r="DI19" s="351"/>
      <c r="DJ19" s="351"/>
      <c r="DK19" s="351"/>
      <c r="DL19" s="351"/>
      <c r="DM19" s="351"/>
      <c r="DN19" s="351"/>
      <c r="DO19" s="351"/>
      <c r="DP19" s="351"/>
      <c r="DQ19" s="351"/>
      <c r="DR19" s="351"/>
      <c r="DS19" s="351"/>
      <c r="DT19" s="351"/>
      <c r="DU19" s="351"/>
      <c r="DV19" s="351"/>
      <c r="DW19" s="351"/>
      <c r="DX19" s="351"/>
      <c r="DY19" s="351"/>
      <c r="DZ19" s="351"/>
      <c r="EA19" s="351"/>
      <c r="EB19" s="351"/>
      <c r="EC19" s="351"/>
      <c r="ED19" s="351"/>
      <c r="EE19" s="351"/>
      <c r="EF19" s="351"/>
      <c r="EG19" s="351"/>
      <c r="EH19" s="351"/>
      <c r="EI19" s="351"/>
      <c r="EJ19" s="351"/>
      <c r="EK19" s="351"/>
      <c r="EL19" s="351"/>
      <c r="EM19" s="351"/>
      <c r="EN19" s="351"/>
      <c r="EO19" s="351"/>
      <c r="EP19" s="351"/>
      <c r="EQ19" s="351"/>
      <c r="ER19" s="351"/>
      <c r="ES19" s="351"/>
      <c r="ET19" s="351"/>
      <c r="EU19" s="351"/>
      <c r="EV19" s="351"/>
      <c r="EW19" s="351"/>
      <c r="EX19" s="351"/>
      <c r="EY19" s="351"/>
      <c r="EZ19" s="351"/>
      <c r="FA19" s="351"/>
      <c r="FB19" s="351"/>
      <c r="FC19" s="351"/>
      <c r="FD19" s="351"/>
      <c r="FE19" s="351"/>
      <c r="FF19" s="351"/>
    </row>
    <row r="20" spans="1:162" s="353" customFormat="1" ht="14.5" customHeight="1" x14ac:dyDescent="0.35">
      <c r="A20" s="350"/>
      <c r="B20" s="351"/>
      <c r="C20" s="647"/>
      <c r="D20" s="471" t="s">
        <v>291</v>
      </c>
      <c r="E20" s="435">
        <f>G13</f>
        <v>6.0499999999999998E-3</v>
      </c>
      <c r="F20" s="436">
        <f>G10</f>
        <v>0.13750000000000001</v>
      </c>
      <c r="G20" s="352"/>
      <c r="H20" s="352"/>
      <c r="I20" s="352"/>
      <c r="J20" s="351"/>
      <c r="K20" s="657"/>
      <c r="L20" s="471" t="s">
        <v>291</v>
      </c>
      <c r="M20" s="358">
        <f>O13</f>
        <v>4.3666699999999996E-3</v>
      </c>
      <c r="N20" s="359">
        <f>O10</f>
        <v>8.7333399999999992E-3</v>
      </c>
      <c r="O20" s="360"/>
      <c r="P20" s="360"/>
      <c r="Q20" s="360"/>
      <c r="R20" s="351"/>
      <c r="S20" s="654"/>
      <c r="T20" s="471" t="s">
        <v>292</v>
      </c>
      <c r="U20" s="358">
        <f>W13</f>
        <v>8.0946476712328783E-3</v>
      </c>
      <c r="V20" s="361">
        <f>W10</f>
        <v>0.13658157534246576</v>
      </c>
      <c r="W20" s="350"/>
      <c r="X20" s="350"/>
      <c r="Y20" s="350"/>
      <c r="Z20" s="350"/>
      <c r="AA20" s="350"/>
      <c r="AB20" s="351"/>
      <c r="AC20" s="351"/>
      <c r="AD20" s="351"/>
      <c r="AE20" s="351"/>
      <c r="AF20" s="351"/>
      <c r="AG20" s="351"/>
      <c r="AH20" s="350"/>
      <c r="AI20" s="350"/>
      <c r="AJ20" s="350"/>
      <c r="AK20" s="350"/>
      <c r="AL20" s="350"/>
      <c r="AM20" s="350"/>
      <c r="AN20" s="350"/>
      <c r="AO20" s="350"/>
      <c r="AP20" s="350"/>
      <c r="AQ20" s="350"/>
      <c r="AR20" s="350"/>
      <c r="AS20" s="350"/>
      <c r="AT20" s="350"/>
      <c r="AU20" s="350"/>
      <c r="AV20" s="350"/>
      <c r="AW20" s="350"/>
      <c r="AX20" s="350"/>
      <c r="AY20" s="350"/>
      <c r="AZ20" s="350"/>
      <c r="BA20" s="350"/>
      <c r="BB20" s="350"/>
      <c r="BC20" s="350"/>
      <c r="BD20" s="350"/>
      <c r="BE20" s="350"/>
      <c r="BF20" s="350"/>
      <c r="BG20" s="350"/>
      <c r="BH20" s="350"/>
      <c r="BI20" s="350"/>
      <c r="BJ20" s="350"/>
      <c r="BK20" s="350"/>
      <c r="BL20" s="350"/>
      <c r="BM20" s="350"/>
      <c r="BN20" s="350"/>
      <c r="BO20" s="350"/>
      <c r="BP20" s="350"/>
      <c r="BQ20" s="351"/>
      <c r="BR20" s="351"/>
      <c r="BS20" s="351"/>
      <c r="BT20" s="351"/>
      <c r="BU20" s="351"/>
      <c r="BV20" s="351"/>
      <c r="BW20" s="351"/>
      <c r="BX20" s="351"/>
      <c r="BY20" s="351"/>
      <c r="BZ20" s="351"/>
      <c r="CA20" s="351"/>
      <c r="CB20" s="351"/>
      <c r="CC20" s="351"/>
      <c r="CD20" s="351"/>
      <c r="CE20" s="351"/>
      <c r="CF20" s="351"/>
      <c r="CG20" s="351"/>
      <c r="CH20" s="351"/>
      <c r="CI20" s="351"/>
      <c r="CJ20" s="351"/>
      <c r="CK20" s="351"/>
      <c r="CL20" s="351"/>
      <c r="CM20" s="351"/>
      <c r="CN20" s="351"/>
      <c r="CO20" s="351"/>
      <c r="CP20" s="351"/>
      <c r="CQ20" s="351"/>
      <c r="CR20" s="351"/>
      <c r="CS20" s="351"/>
      <c r="CT20" s="351"/>
      <c r="CU20" s="351"/>
      <c r="CV20" s="351"/>
      <c r="CW20" s="351"/>
      <c r="CX20" s="351"/>
      <c r="CY20" s="351"/>
      <c r="CZ20" s="351"/>
      <c r="DA20" s="351"/>
      <c r="DB20" s="351"/>
      <c r="DC20" s="351"/>
      <c r="DD20" s="351"/>
      <c r="DE20" s="351"/>
      <c r="DF20" s="351"/>
      <c r="DG20" s="351"/>
      <c r="DH20" s="351"/>
      <c r="DI20" s="351"/>
      <c r="DJ20" s="351"/>
      <c r="DK20" s="351"/>
      <c r="DL20" s="351"/>
      <c r="DM20" s="351"/>
      <c r="DN20" s="351"/>
      <c r="DO20" s="351"/>
      <c r="DP20" s="351"/>
      <c r="DQ20" s="351"/>
      <c r="DR20" s="351"/>
      <c r="DS20" s="351"/>
      <c r="DT20" s="351"/>
      <c r="DU20" s="351"/>
      <c r="DV20" s="351"/>
      <c r="DW20" s="351"/>
      <c r="DX20" s="351"/>
      <c r="DY20" s="351"/>
      <c r="DZ20" s="351"/>
      <c r="EA20" s="351"/>
      <c r="EB20" s="351"/>
      <c r="EC20" s="351"/>
      <c r="ED20" s="351"/>
      <c r="EE20" s="351"/>
      <c r="EF20" s="351"/>
      <c r="EG20" s="351"/>
      <c r="EH20" s="351"/>
      <c r="EI20" s="351"/>
      <c r="EJ20" s="351"/>
      <c r="EK20" s="351"/>
      <c r="EL20" s="351"/>
      <c r="EM20" s="351"/>
      <c r="EN20" s="351"/>
      <c r="EO20" s="351"/>
      <c r="EP20" s="351"/>
      <c r="EQ20" s="351"/>
      <c r="ER20" s="351"/>
      <c r="ES20" s="351"/>
      <c r="ET20" s="351"/>
      <c r="EU20" s="351"/>
      <c r="EV20" s="351"/>
      <c r="EW20" s="351"/>
      <c r="EX20" s="351"/>
      <c r="EY20" s="351"/>
      <c r="EZ20" s="351"/>
      <c r="FA20" s="351"/>
      <c r="FB20" s="351"/>
      <c r="FC20" s="351"/>
      <c r="FD20" s="351"/>
      <c r="FE20" s="351"/>
      <c r="FF20" s="351"/>
    </row>
    <row r="21" spans="1:162" s="353" customFormat="1" ht="14.5" customHeight="1" thickBot="1" x14ac:dyDescent="0.4">
      <c r="A21" s="350"/>
      <c r="B21" s="351"/>
      <c r="C21" s="647"/>
      <c r="D21" s="471" t="s">
        <v>292</v>
      </c>
      <c r="E21" s="435">
        <f>H13</f>
        <v>4.7013698630136991E-3</v>
      </c>
      <c r="F21" s="436">
        <f>H10</f>
        <v>0.12842465753424659</v>
      </c>
      <c r="G21" s="352"/>
      <c r="H21" s="352"/>
      <c r="I21" s="352"/>
      <c r="J21" s="351"/>
      <c r="K21" s="657"/>
      <c r="L21" s="471" t="s">
        <v>292</v>
      </c>
      <c r="M21" s="358">
        <f>P13</f>
        <v>3.3932778082191783E-3</v>
      </c>
      <c r="N21" s="359">
        <f>P10</f>
        <v>8.156917808219177E-3</v>
      </c>
      <c r="O21" s="360"/>
      <c r="P21" s="360"/>
      <c r="Q21" s="360"/>
      <c r="R21" s="351"/>
      <c r="S21" s="654"/>
      <c r="T21" s="471" t="s">
        <v>293</v>
      </c>
      <c r="U21" s="358">
        <f>X13</f>
        <v>3.2171035616438358E-3</v>
      </c>
      <c r="V21" s="361">
        <f>X10</f>
        <v>7.0041833508956791E-2</v>
      </c>
      <c r="W21" s="350"/>
      <c r="X21" s="350"/>
      <c r="Y21" s="350"/>
      <c r="Z21" s="350"/>
      <c r="AA21" s="350"/>
      <c r="AB21" s="351"/>
      <c r="AC21" s="351"/>
      <c r="AD21" s="351"/>
      <c r="AE21" s="351"/>
      <c r="AF21" s="351"/>
      <c r="AG21" s="351"/>
      <c r="AH21" s="350"/>
      <c r="AI21" s="350"/>
      <c r="AJ21" s="350"/>
      <c r="AK21" s="350"/>
      <c r="AL21" s="350"/>
      <c r="AM21" s="350"/>
      <c r="AN21" s="350"/>
      <c r="AO21" s="350"/>
      <c r="AP21" s="350"/>
      <c r="AQ21" s="350"/>
      <c r="AR21" s="350"/>
      <c r="AS21" s="350"/>
      <c r="AT21" s="350"/>
      <c r="AU21" s="350"/>
      <c r="AV21" s="350"/>
      <c r="AW21" s="350"/>
      <c r="AX21" s="350"/>
      <c r="AY21" s="350"/>
      <c r="AZ21" s="350"/>
      <c r="BA21" s="350"/>
      <c r="BB21" s="350"/>
      <c r="BC21" s="350"/>
      <c r="BD21" s="350"/>
      <c r="BE21" s="350"/>
      <c r="BF21" s="350"/>
      <c r="BG21" s="350"/>
      <c r="BH21" s="350"/>
      <c r="BI21" s="350"/>
      <c r="BJ21" s="350"/>
      <c r="BK21" s="350"/>
      <c r="BL21" s="350"/>
      <c r="BM21" s="350"/>
      <c r="BN21" s="350"/>
      <c r="BO21" s="350"/>
      <c r="BP21" s="350"/>
      <c r="BQ21" s="351"/>
      <c r="BR21" s="351"/>
      <c r="BS21" s="351"/>
      <c r="BT21" s="351"/>
      <c r="BU21" s="351"/>
      <c r="BV21" s="351"/>
      <c r="BW21" s="351"/>
      <c r="BX21" s="351"/>
      <c r="BY21" s="351"/>
      <c r="BZ21" s="351"/>
      <c r="CA21" s="351"/>
      <c r="CB21" s="351"/>
      <c r="CC21" s="351"/>
      <c r="CD21" s="351"/>
      <c r="CE21" s="351"/>
      <c r="CF21" s="351"/>
      <c r="CG21" s="351"/>
      <c r="CH21" s="351"/>
      <c r="CI21" s="351"/>
      <c r="CJ21" s="351"/>
      <c r="CK21" s="351"/>
      <c r="CL21" s="351"/>
      <c r="CM21" s="351"/>
      <c r="CN21" s="351"/>
      <c r="CO21" s="351"/>
      <c r="CP21" s="351"/>
      <c r="CQ21" s="351"/>
      <c r="CR21" s="351"/>
      <c r="CS21" s="351"/>
      <c r="CT21" s="351"/>
      <c r="CU21" s="351"/>
      <c r="CV21" s="351"/>
      <c r="CW21" s="351"/>
      <c r="CX21" s="351"/>
      <c r="CY21" s="351"/>
      <c r="CZ21" s="351"/>
      <c r="DA21" s="351"/>
      <c r="DB21" s="351"/>
      <c r="DC21" s="351"/>
      <c r="DD21" s="351"/>
      <c r="DE21" s="351"/>
      <c r="DF21" s="351"/>
      <c r="DG21" s="351"/>
      <c r="DH21" s="351"/>
      <c r="DI21" s="351"/>
      <c r="DJ21" s="351"/>
      <c r="DK21" s="351"/>
      <c r="DL21" s="351"/>
      <c r="DM21" s="351"/>
      <c r="DN21" s="351"/>
      <c r="DO21" s="351"/>
      <c r="DP21" s="351"/>
      <c r="DQ21" s="351"/>
      <c r="DR21" s="351"/>
      <c r="DS21" s="351"/>
      <c r="DT21" s="351"/>
      <c r="DU21" s="351"/>
      <c r="DV21" s="351"/>
      <c r="DW21" s="351"/>
      <c r="DX21" s="351"/>
      <c r="DY21" s="351"/>
      <c r="DZ21" s="351"/>
      <c r="EA21" s="351"/>
      <c r="EB21" s="351"/>
      <c r="EC21" s="351"/>
      <c r="ED21" s="351"/>
      <c r="EE21" s="351"/>
      <c r="EF21" s="351"/>
      <c r="EG21" s="351"/>
      <c r="EH21" s="351"/>
      <c r="EI21" s="351"/>
      <c r="EJ21" s="351"/>
      <c r="EK21" s="351"/>
      <c r="EL21" s="351"/>
      <c r="EM21" s="351"/>
      <c r="EN21" s="351"/>
      <c r="EO21" s="351"/>
      <c r="EP21" s="351"/>
      <c r="EQ21" s="351"/>
      <c r="ER21" s="351"/>
      <c r="ES21" s="351"/>
      <c r="ET21" s="351"/>
      <c r="EU21" s="351"/>
      <c r="EV21" s="351"/>
      <c r="EW21" s="351"/>
      <c r="EX21" s="351"/>
      <c r="EY21" s="351"/>
      <c r="EZ21" s="351"/>
      <c r="FA21" s="351"/>
      <c r="FB21" s="351"/>
      <c r="FC21" s="351"/>
      <c r="FD21" s="351"/>
      <c r="FE21" s="351"/>
      <c r="FF21" s="351"/>
    </row>
    <row r="22" spans="1:162" s="353" customFormat="1" ht="14.15" customHeight="1" thickBot="1" x14ac:dyDescent="0.4">
      <c r="A22" s="350"/>
      <c r="B22" s="351"/>
      <c r="C22" s="648"/>
      <c r="D22" s="471" t="s">
        <v>293</v>
      </c>
      <c r="E22" s="435">
        <f>I13</f>
        <v>1.8684931506849317E-3</v>
      </c>
      <c r="F22" s="436">
        <f>I10</f>
        <v>6.5858798735511065E-2</v>
      </c>
      <c r="G22" s="352"/>
      <c r="H22" s="352"/>
      <c r="I22" s="352"/>
      <c r="J22" s="351"/>
      <c r="K22" s="658"/>
      <c r="L22" s="471" t="s">
        <v>293</v>
      </c>
      <c r="M22" s="358">
        <f>Q13</f>
        <v>1.3486104109589041E-3</v>
      </c>
      <c r="N22" s="359">
        <f>Q10</f>
        <v>4.1830347734457315E-3</v>
      </c>
      <c r="O22" s="360"/>
      <c r="P22" s="360"/>
      <c r="Q22" s="360"/>
      <c r="R22" s="351"/>
      <c r="S22" s="654" t="s">
        <v>74</v>
      </c>
      <c r="T22" s="471" t="s">
        <v>290</v>
      </c>
      <c r="U22" s="358">
        <f>U14</f>
        <v>1.4585637819271984E-2</v>
      </c>
      <c r="V22" s="361">
        <f>U11</f>
        <v>0.21805632914216835</v>
      </c>
      <c r="W22" s="350"/>
      <c r="X22" s="350"/>
      <c r="Y22" s="350"/>
      <c r="Z22" s="350"/>
      <c r="AA22" s="350"/>
      <c r="AB22" s="351"/>
      <c r="AC22" s="351"/>
      <c r="AD22" s="351"/>
      <c r="AE22" s="351"/>
      <c r="AF22" s="351"/>
      <c r="AG22" s="351"/>
      <c r="AH22" s="350"/>
      <c r="AI22" s="350"/>
      <c r="AJ22" s="350"/>
      <c r="AK22" s="350"/>
      <c r="AL22" s="350"/>
      <c r="AM22" s="350"/>
      <c r="AN22" s="350"/>
      <c r="AO22" s="350"/>
      <c r="AP22" s="350"/>
      <c r="AQ22" s="350"/>
      <c r="AR22" s="350"/>
      <c r="AS22" s="350"/>
      <c r="AT22" s="350"/>
      <c r="AU22" s="350"/>
      <c r="AV22" s="350"/>
      <c r="AW22" s="350"/>
      <c r="AX22" s="350"/>
      <c r="AY22" s="350"/>
      <c r="AZ22" s="350"/>
      <c r="BA22" s="350"/>
      <c r="BB22" s="350"/>
      <c r="BC22" s="350"/>
      <c r="BD22" s="350"/>
      <c r="BE22" s="350"/>
      <c r="BF22" s="350"/>
      <c r="BG22" s="350"/>
      <c r="BH22" s="350"/>
      <c r="BI22" s="350"/>
      <c r="BJ22" s="350"/>
      <c r="BK22" s="350"/>
      <c r="BL22" s="350"/>
      <c r="BM22" s="350"/>
      <c r="BN22" s="350"/>
      <c r="BO22" s="350"/>
      <c r="BP22" s="350"/>
      <c r="BQ22" s="351"/>
      <c r="BR22" s="351"/>
      <c r="BS22" s="351"/>
      <c r="BT22" s="351"/>
      <c r="BU22" s="351"/>
      <c r="BV22" s="351"/>
      <c r="BW22" s="351"/>
      <c r="BX22" s="351"/>
      <c r="BY22" s="351"/>
      <c r="BZ22" s="351"/>
      <c r="CA22" s="351"/>
      <c r="CB22" s="351"/>
      <c r="CC22" s="351"/>
      <c r="CD22" s="351"/>
      <c r="CE22" s="351"/>
      <c r="CF22" s="351"/>
      <c r="CG22" s="351"/>
      <c r="CH22" s="351"/>
      <c r="CI22" s="351"/>
      <c r="CJ22" s="351"/>
      <c r="CK22" s="351"/>
      <c r="CL22" s="351"/>
      <c r="CM22" s="351"/>
      <c r="CN22" s="351"/>
      <c r="CO22" s="351"/>
      <c r="CP22" s="351"/>
      <c r="CQ22" s="351"/>
      <c r="CR22" s="351"/>
      <c r="CS22" s="351"/>
      <c r="CT22" s="351"/>
      <c r="CU22" s="351"/>
      <c r="CV22" s="351"/>
      <c r="CW22" s="351"/>
      <c r="CX22" s="351"/>
      <c r="CY22" s="351"/>
      <c r="CZ22" s="351"/>
      <c r="DA22" s="351"/>
      <c r="DB22" s="351"/>
      <c r="DC22" s="351"/>
      <c r="DD22" s="351"/>
      <c r="DE22" s="351"/>
      <c r="DF22" s="351"/>
      <c r="DG22" s="351"/>
      <c r="DH22" s="351"/>
      <c r="DI22" s="351"/>
      <c r="DJ22" s="351"/>
      <c r="DK22" s="351"/>
      <c r="DL22" s="351"/>
      <c r="DM22" s="351"/>
      <c r="DN22" s="351"/>
      <c r="DO22" s="351"/>
      <c r="DP22" s="351"/>
      <c r="DQ22" s="351"/>
      <c r="DR22" s="351"/>
      <c r="DS22" s="351"/>
      <c r="DT22" s="351"/>
      <c r="DU22" s="351"/>
      <c r="DV22" s="351"/>
      <c r="DW22" s="351"/>
      <c r="DX22" s="351"/>
      <c r="DY22" s="351"/>
      <c r="DZ22" s="351"/>
      <c r="EA22" s="351"/>
      <c r="EB22" s="351"/>
      <c r="EC22" s="351"/>
      <c r="ED22" s="351"/>
      <c r="EE22" s="351"/>
      <c r="EF22" s="351"/>
      <c r="EG22" s="351"/>
      <c r="EH22" s="351"/>
      <c r="EI22" s="351"/>
      <c r="EJ22" s="351"/>
      <c r="EK22" s="351"/>
      <c r="EL22" s="351"/>
      <c r="EM22" s="351"/>
      <c r="EN22" s="351"/>
      <c r="EO22" s="351"/>
      <c r="EP22" s="351"/>
      <c r="EQ22" s="351"/>
      <c r="ER22" s="351"/>
      <c r="ES22" s="351"/>
      <c r="ET22" s="351"/>
      <c r="EU22" s="351"/>
      <c r="EV22" s="351"/>
      <c r="EW22" s="351"/>
      <c r="EX22" s="351"/>
      <c r="EY22" s="351"/>
      <c r="EZ22" s="351"/>
      <c r="FA22" s="351"/>
      <c r="FB22" s="351"/>
      <c r="FC22" s="351"/>
      <c r="FD22" s="351"/>
      <c r="FE22" s="351"/>
      <c r="FF22" s="351"/>
    </row>
    <row r="23" spans="1:162" s="353" customFormat="1" ht="14.15" customHeight="1" x14ac:dyDescent="0.35">
      <c r="A23" s="350"/>
      <c r="B23" s="351"/>
      <c r="C23" s="649" t="s">
        <v>74</v>
      </c>
      <c r="D23" s="400" t="s">
        <v>288</v>
      </c>
      <c r="E23" s="361">
        <f>E14</f>
        <v>6.6000000000000003E-2</v>
      </c>
      <c r="F23" s="434">
        <f>E11</f>
        <v>1.5</v>
      </c>
      <c r="G23" s="352"/>
      <c r="H23" s="352"/>
      <c r="I23" s="352"/>
      <c r="J23" s="351"/>
      <c r="K23" s="659" t="s">
        <v>74</v>
      </c>
      <c r="L23" s="471" t="s">
        <v>289</v>
      </c>
      <c r="M23" s="361">
        <f>M14</f>
        <v>0.39636481906077353</v>
      </c>
      <c r="N23" s="362">
        <f>M11</f>
        <v>0.79272963812154706</v>
      </c>
      <c r="O23" s="360"/>
      <c r="P23" s="360"/>
      <c r="Q23" s="360"/>
      <c r="R23" s="351"/>
      <c r="S23" s="654"/>
      <c r="T23" s="471" t="s">
        <v>291</v>
      </c>
      <c r="U23" s="358">
        <f>V14</f>
        <v>1.0696134400799456E-2</v>
      </c>
      <c r="V23" s="361">
        <f>V11</f>
        <v>0.15990797470425683</v>
      </c>
      <c r="W23" s="350"/>
      <c r="X23" s="350"/>
      <c r="Y23" s="350"/>
      <c r="Z23" s="350"/>
      <c r="AA23" s="350"/>
      <c r="AB23" s="351"/>
      <c r="AC23" s="351"/>
      <c r="AD23" s="351"/>
      <c r="AE23" s="351"/>
      <c r="AF23" s="351"/>
      <c r="AG23" s="351"/>
      <c r="AH23" s="350"/>
      <c r="AI23" s="350"/>
      <c r="AJ23" s="350"/>
      <c r="AK23" s="350"/>
      <c r="AL23" s="350"/>
      <c r="AM23" s="350"/>
      <c r="AN23" s="350"/>
      <c r="AO23" s="350"/>
      <c r="AP23" s="350"/>
      <c r="AQ23" s="350"/>
      <c r="AR23" s="350"/>
      <c r="AS23" s="350"/>
      <c r="AT23" s="350"/>
      <c r="AU23" s="350"/>
      <c r="AV23" s="350"/>
      <c r="AW23" s="350"/>
      <c r="AX23" s="350"/>
      <c r="AY23" s="350"/>
      <c r="AZ23" s="350"/>
      <c r="BA23" s="350"/>
      <c r="BB23" s="350"/>
      <c r="BC23" s="350"/>
      <c r="BD23" s="350"/>
      <c r="BE23" s="350"/>
      <c r="BF23" s="350"/>
      <c r="BG23" s="350"/>
      <c r="BH23" s="350"/>
      <c r="BI23" s="350"/>
      <c r="BJ23" s="350"/>
      <c r="BK23" s="350"/>
      <c r="BL23" s="350"/>
      <c r="BM23" s="350"/>
      <c r="BN23" s="350"/>
      <c r="BO23" s="350"/>
      <c r="BP23" s="350"/>
      <c r="BQ23" s="351"/>
      <c r="BR23" s="351"/>
      <c r="BS23" s="351"/>
      <c r="BT23" s="351"/>
      <c r="BU23" s="351"/>
      <c r="BV23" s="351"/>
      <c r="BW23" s="351"/>
      <c r="BX23" s="351"/>
      <c r="BY23" s="351"/>
      <c r="BZ23" s="351"/>
      <c r="CA23" s="351"/>
      <c r="CB23" s="351"/>
      <c r="CC23" s="351"/>
      <c r="CD23" s="351"/>
      <c r="CE23" s="351"/>
      <c r="CF23" s="351"/>
      <c r="CG23" s="351"/>
      <c r="CH23" s="351"/>
      <c r="CI23" s="351"/>
      <c r="CJ23" s="351"/>
      <c r="CK23" s="351"/>
      <c r="CL23" s="351"/>
      <c r="CM23" s="351"/>
      <c r="CN23" s="351"/>
      <c r="CO23" s="351"/>
      <c r="CP23" s="351"/>
      <c r="CQ23" s="351"/>
      <c r="CR23" s="351"/>
      <c r="CS23" s="351"/>
      <c r="CT23" s="351"/>
      <c r="CU23" s="351"/>
      <c r="CV23" s="351"/>
      <c r="CW23" s="351"/>
      <c r="CX23" s="351"/>
      <c r="CY23" s="351"/>
      <c r="CZ23" s="351"/>
      <c r="DA23" s="351"/>
      <c r="DB23" s="351"/>
      <c r="DC23" s="351"/>
      <c r="DD23" s="351"/>
      <c r="DE23" s="351"/>
      <c r="DF23" s="351"/>
      <c r="DG23" s="351"/>
      <c r="DH23" s="351"/>
      <c r="DI23" s="351"/>
      <c r="DJ23" s="351"/>
      <c r="DK23" s="351"/>
      <c r="DL23" s="351"/>
      <c r="DM23" s="351"/>
      <c r="DN23" s="351"/>
      <c r="DO23" s="351"/>
      <c r="DP23" s="351"/>
      <c r="DQ23" s="351"/>
      <c r="DR23" s="351"/>
      <c r="DS23" s="351"/>
      <c r="DT23" s="351"/>
      <c r="DU23" s="351"/>
      <c r="DV23" s="351"/>
      <c r="DW23" s="351"/>
      <c r="DX23" s="351"/>
      <c r="DY23" s="351"/>
      <c r="DZ23" s="351"/>
      <c r="EA23" s="351"/>
      <c r="EB23" s="351"/>
      <c r="EC23" s="351"/>
      <c r="ED23" s="351"/>
      <c r="EE23" s="351"/>
      <c r="EF23" s="351"/>
      <c r="EG23" s="351"/>
      <c r="EH23" s="351"/>
      <c r="EI23" s="351"/>
      <c r="EJ23" s="351"/>
      <c r="EK23" s="351"/>
      <c r="EL23" s="351"/>
      <c r="EM23" s="351"/>
      <c r="EN23" s="351"/>
      <c r="EO23" s="351"/>
      <c r="EP23" s="351"/>
      <c r="EQ23" s="351"/>
      <c r="ER23" s="351"/>
      <c r="ES23" s="351"/>
      <c r="ET23" s="351"/>
      <c r="EU23" s="351"/>
      <c r="EV23" s="351"/>
      <c r="EW23" s="351"/>
      <c r="EX23" s="351"/>
      <c r="EY23" s="351"/>
      <c r="EZ23" s="351"/>
      <c r="FA23" s="351"/>
      <c r="FB23" s="351"/>
      <c r="FC23" s="351"/>
      <c r="FD23" s="351"/>
      <c r="FE23" s="351"/>
      <c r="FF23" s="351"/>
    </row>
    <row r="24" spans="1:162" s="353" customFormat="1" ht="14.15" customHeight="1" x14ac:dyDescent="0.35">
      <c r="A24" s="350"/>
      <c r="B24" s="351"/>
      <c r="C24" s="647"/>
      <c r="D24" s="471" t="s">
        <v>290</v>
      </c>
      <c r="E24" s="435">
        <f>F14</f>
        <v>9.1128753883327578E-3</v>
      </c>
      <c r="F24" s="434">
        <f>F11</f>
        <v>0.20711080428028991</v>
      </c>
      <c r="G24" s="352"/>
      <c r="H24" s="352"/>
      <c r="I24" s="352"/>
      <c r="J24" s="351"/>
      <c r="K24" s="657"/>
      <c r="L24" s="471" t="s">
        <v>290</v>
      </c>
      <c r="M24" s="358">
        <f>N14</f>
        <v>5.4727624309392261E-3</v>
      </c>
      <c r="N24" s="359">
        <f>N11</f>
        <v>1.0945524861878452E-2</v>
      </c>
      <c r="O24" s="360"/>
      <c r="P24" s="360"/>
      <c r="Q24" s="360"/>
      <c r="R24" s="351"/>
      <c r="S24" s="654"/>
      <c r="T24" s="471" t="s">
        <v>292</v>
      </c>
      <c r="U24" s="358">
        <f>W14</f>
        <v>8.3118155244070492E-3</v>
      </c>
      <c r="V24" s="361">
        <f>W11</f>
        <v>0.14935365009737558</v>
      </c>
      <c r="W24" s="350"/>
      <c r="X24" s="350"/>
      <c r="Y24" s="350"/>
      <c r="Z24" s="350"/>
      <c r="AA24" s="350"/>
      <c r="AB24" s="351"/>
      <c r="AC24" s="351"/>
      <c r="AD24" s="351"/>
      <c r="AE24" s="351"/>
      <c r="AF24" s="351"/>
      <c r="AG24" s="351"/>
      <c r="AH24" s="350"/>
      <c r="AI24" s="350"/>
      <c r="AJ24" s="350"/>
      <c r="AK24" s="350"/>
      <c r="AL24" s="350"/>
      <c r="AM24" s="350"/>
      <c r="AN24" s="350"/>
      <c r="AO24" s="350"/>
      <c r="AP24" s="350"/>
      <c r="AQ24" s="350"/>
      <c r="AR24" s="350"/>
      <c r="AS24" s="350"/>
      <c r="AT24" s="350"/>
      <c r="AU24" s="350"/>
      <c r="AV24" s="350"/>
      <c r="AW24" s="350"/>
      <c r="AX24" s="350"/>
      <c r="AY24" s="350"/>
      <c r="AZ24" s="350"/>
      <c r="BA24" s="350"/>
      <c r="BB24" s="350"/>
      <c r="BC24" s="350"/>
      <c r="BD24" s="350"/>
      <c r="BE24" s="350"/>
      <c r="BF24" s="350"/>
      <c r="BG24" s="350"/>
      <c r="BH24" s="350"/>
      <c r="BI24" s="350"/>
      <c r="BJ24" s="350"/>
      <c r="BK24" s="350"/>
      <c r="BL24" s="350"/>
      <c r="BM24" s="350"/>
      <c r="BN24" s="350"/>
      <c r="BO24" s="350"/>
      <c r="BP24" s="350"/>
      <c r="BQ24" s="351"/>
      <c r="BR24" s="351"/>
      <c r="BS24" s="351"/>
      <c r="BT24" s="351"/>
      <c r="BU24" s="351"/>
      <c r="BV24" s="351"/>
      <c r="BW24" s="351"/>
      <c r="BX24" s="351"/>
      <c r="BY24" s="351"/>
      <c r="BZ24" s="351"/>
      <c r="CA24" s="351"/>
      <c r="CB24" s="351"/>
      <c r="CC24" s="351"/>
      <c r="CD24" s="351"/>
      <c r="CE24" s="351"/>
      <c r="CF24" s="351"/>
      <c r="CG24" s="351"/>
      <c r="CH24" s="351"/>
      <c r="CI24" s="351"/>
      <c r="CJ24" s="351"/>
      <c r="CK24" s="351"/>
      <c r="CL24" s="351"/>
      <c r="CM24" s="351"/>
      <c r="CN24" s="351"/>
      <c r="CO24" s="351"/>
      <c r="CP24" s="351"/>
      <c r="CQ24" s="351"/>
      <c r="CR24" s="351"/>
      <c r="CS24" s="351"/>
      <c r="CT24" s="351"/>
      <c r="CU24" s="351"/>
      <c r="CV24" s="351"/>
      <c r="CW24" s="351"/>
      <c r="CX24" s="351"/>
      <c r="CY24" s="351"/>
      <c r="CZ24" s="351"/>
      <c r="DA24" s="351"/>
      <c r="DB24" s="351"/>
      <c r="DC24" s="351"/>
      <c r="DD24" s="351"/>
      <c r="DE24" s="351"/>
      <c r="DF24" s="351"/>
      <c r="DG24" s="351"/>
      <c r="DH24" s="351"/>
      <c r="DI24" s="351"/>
      <c r="DJ24" s="351"/>
      <c r="DK24" s="351"/>
      <c r="DL24" s="351"/>
      <c r="DM24" s="351"/>
      <c r="DN24" s="351"/>
      <c r="DO24" s="351"/>
      <c r="DP24" s="351"/>
      <c r="DQ24" s="351"/>
      <c r="DR24" s="351"/>
      <c r="DS24" s="351"/>
      <c r="DT24" s="351"/>
      <c r="DU24" s="351"/>
      <c r="DV24" s="351"/>
      <c r="DW24" s="351"/>
      <c r="DX24" s="351"/>
      <c r="DY24" s="351"/>
      <c r="DZ24" s="351"/>
      <c r="EA24" s="351"/>
      <c r="EB24" s="351"/>
      <c r="EC24" s="351"/>
      <c r="ED24" s="351"/>
      <c r="EE24" s="351"/>
      <c r="EF24" s="351"/>
      <c r="EG24" s="351"/>
      <c r="EH24" s="351"/>
      <c r="EI24" s="351"/>
      <c r="EJ24" s="351"/>
      <c r="EK24" s="351"/>
      <c r="EL24" s="351"/>
      <c r="EM24" s="351"/>
      <c r="EN24" s="351"/>
      <c r="EO24" s="351"/>
      <c r="EP24" s="351"/>
      <c r="EQ24" s="351"/>
      <c r="ER24" s="351"/>
      <c r="ES24" s="351"/>
      <c r="ET24" s="351"/>
      <c r="EU24" s="351"/>
      <c r="EV24" s="351"/>
      <c r="EW24" s="351"/>
      <c r="EX24" s="351"/>
      <c r="EY24" s="351"/>
      <c r="EZ24" s="351"/>
      <c r="FA24" s="351"/>
      <c r="FB24" s="351"/>
      <c r="FC24" s="351"/>
      <c r="FD24" s="351"/>
      <c r="FE24" s="351"/>
      <c r="FF24" s="351"/>
    </row>
    <row r="25" spans="1:162" s="353" customFormat="1" ht="14.15" customHeight="1" x14ac:dyDescent="0.35">
      <c r="A25" s="350"/>
      <c r="B25" s="351"/>
      <c r="C25" s="647"/>
      <c r="D25" s="471" t="s">
        <v>291</v>
      </c>
      <c r="E25" s="435">
        <f>G14</f>
        <v>6.6827752847773555E-3</v>
      </c>
      <c r="F25" s="436">
        <f>G11</f>
        <v>0.15188125647221262</v>
      </c>
      <c r="G25" s="352"/>
      <c r="H25" s="352"/>
      <c r="I25" s="352"/>
      <c r="J25" s="351"/>
      <c r="K25" s="657"/>
      <c r="L25" s="471" t="s">
        <v>291</v>
      </c>
      <c r="M25" s="358">
        <f>O14</f>
        <v>4.0133591160220992E-3</v>
      </c>
      <c r="N25" s="359">
        <f>O11</f>
        <v>8.0267182320441985E-3</v>
      </c>
      <c r="O25" s="360"/>
      <c r="P25" s="360"/>
      <c r="Q25" s="360"/>
      <c r="R25" s="351"/>
      <c r="S25" s="654"/>
      <c r="T25" s="471" t="s">
        <v>293</v>
      </c>
      <c r="U25" s="358">
        <f>X14</f>
        <v>3.3034138622643396E-3</v>
      </c>
      <c r="V25" s="361">
        <f>X11</f>
        <v>7.6591615434551577E-2</v>
      </c>
      <c r="W25" s="350"/>
      <c r="X25" s="350"/>
      <c r="Y25" s="350"/>
      <c r="Z25" s="350"/>
      <c r="AA25" s="350"/>
      <c r="AB25" s="351"/>
      <c r="AC25" s="351"/>
      <c r="AD25" s="351"/>
      <c r="AE25" s="351"/>
      <c r="AF25" s="351"/>
      <c r="AG25" s="351"/>
      <c r="AH25" s="350"/>
      <c r="AI25" s="350"/>
      <c r="AJ25" s="350"/>
      <c r="AK25" s="350"/>
      <c r="AL25" s="350"/>
      <c r="AM25" s="350"/>
      <c r="AN25" s="350"/>
      <c r="AO25" s="350"/>
      <c r="AP25" s="350"/>
      <c r="AQ25" s="350"/>
      <c r="AR25" s="350"/>
      <c r="AS25" s="350"/>
      <c r="AT25" s="350"/>
      <c r="AU25" s="350"/>
      <c r="AV25" s="350"/>
      <c r="AW25" s="350"/>
      <c r="AX25" s="350"/>
      <c r="AY25" s="350"/>
      <c r="AZ25" s="350"/>
      <c r="BA25" s="350"/>
      <c r="BB25" s="350"/>
      <c r="BC25" s="350"/>
      <c r="BD25" s="350"/>
      <c r="BE25" s="350"/>
      <c r="BF25" s="350"/>
      <c r="BG25" s="350"/>
      <c r="BH25" s="350"/>
      <c r="BI25" s="350"/>
      <c r="BJ25" s="350"/>
      <c r="BK25" s="350"/>
      <c r="BL25" s="350"/>
      <c r="BM25" s="350"/>
      <c r="BN25" s="350"/>
      <c r="BO25" s="350"/>
      <c r="BP25" s="350"/>
      <c r="BQ25" s="351"/>
      <c r="BR25" s="351"/>
      <c r="BS25" s="351"/>
      <c r="BT25" s="351"/>
      <c r="BU25" s="351"/>
      <c r="BV25" s="351"/>
      <c r="BW25" s="351"/>
      <c r="BX25" s="351"/>
      <c r="BY25" s="351"/>
      <c r="BZ25" s="351"/>
      <c r="CA25" s="351"/>
      <c r="CB25" s="351"/>
      <c r="CC25" s="351"/>
      <c r="CD25" s="351"/>
      <c r="CE25" s="351"/>
      <c r="CF25" s="351"/>
      <c r="CG25" s="351"/>
      <c r="CH25" s="351"/>
      <c r="CI25" s="351"/>
      <c r="CJ25" s="351"/>
      <c r="CK25" s="351"/>
      <c r="CL25" s="351"/>
      <c r="CM25" s="351"/>
      <c r="CN25" s="351"/>
      <c r="CO25" s="351"/>
      <c r="CP25" s="351"/>
      <c r="CQ25" s="351"/>
      <c r="CR25" s="351"/>
      <c r="CS25" s="351"/>
      <c r="CT25" s="351"/>
      <c r="CU25" s="351"/>
      <c r="CV25" s="351"/>
      <c r="CW25" s="351"/>
      <c r="CX25" s="351"/>
      <c r="CY25" s="351"/>
      <c r="CZ25" s="351"/>
      <c r="DA25" s="351"/>
      <c r="DB25" s="351"/>
      <c r="DC25" s="351"/>
      <c r="DD25" s="351"/>
      <c r="DE25" s="351"/>
      <c r="DF25" s="351"/>
      <c r="DG25" s="351"/>
      <c r="DH25" s="351"/>
      <c r="DI25" s="351"/>
      <c r="DJ25" s="351"/>
      <c r="DK25" s="351"/>
      <c r="DL25" s="351"/>
      <c r="DM25" s="351"/>
      <c r="DN25" s="351"/>
      <c r="DO25" s="351"/>
      <c r="DP25" s="351"/>
      <c r="DQ25" s="351"/>
      <c r="DR25" s="351"/>
      <c r="DS25" s="351"/>
      <c r="DT25" s="351"/>
      <c r="DU25" s="351"/>
      <c r="DV25" s="351"/>
      <c r="DW25" s="351"/>
      <c r="DX25" s="351"/>
      <c r="DY25" s="351"/>
      <c r="DZ25" s="351"/>
      <c r="EA25" s="351"/>
      <c r="EB25" s="351"/>
      <c r="EC25" s="351"/>
      <c r="ED25" s="351"/>
      <c r="EE25" s="351"/>
      <c r="EF25" s="351"/>
      <c r="EG25" s="351"/>
      <c r="EH25" s="351"/>
      <c r="EI25" s="351"/>
      <c r="EJ25" s="351"/>
      <c r="EK25" s="351"/>
      <c r="EL25" s="351"/>
      <c r="EM25" s="351"/>
      <c r="EN25" s="351"/>
      <c r="EO25" s="351"/>
      <c r="EP25" s="351"/>
      <c r="EQ25" s="351"/>
      <c r="ER25" s="351"/>
      <c r="ES25" s="351"/>
      <c r="ET25" s="351"/>
      <c r="EU25" s="351"/>
      <c r="EV25" s="351"/>
      <c r="EW25" s="351"/>
      <c r="EX25" s="351"/>
      <c r="EY25" s="351"/>
      <c r="EZ25" s="351"/>
      <c r="FA25" s="351"/>
      <c r="FB25" s="351"/>
      <c r="FC25" s="351"/>
      <c r="FD25" s="351"/>
      <c r="FE25" s="351"/>
      <c r="FF25" s="351"/>
    </row>
    <row r="26" spans="1:162" s="353" customFormat="1" ht="14.15" customHeight="1" thickBot="1" x14ac:dyDescent="0.4">
      <c r="A26" s="350"/>
      <c r="B26" s="351"/>
      <c r="C26" s="647"/>
      <c r="D26" s="471" t="s">
        <v>292</v>
      </c>
      <c r="E26" s="435">
        <f>H14</f>
        <v>5.19309063225538E-3</v>
      </c>
      <c r="F26" s="436">
        <f>H11</f>
        <v>0.14185671526047253</v>
      </c>
      <c r="G26" s="352"/>
      <c r="H26" s="352"/>
      <c r="I26" s="352"/>
      <c r="J26" s="351"/>
      <c r="K26" s="657"/>
      <c r="L26" s="471" t="s">
        <v>292</v>
      </c>
      <c r="M26" s="358">
        <f>P14</f>
        <v>3.1187248921516687E-3</v>
      </c>
      <c r="N26" s="359">
        <f>P11</f>
        <v>7.4969348369030497E-3</v>
      </c>
      <c r="O26" s="360"/>
      <c r="P26" s="360"/>
      <c r="Q26" s="360"/>
      <c r="R26" s="351"/>
      <c r="S26" s="654" t="s">
        <v>94</v>
      </c>
      <c r="T26" s="471" t="s">
        <v>290</v>
      </c>
      <c r="U26" s="358">
        <f>U15</f>
        <v>1.1232840000000001E-2</v>
      </c>
      <c r="V26" s="358">
        <f>U12</f>
        <v>1.1232840000000001E-2</v>
      </c>
      <c r="W26" s="350"/>
      <c r="X26" s="350"/>
      <c r="Y26" s="350"/>
      <c r="Z26" s="350"/>
      <c r="AA26" s="350"/>
      <c r="AB26" s="351"/>
      <c r="AC26" s="351"/>
      <c r="AD26" s="351"/>
      <c r="AE26" s="351"/>
      <c r="AF26" s="351"/>
      <c r="AG26" s="351"/>
      <c r="AH26" s="350"/>
      <c r="AI26" s="350"/>
      <c r="AJ26" s="350"/>
      <c r="AK26" s="350"/>
      <c r="AL26" s="350"/>
      <c r="AM26" s="350"/>
      <c r="AN26" s="350"/>
      <c r="AO26" s="350"/>
      <c r="AP26" s="350"/>
      <c r="AQ26" s="350"/>
      <c r="AR26" s="350"/>
      <c r="AS26" s="350"/>
      <c r="AT26" s="350"/>
      <c r="AU26" s="350"/>
      <c r="AV26" s="350"/>
      <c r="AW26" s="350"/>
      <c r="AX26" s="350"/>
      <c r="AY26" s="350"/>
      <c r="AZ26" s="350"/>
      <c r="BA26" s="350"/>
      <c r="BB26" s="350"/>
      <c r="BC26" s="350"/>
      <c r="BD26" s="350"/>
      <c r="BE26" s="350"/>
      <c r="BF26" s="350"/>
      <c r="BG26" s="350"/>
      <c r="BH26" s="350"/>
      <c r="BI26" s="350"/>
      <c r="BJ26" s="350"/>
      <c r="BK26" s="350"/>
      <c r="BL26" s="350"/>
      <c r="BM26" s="350"/>
      <c r="BN26" s="350"/>
      <c r="BO26" s="350"/>
      <c r="BP26" s="350"/>
      <c r="BQ26" s="351"/>
      <c r="BR26" s="351"/>
      <c r="BS26" s="351"/>
      <c r="BT26" s="351"/>
      <c r="BU26" s="351"/>
      <c r="BV26" s="351"/>
      <c r="BW26" s="351"/>
      <c r="BX26" s="351"/>
      <c r="BY26" s="351"/>
      <c r="BZ26" s="351"/>
      <c r="CA26" s="351"/>
      <c r="CB26" s="351"/>
      <c r="CC26" s="351"/>
      <c r="CD26" s="351"/>
      <c r="CE26" s="351"/>
      <c r="CF26" s="351"/>
      <c r="CG26" s="351"/>
      <c r="CH26" s="351"/>
      <c r="CI26" s="351"/>
      <c r="CJ26" s="351"/>
      <c r="CK26" s="351"/>
      <c r="CL26" s="351"/>
      <c r="CM26" s="351"/>
      <c r="CN26" s="351"/>
      <c r="CO26" s="351"/>
      <c r="CP26" s="351"/>
      <c r="CQ26" s="351"/>
      <c r="CR26" s="351"/>
      <c r="CS26" s="351"/>
      <c r="CT26" s="351"/>
      <c r="CU26" s="351"/>
      <c r="CV26" s="351"/>
      <c r="CW26" s="351"/>
      <c r="CX26" s="351"/>
      <c r="CY26" s="351"/>
      <c r="CZ26" s="351"/>
      <c r="DA26" s="351"/>
      <c r="DB26" s="351"/>
      <c r="DC26" s="351"/>
      <c r="DD26" s="351"/>
      <c r="DE26" s="351"/>
      <c r="DF26" s="351"/>
      <c r="DG26" s="351"/>
      <c r="DH26" s="351"/>
      <c r="DI26" s="351"/>
      <c r="DJ26" s="351"/>
      <c r="DK26" s="351"/>
      <c r="DL26" s="351"/>
      <c r="DM26" s="351"/>
      <c r="DN26" s="351"/>
      <c r="DO26" s="351"/>
      <c r="DP26" s="351"/>
      <c r="DQ26" s="351"/>
      <c r="DR26" s="351"/>
      <c r="DS26" s="351"/>
      <c r="DT26" s="351"/>
      <c r="DU26" s="351"/>
      <c r="DV26" s="351"/>
      <c r="DW26" s="351"/>
      <c r="DX26" s="351"/>
      <c r="DY26" s="351"/>
      <c r="DZ26" s="351"/>
      <c r="EA26" s="351"/>
      <c r="EB26" s="351"/>
      <c r="EC26" s="351"/>
      <c r="ED26" s="351"/>
      <c r="EE26" s="351"/>
      <c r="EF26" s="351"/>
      <c r="EG26" s="351"/>
      <c r="EH26" s="351"/>
      <c r="EI26" s="351"/>
      <c r="EJ26" s="351"/>
      <c r="EK26" s="351"/>
      <c r="EL26" s="351"/>
      <c r="EM26" s="351"/>
      <c r="EN26" s="351"/>
      <c r="EO26" s="351"/>
      <c r="EP26" s="351"/>
      <c r="EQ26" s="351"/>
      <c r="ER26" s="351"/>
      <c r="ES26" s="351"/>
      <c r="ET26" s="351"/>
      <c r="EU26" s="351"/>
      <c r="EV26" s="351"/>
      <c r="EW26" s="351"/>
      <c r="EX26" s="351"/>
      <c r="EY26" s="351"/>
      <c r="EZ26" s="351"/>
      <c r="FA26" s="351"/>
      <c r="FB26" s="351"/>
      <c r="FC26" s="351"/>
      <c r="FD26" s="351"/>
      <c r="FE26" s="351"/>
      <c r="FF26" s="351"/>
    </row>
    <row r="27" spans="1:162" s="353" customFormat="1" ht="14.15" customHeight="1" thickBot="1" x14ac:dyDescent="0.4">
      <c r="A27" s="350"/>
      <c r="B27" s="351"/>
      <c r="C27" s="648"/>
      <c r="D27" s="471" t="s">
        <v>293</v>
      </c>
      <c r="E27" s="435">
        <f>I14</f>
        <v>2.0639206358963689E-3</v>
      </c>
      <c r="F27" s="436">
        <f>I11</f>
        <v>7.2747033466908986E-2</v>
      </c>
      <c r="G27" s="352"/>
      <c r="H27" s="352"/>
      <c r="I27" s="352"/>
      <c r="J27" s="351"/>
      <c r="K27" s="658"/>
      <c r="L27" s="471" t="s">
        <v>293</v>
      </c>
      <c r="M27" s="358">
        <f>Q14</f>
        <v>1.239493226367971E-3</v>
      </c>
      <c r="N27" s="359">
        <f>Q11</f>
        <v>3.8445819676425894E-3</v>
      </c>
      <c r="O27" s="360"/>
      <c r="P27" s="360"/>
      <c r="Q27" s="360"/>
      <c r="R27" s="351"/>
      <c r="S27" s="654"/>
      <c r="T27" s="471" t="s">
        <v>291</v>
      </c>
      <c r="U27" s="358">
        <f>V15</f>
        <v>8.2374159999999991E-3</v>
      </c>
      <c r="V27" s="358">
        <f>V12</f>
        <v>8.2374159999999991E-3</v>
      </c>
      <c r="W27" s="350"/>
      <c r="X27" s="350"/>
      <c r="Y27" s="350"/>
      <c r="Z27" s="350"/>
      <c r="AA27" s="350"/>
      <c r="AB27" s="351"/>
      <c r="AC27" s="351"/>
      <c r="AD27" s="351"/>
      <c r="AE27" s="351"/>
      <c r="AF27" s="351"/>
      <c r="AG27" s="351"/>
      <c r="AH27" s="350"/>
      <c r="AI27" s="350"/>
      <c r="AJ27" s="350"/>
      <c r="AK27" s="350"/>
      <c r="AL27" s="350"/>
      <c r="AM27" s="350"/>
      <c r="AN27" s="350"/>
      <c r="AO27" s="350"/>
      <c r="AP27" s="350"/>
      <c r="AQ27" s="350"/>
      <c r="AR27" s="350"/>
      <c r="AS27" s="350"/>
      <c r="AT27" s="350"/>
      <c r="AU27" s="350"/>
      <c r="AV27" s="350"/>
      <c r="AW27" s="350"/>
      <c r="AX27" s="350"/>
      <c r="AY27" s="350"/>
      <c r="AZ27" s="350"/>
      <c r="BA27" s="350"/>
      <c r="BB27" s="350"/>
      <c r="BC27" s="350"/>
      <c r="BD27" s="350"/>
      <c r="BE27" s="350"/>
      <c r="BF27" s="350"/>
      <c r="BG27" s="350"/>
      <c r="BH27" s="350"/>
      <c r="BI27" s="350"/>
      <c r="BJ27" s="350"/>
      <c r="BK27" s="350"/>
      <c r="BL27" s="350"/>
      <c r="BM27" s="350"/>
      <c r="BN27" s="350"/>
      <c r="BO27" s="350"/>
      <c r="BP27" s="350"/>
      <c r="BQ27" s="351"/>
      <c r="BR27" s="351"/>
      <c r="BS27" s="351"/>
      <c r="BT27" s="351"/>
      <c r="BU27" s="351"/>
      <c r="BV27" s="351"/>
      <c r="BW27" s="351"/>
      <c r="BX27" s="351"/>
      <c r="BY27" s="351"/>
      <c r="BZ27" s="351"/>
      <c r="CA27" s="351"/>
      <c r="CB27" s="351"/>
      <c r="CC27" s="351"/>
      <c r="CD27" s="351"/>
      <c r="CE27" s="351"/>
      <c r="CF27" s="351"/>
      <c r="CG27" s="351"/>
      <c r="CH27" s="351"/>
      <c r="CI27" s="351"/>
      <c r="CJ27" s="351"/>
      <c r="CK27" s="351"/>
      <c r="CL27" s="351"/>
      <c r="CM27" s="351"/>
      <c r="CN27" s="351"/>
      <c r="CO27" s="351"/>
      <c r="CP27" s="351"/>
      <c r="CQ27" s="351"/>
      <c r="CR27" s="351"/>
      <c r="CS27" s="351"/>
      <c r="CT27" s="351"/>
      <c r="CU27" s="351"/>
      <c r="CV27" s="351"/>
      <c r="CW27" s="351"/>
      <c r="CX27" s="351"/>
      <c r="CY27" s="351"/>
      <c r="CZ27" s="351"/>
      <c r="DA27" s="351"/>
      <c r="DB27" s="351"/>
      <c r="DC27" s="351"/>
      <c r="DD27" s="351"/>
      <c r="DE27" s="351"/>
      <c r="DF27" s="351"/>
      <c r="DG27" s="351"/>
      <c r="DH27" s="351"/>
      <c r="DI27" s="351"/>
      <c r="DJ27" s="351"/>
      <c r="DK27" s="351"/>
      <c r="DL27" s="351"/>
      <c r="DM27" s="351"/>
      <c r="DN27" s="351"/>
      <c r="DO27" s="351"/>
      <c r="DP27" s="351"/>
      <c r="DQ27" s="351"/>
      <c r="DR27" s="351"/>
      <c r="DS27" s="351"/>
      <c r="DT27" s="351"/>
      <c r="DU27" s="351"/>
      <c r="DV27" s="351"/>
      <c r="DW27" s="351"/>
      <c r="DX27" s="351"/>
      <c r="DY27" s="351"/>
      <c r="DZ27" s="351"/>
      <c r="EA27" s="351"/>
      <c r="EB27" s="351"/>
      <c r="EC27" s="351"/>
      <c r="ED27" s="351"/>
      <c r="EE27" s="351"/>
      <c r="EF27" s="351"/>
      <c r="EG27" s="351"/>
      <c r="EH27" s="351"/>
      <c r="EI27" s="351"/>
      <c r="EJ27" s="351"/>
      <c r="EK27" s="351"/>
      <c r="EL27" s="351"/>
      <c r="EM27" s="351"/>
      <c r="EN27" s="351"/>
      <c r="EO27" s="351"/>
      <c r="EP27" s="351"/>
      <c r="EQ27" s="351"/>
      <c r="ER27" s="351"/>
      <c r="ES27" s="351"/>
      <c r="ET27" s="351"/>
      <c r="EU27" s="351"/>
      <c r="EV27" s="351"/>
      <c r="EW27" s="351"/>
      <c r="EX27" s="351"/>
      <c r="EY27" s="351"/>
      <c r="EZ27" s="351"/>
      <c r="FA27" s="351"/>
      <c r="FB27" s="351"/>
      <c r="FC27" s="351"/>
      <c r="FD27" s="351"/>
      <c r="FE27" s="351"/>
      <c r="FF27" s="351"/>
    </row>
    <row r="28" spans="1:162" s="353" customFormat="1" ht="14.15" customHeight="1" x14ac:dyDescent="0.35">
      <c r="A28" s="350"/>
      <c r="B28" s="351"/>
      <c r="C28" s="649" t="s">
        <v>94</v>
      </c>
      <c r="D28" s="400" t="s">
        <v>288</v>
      </c>
      <c r="E28" s="361">
        <f>E15</f>
        <v>6.6000000000000003E-2</v>
      </c>
      <c r="F28" s="434">
        <f>E12</f>
        <v>6.6000000000000003E-2</v>
      </c>
      <c r="G28" s="352"/>
      <c r="H28" s="352"/>
      <c r="I28" s="352"/>
      <c r="J28" s="351"/>
      <c r="K28" s="659" t="s">
        <v>94</v>
      </c>
      <c r="L28" s="471" t="s">
        <v>289</v>
      </c>
      <c r="M28" s="361">
        <f>M15</f>
        <v>0.23862719999999998</v>
      </c>
      <c r="N28" s="362">
        <f>M12</f>
        <v>0.23862719999999998</v>
      </c>
      <c r="O28" s="360"/>
      <c r="P28" s="360"/>
      <c r="Q28" s="360"/>
      <c r="R28" s="351"/>
      <c r="S28" s="654"/>
      <c r="T28" s="471" t="s">
        <v>292</v>
      </c>
      <c r="U28" s="358">
        <f>W15</f>
        <v>6.4011800547945207E-3</v>
      </c>
      <c r="V28" s="358">
        <f>W12</f>
        <v>7.6937260273972595E-3</v>
      </c>
      <c r="W28" s="350"/>
      <c r="X28" s="350"/>
      <c r="Y28" s="350"/>
      <c r="Z28" s="350"/>
      <c r="AA28" s="350"/>
      <c r="AB28" s="351"/>
      <c r="AC28" s="351"/>
      <c r="AD28" s="351"/>
      <c r="AE28" s="351"/>
      <c r="AF28" s="351"/>
      <c r="AG28" s="351"/>
      <c r="AH28" s="350"/>
      <c r="AI28" s="350"/>
      <c r="AJ28" s="350"/>
      <c r="AK28" s="350"/>
      <c r="AL28" s="350"/>
      <c r="AM28" s="350"/>
      <c r="AN28" s="350"/>
      <c r="AO28" s="350"/>
      <c r="AP28" s="350"/>
      <c r="AQ28" s="350"/>
      <c r="AR28" s="350"/>
      <c r="AS28" s="350"/>
      <c r="AT28" s="350"/>
      <c r="AU28" s="350"/>
      <c r="AV28" s="350"/>
      <c r="AW28" s="350"/>
      <c r="AX28" s="350"/>
      <c r="AY28" s="350"/>
      <c r="AZ28" s="350"/>
      <c r="BA28" s="350"/>
      <c r="BB28" s="350"/>
      <c r="BC28" s="350"/>
      <c r="BD28" s="350"/>
      <c r="BE28" s="350"/>
      <c r="BF28" s="350"/>
      <c r="BG28" s="350"/>
      <c r="BH28" s="350"/>
      <c r="BI28" s="350"/>
      <c r="BJ28" s="350"/>
      <c r="BK28" s="350"/>
      <c r="BL28" s="350"/>
      <c r="BM28" s="350"/>
      <c r="BN28" s="350"/>
      <c r="BO28" s="350"/>
      <c r="BP28" s="350"/>
      <c r="BQ28" s="351"/>
      <c r="BR28" s="351"/>
      <c r="BS28" s="351"/>
      <c r="BT28" s="351"/>
      <c r="BU28" s="351"/>
      <c r="BV28" s="351"/>
      <c r="BW28" s="351"/>
      <c r="BX28" s="351"/>
      <c r="BY28" s="351"/>
      <c r="BZ28" s="351"/>
      <c r="CA28" s="351"/>
      <c r="CB28" s="351"/>
      <c r="CC28" s="351"/>
      <c r="CD28" s="351"/>
      <c r="CE28" s="351"/>
      <c r="CF28" s="351"/>
      <c r="CG28" s="351"/>
      <c r="CH28" s="351"/>
      <c r="CI28" s="351"/>
      <c r="CJ28" s="351"/>
      <c r="CK28" s="351"/>
      <c r="CL28" s="351"/>
      <c r="CM28" s="351"/>
      <c r="CN28" s="351"/>
      <c r="CO28" s="351"/>
      <c r="CP28" s="351"/>
      <c r="CQ28" s="351"/>
      <c r="CR28" s="351"/>
      <c r="CS28" s="351"/>
      <c r="CT28" s="351"/>
      <c r="CU28" s="351"/>
      <c r="CV28" s="351"/>
      <c r="CW28" s="351"/>
      <c r="CX28" s="351"/>
      <c r="CY28" s="351"/>
      <c r="CZ28" s="351"/>
      <c r="DA28" s="351"/>
      <c r="DB28" s="351"/>
      <c r="DC28" s="351"/>
      <c r="DD28" s="351"/>
      <c r="DE28" s="351"/>
      <c r="DF28" s="351"/>
      <c r="DG28" s="351"/>
      <c r="DH28" s="351"/>
      <c r="DI28" s="351"/>
      <c r="DJ28" s="351"/>
      <c r="DK28" s="351"/>
      <c r="DL28" s="351"/>
      <c r="DM28" s="351"/>
      <c r="DN28" s="351"/>
      <c r="DO28" s="351"/>
      <c r="DP28" s="351"/>
      <c r="DQ28" s="351"/>
      <c r="DR28" s="351"/>
      <c r="DS28" s="351"/>
      <c r="DT28" s="351"/>
      <c r="DU28" s="351"/>
      <c r="DV28" s="351"/>
      <c r="DW28" s="351"/>
      <c r="DX28" s="351"/>
      <c r="DY28" s="351"/>
      <c r="DZ28" s="351"/>
      <c r="EA28" s="351"/>
      <c r="EB28" s="351"/>
      <c r="EC28" s="351"/>
      <c r="ED28" s="351"/>
      <c r="EE28" s="351"/>
      <c r="EF28" s="351"/>
      <c r="EG28" s="351"/>
      <c r="EH28" s="351"/>
      <c r="EI28" s="351"/>
      <c r="EJ28" s="351"/>
      <c r="EK28" s="351"/>
      <c r="EL28" s="351"/>
      <c r="EM28" s="351"/>
      <c r="EN28" s="351"/>
      <c r="EO28" s="351"/>
      <c r="EP28" s="351"/>
      <c r="EQ28" s="351"/>
      <c r="ER28" s="351"/>
      <c r="ES28" s="351"/>
      <c r="ET28" s="351"/>
      <c r="EU28" s="351"/>
      <c r="EV28" s="351"/>
      <c r="EW28" s="351"/>
      <c r="EX28" s="351"/>
      <c r="EY28" s="351"/>
      <c r="EZ28" s="351"/>
      <c r="FA28" s="351"/>
      <c r="FB28" s="351"/>
      <c r="FC28" s="351"/>
      <c r="FD28" s="351"/>
      <c r="FE28" s="351"/>
      <c r="FF28" s="351"/>
    </row>
    <row r="29" spans="1:162" s="353" customFormat="1" ht="14.15" customHeight="1" x14ac:dyDescent="0.35">
      <c r="A29" s="350"/>
      <c r="B29" s="351"/>
      <c r="C29" s="647"/>
      <c r="D29" s="471" t="s">
        <v>290</v>
      </c>
      <c r="E29" s="435">
        <f>F15</f>
        <v>8.2500000000000004E-3</v>
      </c>
      <c r="F29" s="436">
        <f>F12</f>
        <v>8.2500000000000004E-3</v>
      </c>
      <c r="G29" s="352"/>
      <c r="H29" s="352"/>
      <c r="I29" s="352"/>
      <c r="J29" s="351"/>
      <c r="K29" s="657"/>
      <c r="L29" s="471" t="s">
        <v>23</v>
      </c>
      <c r="M29" s="358">
        <f>N15</f>
        <v>2.9828399999999996E-3</v>
      </c>
      <c r="N29" s="359">
        <f>N12</f>
        <v>2.9828399999999996E-3</v>
      </c>
      <c r="O29" s="360"/>
      <c r="P29" s="360"/>
      <c r="Q29" s="360"/>
      <c r="R29" s="351"/>
      <c r="S29" s="654"/>
      <c r="T29" s="471" t="s">
        <v>293</v>
      </c>
      <c r="U29" s="358">
        <f>X15</f>
        <v>2.5440587397260275E-3</v>
      </c>
      <c r="V29" s="358">
        <f>X12</f>
        <v>3.9455005268703904E-3</v>
      </c>
      <c r="W29" s="350"/>
      <c r="X29" s="350"/>
      <c r="Y29" s="350"/>
      <c r="Z29" s="350"/>
      <c r="AA29" s="350"/>
      <c r="AB29" s="351"/>
      <c r="AC29" s="351"/>
      <c r="AD29" s="351"/>
      <c r="AE29" s="351"/>
      <c r="AF29" s="351"/>
      <c r="AG29" s="351"/>
      <c r="AH29" s="350"/>
      <c r="AI29" s="350"/>
      <c r="AJ29" s="350"/>
      <c r="AK29" s="350"/>
      <c r="AL29" s="350"/>
      <c r="AM29" s="350"/>
      <c r="AN29" s="350"/>
      <c r="AO29" s="350"/>
      <c r="AP29" s="350"/>
      <c r="AQ29" s="350"/>
      <c r="AR29" s="350"/>
      <c r="AS29" s="350"/>
      <c r="AT29" s="350"/>
      <c r="AU29" s="350"/>
      <c r="AV29" s="350"/>
      <c r="AW29" s="350"/>
      <c r="AX29" s="350"/>
      <c r="AY29" s="350"/>
      <c r="AZ29" s="350"/>
      <c r="BA29" s="350"/>
      <c r="BB29" s="350"/>
      <c r="BC29" s="350"/>
      <c r="BD29" s="350"/>
      <c r="BE29" s="350"/>
      <c r="BF29" s="350"/>
      <c r="BG29" s="350"/>
      <c r="BH29" s="350"/>
      <c r="BI29" s="350"/>
      <c r="BJ29" s="350"/>
      <c r="BK29" s="350"/>
      <c r="BL29" s="350"/>
      <c r="BM29" s="350"/>
      <c r="BN29" s="350"/>
      <c r="BO29" s="350"/>
      <c r="BP29" s="350"/>
      <c r="BQ29" s="351"/>
      <c r="BR29" s="351"/>
      <c r="BS29" s="351"/>
      <c r="BT29" s="351"/>
      <c r="BU29" s="351"/>
      <c r="BV29" s="351"/>
      <c r="BW29" s="351"/>
      <c r="BX29" s="351"/>
      <c r="BY29" s="351"/>
      <c r="BZ29" s="351"/>
      <c r="CA29" s="351"/>
      <c r="CB29" s="351"/>
      <c r="CC29" s="351"/>
      <c r="CD29" s="351"/>
      <c r="CE29" s="351"/>
      <c r="CF29" s="351"/>
      <c r="CG29" s="351"/>
      <c r="CH29" s="351"/>
      <c r="CI29" s="351"/>
      <c r="CJ29" s="351"/>
      <c r="CK29" s="351"/>
      <c r="CL29" s="351"/>
      <c r="CM29" s="351"/>
      <c r="CN29" s="351"/>
      <c r="CO29" s="351"/>
      <c r="CP29" s="351"/>
      <c r="CQ29" s="351"/>
      <c r="CR29" s="351"/>
      <c r="CS29" s="351"/>
      <c r="CT29" s="351"/>
      <c r="CU29" s="351"/>
      <c r="CV29" s="351"/>
      <c r="CW29" s="351"/>
      <c r="CX29" s="351"/>
      <c r="CY29" s="351"/>
      <c r="CZ29" s="351"/>
      <c r="DA29" s="351"/>
      <c r="DB29" s="351"/>
      <c r="DC29" s="351"/>
      <c r="DD29" s="351"/>
      <c r="DE29" s="351"/>
      <c r="DF29" s="351"/>
      <c r="DG29" s="351"/>
      <c r="DH29" s="351"/>
      <c r="DI29" s="351"/>
      <c r="DJ29" s="351"/>
      <c r="DK29" s="351"/>
      <c r="DL29" s="351"/>
      <c r="DM29" s="351"/>
      <c r="DN29" s="351"/>
      <c r="DO29" s="351"/>
      <c r="DP29" s="351"/>
      <c r="DQ29" s="351"/>
      <c r="DR29" s="351"/>
      <c r="DS29" s="351"/>
      <c r="DT29" s="351"/>
      <c r="DU29" s="351"/>
      <c r="DV29" s="351"/>
      <c r="DW29" s="351"/>
      <c r="DX29" s="351"/>
      <c r="DY29" s="351"/>
      <c r="DZ29" s="351"/>
      <c r="EA29" s="351"/>
      <c r="EB29" s="351"/>
      <c r="EC29" s="351"/>
      <c r="ED29" s="351"/>
      <c r="EE29" s="351"/>
      <c r="EF29" s="351"/>
      <c r="EG29" s="351"/>
      <c r="EH29" s="351"/>
      <c r="EI29" s="351"/>
      <c r="EJ29" s="351"/>
      <c r="EK29" s="351"/>
      <c r="EL29" s="351"/>
      <c r="EM29" s="351"/>
      <c r="EN29" s="351"/>
      <c r="EO29" s="351"/>
      <c r="EP29" s="351"/>
      <c r="EQ29" s="351"/>
      <c r="ER29" s="351"/>
      <c r="ES29" s="351"/>
      <c r="ET29" s="351"/>
      <c r="EU29" s="351"/>
      <c r="EV29" s="351"/>
      <c r="EW29" s="351"/>
      <c r="EX29" s="351"/>
      <c r="EY29" s="351"/>
      <c r="EZ29" s="351"/>
      <c r="FA29" s="351"/>
      <c r="FB29" s="351"/>
      <c r="FC29" s="351"/>
      <c r="FD29" s="351"/>
      <c r="FE29" s="351"/>
      <c r="FF29" s="351"/>
    </row>
    <row r="30" spans="1:162" s="353" customFormat="1" ht="14.5" customHeight="1" x14ac:dyDescent="0.35">
      <c r="A30" s="350"/>
      <c r="B30" s="351"/>
      <c r="C30" s="647"/>
      <c r="D30" s="471" t="s">
        <v>291</v>
      </c>
      <c r="E30" s="435">
        <f>G15</f>
        <v>6.0499999999999998E-3</v>
      </c>
      <c r="F30" s="436">
        <f>G12</f>
        <v>6.0499999999999998E-3</v>
      </c>
      <c r="G30" s="352"/>
      <c r="H30" s="352"/>
      <c r="I30" s="352"/>
      <c r="J30" s="351"/>
      <c r="K30" s="657"/>
      <c r="L30" s="471" t="s">
        <v>294</v>
      </c>
      <c r="M30" s="358">
        <f>O15</f>
        <v>2.1874159999999998E-3</v>
      </c>
      <c r="N30" s="359">
        <f>O12</f>
        <v>2.1874159999999998E-3</v>
      </c>
      <c r="O30" s="360"/>
      <c r="P30" s="360"/>
      <c r="Q30" s="360"/>
      <c r="R30" s="351"/>
      <c r="S30"/>
      <c r="T30"/>
      <c r="U30"/>
      <c r="V30" s="350"/>
      <c r="W30" s="350"/>
      <c r="X30" s="350"/>
      <c r="Y30" s="350"/>
      <c r="Z30" s="350"/>
      <c r="AA30" s="350"/>
      <c r="AB30" s="351"/>
      <c r="AC30" s="351"/>
      <c r="AD30" s="351"/>
      <c r="AE30" s="351"/>
      <c r="AF30" s="351"/>
      <c r="AG30" s="351"/>
      <c r="AH30" s="350"/>
      <c r="AI30" s="350"/>
      <c r="AJ30" s="350"/>
      <c r="AK30" s="350"/>
      <c r="AL30" s="350"/>
      <c r="AM30" s="350"/>
      <c r="AN30" s="350"/>
      <c r="AO30" s="350"/>
      <c r="AP30" s="350"/>
      <c r="AQ30" s="350"/>
      <c r="AR30" s="350"/>
      <c r="AS30" s="350"/>
      <c r="AT30" s="350"/>
      <c r="AU30" s="350"/>
      <c r="AV30" s="350"/>
      <c r="AW30" s="350"/>
      <c r="AX30" s="350"/>
      <c r="AY30" s="350"/>
      <c r="AZ30" s="350"/>
      <c r="BA30" s="350"/>
      <c r="BB30" s="350"/>
      <c r="BC30" s="350"/>
      <c r="BD30" s="350"/>
      <c r="BE30" s="350"/>
      <c r="BF30" s="350"/>
      <c r="BG30" s="350"/>
      <c r="BH30" s="350"/>
      <c r="BI30" s="350"/>
      <c r="BJ30" s="350"/>
      <c r="BK30" s="350"/>
      <c r="BL30" s="350"/>
      <c r="BM30" s="350"/>
      <c r="BN30" s="350"/>
      <c r="BO30" s="350"/>
      <c r="BP30" s="350"/>
      <c r="BQ30" s="351"/>
      <c r="BR30" s="351"/>
      <c r="BS30" s="351"/>
      <c r="BT30" s="351"/>
      <c r="BU30" s="351"/>
      <c r="BV30" s="351"/>
      <c r="BW30" s="351"/>
      <c r="BX30" s="351"/>
      <c r="BY30" s="351"/>
      <c r="BZ30" s="351"/>
      <c r="CA30" s="351"/>
      <c r="CB30" s="351"/>
      <c r="CC30" s="351"/>
      <c r="CD30" s="351"/>
      <c r="CE30" s="351"/>
      <c r="CF30" s="351"/>
      <c r="CG30" s="351"/>
      <c r="CH30" s="351"/>
      <c r="CI30" s="351"/>
      <c r="CJ30" s="351"/>
      <c r="CK30" s="351"/>
      <c r="CL30" s="351"/>
      <c r="CM30" s="351"/>
      <c r="CN30" s="351"/>
      <c r="CO30" s="351"/>
      <c r="CP30" s="351"/>
      <c r="CQ30" s="351"/>
      <c r="CR30" s="351"/>
      <c r="CS30" s="351"/>
      <c r="CT30" s="351"/>
      <c r="CU30" s="351"/>
      <c r="CV30" s="351"/>
      <c r="CW30" s="351"/>
      <c r="CX30" s="351"/>
      <c r="CY30" s="351"/>
      <c r="CZ30" s="351"/>
      <c r="DA30" s="351"/>
      <c r="DB30" s="351"/>
      <c r="DC30" s="351"/>
      <c r="DD30" s="351"/>
      <c r="DE30" s="351"/>
      <c r="DF30" s="351"/>
      <c r="DG30" s="351"/>
      <c r="DH30" s="351"/>
      <c r="DI30" s="351"/>
      <c r="DJ30" s="351"/>
      <c r="DK30" s="351"/>
      <c r="DL30" s="351"/>
      <c r="DM30" s="351"/>
      <c r="DN30" s="351"/>
      <c r="DO30" s="351"/>
      <c r="DP30" s="351"/>
      <c r="DQ30" s="351"/>
      <c r="DR30" s="351"/>
      <c r="DS30" s="351"/>
      <c r="DT30" s="351"/>
      <c r="DU30" s="351"/>
      <c r="DV30" s="351"/>
      <c r="DW30" s="351"/>
      <c r="DX30" s="351"/>
      <c r="DY30" s="351"/>
      <c r="DZ30" s="351"/>
      <c r="EA30" s="351"/>
      <c r="EB30" s="351"/>
      <c r="EC30" s="351"/>
      <c r="ED30" s="351"/>
      <c r="EE30" s="351"/>
      <c r="EF30" s="351"/>
      <c r="EG30" s="351"/>
      <c r="EH30" s="351"/>
      <c r="EI30" s="351"/>
      <c r="EJ30" s="351"/>
      <c r="EK30" s="351"/>
      <c r="EL30" s="351"/>
      <c r="EM30" s="351"/>
      <c r="EN30" s="351"/>
      <c r="EO30" s="351"/>
      <c r="EP30" s="351"/>
      <c r="EQ30" s="351"/>
      <c r="ER30" s="351"/>
      <c r="ES30" s="351"/>
      <c r="ET30" s="351"/>
      <c r="EU30" s="351"/>
      <c r="EV30" s="351"/>
      <c r="EW30" s="351"/>
      <c r="EX30" s="351"/>
      <c r="EY30" s="351"/>
      <c r="EZ30" s="351"/>
      <c r="FA30" s="351"/>
      <c r="FB30" s="351"/>
      <c r="FC30" s="351"/>
      <c r="FD30" s="351"/>
      <c r="FE30" s="351"/>
      <c r="FF30" s="351"/>
    </row>
    <row r="31" spans="1:162" s="353" customFormat="1" ht="16" customHeight="1" x14ac:dyDescent="0.35">
      <c r="A31" s="350"/>
      <c r="B31" s="351"/>
      <c r="C31" s="647"/>
      <c r="D31" s="471" t="s">
        <v>292</v>
      </c>
      <c r="E31" s="435">
        <f>H15</f>
        <v>4.7013698630136991E-3</v>
      </c>
      <c r="F31" s="436">
        <f>H12</f>
        <v>5.6506849315068495E-3</v>
      </c>
      <c r="G31" s="352"/>
      <c r="H31" s="352"/>
      <c r="I31" s="352"/>
      <c r="J31" s="351"/>
      <c r="K31" s="657"/>
      <c r="L31" s="471" t="s">
        <v>295</v>
      </c>
      <c r="M31" s="358">
        <f>P15</f>
        <v>1.6998101917808214E-3</v>
      </c>
      <c r="N31" s="359">
        <f>P12</f>
        <v>2.0430410958904104E-3</v>
      </c>
      <c r="O31" s="360"/>
      <c r="P31" s="360"/>
      <c r="Q31" s="360"/>
      <c r="R31" s="350"/>
      <c r="S31" s="350"/>
      <c r="T31" s="350"/>
      <c r="U31" s="350"/>
      <c r="V31" s="350"/>
      <c r="W31" s="350"/>
      <c r="X31" s="350"/>
      <c r="Y31" s="350"/>
      <c r="Z31" s="350"/>
      <c r="AA31" s="350"/>
      <c r="AB31" s="351"/>
      <c r="AC31" s="351"/>
      <c r="AD31" s="351"/>
      <c r="AE31" s="351"/>
      <c r="AF31" s="351"/>
      <c r="AG31" s="351"/>
      <c r="AH31" s="350"/>
      <c r="AI31" s="350"/>
      <c r="AJ31" s="350"/>
      <c r="AK31" s="350"/>
      <c r="AL31" s="350"/>
      <c r="AM31" s="350"/>
      <c r="AN31" s="350"/>
      <c r="AO31" s="350"/>
      <c r="AP31" s="350"/>
      <c r="AQ31" s="350"/>
      <c r="AR31" s="350"/>
      <c r="AS31" s="350"/>
      <c r="AT31" s="350"/>
      <c r="AU31" s="350"/>
      <c r="AV31" s="350"/>
      <c r="AW31" s="350"/>
      <c r="AX31" s="350"/>
      <c r="AY31" s="350"/>
      <c r="AZ31" s="350"/>
      <c r="BA31" s="350"/>
      <c r="BB31" s="350"/>
      <c r="BC31" s="350"/>
      <c r="BD31" s="350"/>
      <c r="BE31" s="350"/>
      <c r="BF31" s="350"/>
      <c r="BG31" s="350"/>
      <c r="BH31" s="350"/>
      <c r="BI31" s="350"/>
      <c r="BJ31" s="350"/>
      <c r="BK31" s="350"/>
      <c r="BL31" s="350"/>
      <c r="BM31" s="350"/>
      <c r="BN31" s="350"/>
      <c r="BO31" s="350"/>
      <c r="BP31" s="350"/>
      <c r="BQ31" s="351"/>
      <c r="BR31" s="351"/>
      <c r="BS31" s="351"/>
      <c r="BT31" s="351"/>
      <c r="BU31" s="351"/>
      <c r="BV31" s="351"/>
      <c r="BW31" s="351"/>
      <c r="BX31" s="351"/>
      <c r="BY31" s="351"/>
      <c r="BZ31" s="351"/>
      <c r="CA31" s="351"/>
      <c r="CB31" s="351"/>
      <c r="CC31" s="351"/>
      <c r="CD31" s="351"/>
      <c r="CE31" s="351"/>
      <c r="CF31" s="351"/>
      <c r="CG31" s="351"/>
      <c r="CH31" s="351"/>
      <c r="CI31" s="351"/>
      <c r="CJ31" s="351"/>
      <c r="CK31" s="351"/>
      <c r="CL31" s="351"/>
      <c r="CM31" s="351"/>
      <c r="CN31" s="351"/>
      <c r="CO31" s="351"/>
      <c r="CP31" s="351"/>
      <c r="CQ31" s="351"/>
      <c r="CR31" s="351"/>
      <c r="CS31" s="351"/>
      <c r="CT31" s="351"/>
      <c r="CU31" s="351"/>
      <c r="CV31" s="351"/>
      <c r="CW31" s="351"/>
      <c r="CX31" s="351"/>
      <c r="CY31" s="351"/>
      <c r="CZ31" s="351"/>
      <c r="DA31" s="351"/>
      <c r="DB31" s="351"/>
      <c r="DC31" s="351"/>
      <c r="DD31" s="351"/>
      <c r="DE31" s="351"/>
      <c r="DF31" s="351"/>
      <c r="DG31" s="351"/>
      <c r="DH31" s="351"/>
      <c r="DI31" s="351"/>
      <c r="DJ31" s="351"/>
      <c r="DK31" s="351"/>
      <c r="DL31" s="351"/>
      <c r="DM31" s="351"/>
      <c r="DN31" s="351"/>
      <c r="DO31" s="351"/>
      <c r="DP31" s="351"/>
      <c r="DQ31" s="351"/>
      <c r="DR31" s="351"/>
      <c r="DS31" s="351"/>
      <c r="DT31" s="351"/>
      <c r="DU31" s="351"/>
      <c r="DV31" s="351"/>
      <c r="DW31" s="351"/>
      <c r="DX31" s="351"/>
      <c r="DY31" s="351"/>
      <c r="DZ31" s="351"/>
      <c r="EA31" s="351"/>
      <c r="EB31" s="351"/>
      <c r="EC31" s="351"/>
      <c r="ED31" s="351"/>
      <c r="EE31" s="351"/>
      <c r="EF31" s="351"/>
      <c r="EG31" s="351"/>
      <c r="EH31" s="351"/>
      <c r="EI31" s="351"/>
      <c r="EJ31" s="351"/>
      <c r="EK31" s="351"/>
      <c r="EL31" s="351"/>
      <c r="EM31" s="351"/>
      <c r="EN31" s="351"/>
      <c r="EO31" s="351"/>
      <c r="EP31" s="351"/>
      <c r="EQ31" s="351"/>
      <c r="ER31" s="351"/>
      <c r="ES31" s="351"/>
      <c r="ET31" s="351"/>
      <c r="EU31" s="351"/>
      <c r="EV31" s="351"/>
      <c r="EW31" s="351"/>
      <c r="EX31" s="351"/>
      <c r="EY31" s="351"/>
      <c r="EZ31" s="351"/>
      <c r="FA31" s="351"/>
      <c r="FB31" s="351"/>
      <c r="FC31" s="351"/>
      <c r="FD31" s="351"/>
      <c r="FE31" s="351"/>
      <c r="FF31" s="351"/>
    </row>
    <row r="32" spans="1:162" s="353" customFormat="1" ht="14.15" customHeight="1" thickBot="1" x14ac:dyDescent="0.4">
      <c r="A32" s="350"/>
      <c r="B32" s="351"/>
      <c r="C32" s="648"/>
      <c r="D32" s="401" t="s">
        <v>293</v>
      </c>
      <c r="E32" s="402">
        <f>I15</f>
        <v>1.8684931506849317E-3</v>
      </c>
      <c r="F32" s="403">
        <f>I12</f>
        <v>2.897787144362487E-3</v>
      </c>
      <c r="G32" s="352"/>
      <c r="H32" s="352"/>
      <c r="I32" s="352"/>
      <c r="J32" s="351"/>
      <c r="K32" s="658"/>
      <c r="L32" s="348" t="s">
        <v>296</v>
      </c>
      <c r="M32" s="363">
        <f>Q15</f>
        <v>6.7556558904109567E-4</v>
      </c>
      <c r="N32" s="364">
        <f>Q12</f>
        <v>1.047713382507903E-3</v>
      </c>
      <c r="O32" s="360"/>
      <c r="P32" s="360"/>
      <c r="Q32" s="360"/>
      <c r="R32" s="350"/>
      <c r="S32" s="350"/>
      <c r="T32" s="350"/>
      <c r="U32" s="350"/>
      <c r="V32" s="350"/>
      <c r="W32" s="350"/>
      <c r="X32" s="350"/>
      <c r="Y32" s="350"/>
      <c r="Z32" s="350"/>
      <c r="AA32" s="350"/>
      <c r="AB32" s="351"/>
      <c r="AC32" s="351"/>
      <c r="AD32" s="351"/>
      <c r="AE32" s="351"/>
      <c r="AF32" s="351"/>
      <c r="AG32" s="351"/>
      <c r="AH32" s="350"/>
      <c r="AI32" s="350"/>
      <c r="AJ32" s="350"/>
      <c r="AK32" s="350"/>
      <c r="AL32" s="350"/>
      <c r="AM32" s="350"/>
      <c r="AN32" s="350"/>
      <c r="AO32" s="350"/>
      <c r="AP32" s="350"/>
      <c r="AQ32" s="350"/>
      <c r="AR32" s="350"/>
      <c r="AS32" s="350"/>
      <c r="AT32" s="350"/>
      <c r="AU32" s="350"/>
      <c r="AV32" s="350"/>
      <c r="AW32" s="350"/>
      <c r="AX32" s="350"/>
      <c r="AY32" s="350"/>
      <c r="AZ32" s="350"/>
      <c r="BA32" s="350"/>
      <c r="BB32" s="350"/>
      <c r="BC32" s="350"/>
      <c r="BD32" s="350"/>
      <c r="BE32" s="350"/>
      <c r="BF32" s="350"/>
      <c r="BG32" s="350"/>
      <c r="BH32" s="350"/>
      <c r="BI32" s="350"/>
      <c r="BJ32" s="350"/>
      <c r="BK32" s="350"/>
      <c r="BL32" s="350"/>
      <c r="BM32" s="350"/>
      <c r="BN32" s="350"/>
      <c r="BO32" s="350"/>
      <c r="BP32" s="350"/>
      <c r="BQ32" s="351"/>
      <c r="BR32" s="351"/>
      <c r="BS32" s="351"/>
      <c r="BT32" s="351"/>
      <c r="BU32" s="351"/>
      <c r="BV32" s="351"/>
      <c r="BW32" s="351"/>
      <c r="BX32" s="351"/>
      <c r="BY32" s="351"/>
      <c r="BZ32" s="351"/>
      <c r="CA32" s="351"/>
      <c r="CB32" s="351"/>
      <c r="CC32" s="351"/>
      <c r="CD32" s="351"/>
      <c r="CE32" s="351"/>
      <c r="CF32" s="351"/>
      <c r="CG32" s="351"/>
      <c r="CH32" s="351"/>
      <c r="CI32" s="351"/>
      <c r="CJ32" s="351"/>
      <c r="CK32" s="351"/>
      <c r="CL32" s="351"/>
      <c r="CM32" s="351"/>
      <c r="CN32" s="351"/>
      <c r="CO32" s="351"/>
      <c r="CP32" s="351"/>
      <c r="CQ32" s="351"/>
      <c r="CR32" s="351"/>
      <c r="CS32" s="351"/>
      <c r="CT32" s="351"/>
      <c r="CU32" s="351"/>
      <c r="CV32" s="351"/>
      <c r="CW32" s="351"/>
      <c r="CX32" s="351"/>
      <c r="CY32" s="351"/>
      <c r="CZ32" s="351"/>
      <c r="DA32" s="351"/>
      <c r="DB32" s="351"/>
      <c r="DC32" s="351"/>
      <c r="DD32" s="351"/>
      <c r="DE32" s="351"/>
      <c r="DF32" s="351"/>
      <c r="DG32" s="351"/>
      <c r="DH32" s="351"/>
      <c r="DI32" s="351"/>
      <c r="DJ32" s="351"/>
      <c r="DK32" s="351"/>
      <c r="DL32" s="351"/>
      <c r="DM32" s="351"/>
      <c r="DN32" s="351"/>
      <c r="DO32" s="351"/>
      <c r="DP32" s="351"/>
      <c r="DQ32" s="351"/>
      <c r="DR32" s="351"/>
      <c r="DS32" s="351"/>
      <c r="DT32" s="351"/>
      <c r="DU32" s="351"/>
      <c r="DV32" s="351"/>
      <c r="DW32" s="351"/>
      <c r="DX32" s="351"/>
      <c r="DY32" s="351"/>
      <c r="DZ32" s="351"/>
      <c r="EA32" s="351"/>
      <c r="EB32" s="351"/>
      <c r="EC32" s="351"/>
      <c r="ED32" s="351"/>
      <c r="EE32" s="351"/>
      <c r="EF32" s="351"/>
      <c r="EG32" s="351"/>
      <c r="EH32" s="351"/>
      <c r="EI32" s="351"/>
      <c r="EJ32" s="351"/>
      <c r="EK32" s="351"/>
      <c r="EL32" s="351"/>
      <c r="EM32" s="351"/>
      <c r="EN32" s="351"/>
      <c r="EO32" s="351"/>
      <c r="EP32" s="351"/>
      <c r="EQ32" s="351"/>
      <c r="ER32" s="351"/>
      <c r="ES32" s="351"/>
      <c r="ET32" s="351"/>
      <c r="EU32" s="351"/>
      <c r="EV32" s="351"/>
      <c r="EW32" s="351"/>
      <c r="EX32" s="351"/>
      <c r="EY32" s="351"/>
      <c r="EZ32" s="351"/>
      <c r="FA32" s="351"/>
      <c r="FB32" s="351"/>
      <c r="FC32" s="351"/>
      <c r="FD32" s="351"/>
      <c r="FE32" s="351"/>
      <c r="FF32" s="351"/>
    </row>
    <row r="33" spans="2:35" s="351" customFormat="1" ht="14" x14ac:dyDescent="0.35">
      <c r="B33" s="365"/>
      <c r="D33" s="9"/>
      <c r="E33" s="12"/>
      <c r="F33" s="12"/>
      <c r="K33" s="365"/>
      <c r="L33" s="360"/>
      <c r="M33" s="360"/>
      <c r="N33" s="360"/>
      <c r="O33" s="360"/>
      <c r="P33" s="360"/>
      <c r="Q33" s="360"/>
    </row>
    <row r="34" spans="2:35" s="351" customFormat="1" ht="14" x14ac:dyDescent="0.35">
      <c r="B34" s="365"/>
      <c r="D34" s="9"/>
      <c r="E34" s="12"/>
      <c r="F34" s="12"/>
    </row>
    <row r="35" spans="2:35" s="351" customFormat="1" ht="14" x14ac:dyDescent="0.35">
      <c r="B35" s="365"/>
      <c r="D35" s="9"/>
      <c r="E35" s="12"/>
      <c r="F35" s="12"/>
    </row>
    <row r="36" spans="2:35" x14ac:dyDescent="0.35">
      <c r="AC36" s="12"/>
      <c r="AD36" s="12"/>
      <c r="AE36" s="12"/>
      <c r="AF36" s="12"/>
      <c r="AG36" s="12"/>
      <c r="AH36" s="12"/>
      <c r="AI36" s="12"/>
    </row>
    <row r="37" spans="2:35" x14ac:dyDescent="0.35">
      <c r="AC37" s="12"/>
      <c r="AD37" s="12"/>
      <c r="AE37" s="12"/>
      <c r="AF37" s="12"/>
      <c r="AG37" s="12"/>
      <c r="AH37" s="12"/>
      <c r="AI37" s="12"/>
    </row>
    <row r="38" spans="2:35" x14ac:dyDescent="0.35">
      <c r="AC38" s="12"/>
      <c r="AD38" s="12"/>
      <c r="AE38" s="12"/>
      <c r="AF38" s="12"/>
      <c r="AG38" s="12"/>
      <c r="AH38" s="12"/>
      <c r="AI38" s="12"/>
    </row>
    <row r="39" spans="2:35" x14ac:dyDescent="0.35">
      <c r="AC39" s="12"/>
      <c r="AD39" s="12"/>
      <c r="AE39" s="12"/>
      <c r="AF39" s="12"/>
      <c r="AG39" s="12"/>
      <c r="AH39" s="12"/>
      <c r="AI39" s="12"/>
    </row>
    <row r="40" spans="2:35" x14ac:dyDescent="0.35">
      <c r="AC40" s="12"/>
      <c r="AD40" s="12"/>
      <c r="AE40" s="12"/>
      <c r="AF40" s="12"/>
      <c r="AG40" s="12"/>
      <c r="AH40" s="12"/>
      <c r="AI40" s="12"/>
    </row>
    <row r="41" spans="2:35" x14ac:dyDescent="0.35">
      <c r="AC41" s="12"/>
      <c r="AD41" s="12"/>
      <c r="AE41" s="12"/>
      <c r="AF41" s="12"/>
      <c r="AG41" s="12"/>
      <c r="AH41" s="12"/>
      <c r="AI41" s="12"/>
    </row>
  </sheetData>
  <sheetProtection sheet="1" objects="1" scenarios="1" formatCells="0" formatColumns="0" formatRows="0"/>
  <dataConsolidate link="1"/>
  <mergeCells count="22">
    <mergeCell ref="S26:S29"/>
    <mergeCell ref="D13:D15"/>
    <mergeCell ref="S18:S21"/>
    <mergeCell ref="S22:S25"/>
    <mergeCell ref="L13:L15"/>
    <mergeCell ref="K18:K22"/>
    <mergeCell ref="K23:K27"/>
    <mergeCell ref="K28:K32"/>
    <mergeCell ref="T13:T15"/>
    <mergeCell ref="T10:T12"/>
    <mergeCell ref="K8:K9"/>
    <mergeCell ref="L8:L9"/>
    <mergeCell ref="S8:S9"/>
    <mergeCell ref="T8:T9"/>
    <mergeCell ref="L10:L12"/>
    <mergeCell ref="E8:E9"/>
    <mergeCell ref="C18:C22"/>
    <mergeCell ref="C23:C27"/>
    <mergeCell ref="C28:C32"/>
    <mergeCell ref="D10:D12"/>
    <mergeCell ref="C8:C9"/>
    <mergeCell ref="D8:D9"/>
  </mergeCells>
  <conditionalFormatting sqref="E10:I15">
    <cfRule type="cellIs" dxfId="35" priority="49" operator="equal">
      <formula>0</formula>
    </cfRule>
    <cfRule type="cellIs" dxfId="34" priority="50" operator="greaterThan">
      <formula>10000</formula>
    </cfRule>
    <cfRule type="cellIs" dxfId="33" priority="51" operator="between">
      <formula>10</formula>
      <formula>9999.999</formula>
    </cfRule>
    <cfRule type="cellIs" dxfId="32" priority="52" operator="between">
      <formula>1</formula>
      <formula>9.999</formula>
    </cfRule>
    <cfRule type="cellIs" dxfId="31" priority="53" operator="between">
      <formula>0.1</formula>
      <formula>0.999</formula>
    </cfRule>
    <cfRule type="cellIs" dxfId="30" priority="54" operator="lessThan">
      <formula>0.1</formula>
    </cfRule>
  </conditionalFormatting>
  <conditionalFormatting sqref="M18:M22 M23:N32">
    <cfRule type="cellIs" dxfId="29" priority="7" operator="equal">
      <formula>0</formula>
    </cfRule>
    <cfRule type="cellIs" dxfId="28" priority="8" operator="greaterThan">
      <formula>10000</formula>
    </cfRule>
    <cfRule type="cellIs" dxfId="27" priority="9" operator="between">
      <formula>10</formula>
      <formula>9999.999</formula>
    </cfRule>
    <cfRule type="cellIs" dxfId="26" priority="10" operator="between">
      <formula>1</formula>
      <formula>9.999</formula>
    </cfRule>
    <cfRule type="cellIs" dxfId="25" priority="11" operator="between">
      <formula>0.1</formula>
      <formula>0.999</formula>
    </cfRule>
    <cfRule type="cellIs" dxfId="24" priority="12" operator="lessThan">
      <formula>0.1</formula>
    </cfRule>
  </conditionalFormatting>
  <conditionalFormatting sqref="M10:Q15">
    <cfRule type="cellIs" dxfId="23" priority="14" operator="greaterThan">
      <formula>10000</formula>
    </cfRule>
    <cfRule type="cellIs" dxfId="22" priority="15" operator="between">
      <formula>10</formula>
      <formula>9999.999</formula>
    </cfRule>
    <cfRule type="cellIs" dxfId="21" priority="16" operator="between">
      <formula>1</formula>
      <formula>9.999</formula>
    </cfRule>
    <cfRule type="cellIs" dxfId="20" priority="17" operator="between">
      <formula>0.1</formula>
      <formula>0.999</formula>
    </cfRule>
    <cfRule type="cellIs" dxfId="19" priority="18" operator="lessThan">
      <formula>0.1</formula>
    </cfRule>
    <cfRule type="cellIs" dxfId="18" priority="13" operator="equal">
      <formula>0</formula>
    </cfRule>
  </conditionalFormatting>
  <conditionalFormatting sqref="N18">
    <cfRule type="cellIs" dxfId="17" priority="1" operator="equal">
      <formula>0</formula>
    </cfRule>
    <cfRule type="cellIs" dxfId="16" priority="2" operator="greaterThan">
      <formula>10000</formula>
    </cfRule>
    <cfRule type="cellIs" dxfId="15" priority="3" operator="between">
      <formula>10</formula>
      <formula>9999.999</formula>
    </cfRule>
    <cfRule type="cellIs" dxfId="14" priority="4" operator="between">
      <formula>1</formula>
      <formula>9.999</formula>
    </cfRule>
    <cfRule type="cellIs" dxfId="13" priority="5" operator="between">
      <formula>0.1</formula>
      <formula>0.999</formula>
    </cfRule>
    <cfRule type="cellIs" dxfId="12" priority="6" operator="lessThan">
      <formula>0.1</formula>
    </cfRule>
  </conditionalFormatting>
  <conditionalFormatting sqref="U18:V29">
    <cfRule type="cellIs" dxfId="11" priority="80" operator="equal">
      <formula>0</formula>
    </cfRule>
    <cfRule type="cellIs" dxfId="10" priority="81" operator="greaterThan">
      <formula>10000</formula>
    </cfRule>
    <cfRule type="cellIs" dxfId="9" priority="82" operator="between">
      <formula>10</formula>
      <formula>9999.999</formula>
    </cfRule>
    <cfRule type="cellIs" dxfId="8" priority="83" operator="between">
      <formula>1</formula>
      <formula>9.999</formula>
    </cfRule>
    <cfRule type="cellIs" dxfId="7" priority="84" operator="between">
      <formula>0.1</formula>
      <formula>0.999</formula>
    </cfRule>
    <cfRule type="cellIs" dxfId="6" priority="85" operator="lessThan">
      <formula>0.1</formula>
    </cfRule>
  </conditionalFormatting>
  <conditionalFormatting sqref="U10:X15">
    <cfRule type="cellIs" dxfId="5" priority="73" operator="equal">
      <formula>0</formula>
    </cfRule>
    <cfRule type="cellIs" dxfId="4" priority="74" operator="greaterThan">
      <formula>10000</formula>
    </cfRule>
    <cfRule type="cellIs" dxfId="3" priority="75" operator="between">
      <formula>10</formula>
      <formula>9999.999</formula>
    </cfRule>
    <cfRule type="cellIs" dxfId="2" priority="76" operator="between">
      <formula>1</formula>
      <formula>9.999</formula>
    </cfRule>
    <cfRule type="cellIs" dxfId="1" priority="77" operator="between">
      <formula>0.1</formula>
      <formula>0.999</formula>
    </cfRule>
    <cfRule type="cellIs" dxfId="0" priority="78" operator="lessThan">
      <formula>0.1</formula>
    </cfRule>
  </conditionalFormatting>
  <dataValidations count="1">
    <dataValidation allowBlank="1" showErrorMessage="1" sqref="S15 C8 K8 C15 S8 G16:I32 E16:F16 K15" xr:uid="{7B646BD4-0B99-441C-A6EA-9739A344572C}"/>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53F0F86-9AC9-4DB1-9F07-D0F627B28BB6}">
          <x14:formula1>
            <xm:f>'List Values'!$B$2:$B$20</xm:f>
          </x14:formula1>
          <xm:sqref>C4</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59850F-DA4A-4D3D-97A6-3832AB231949}">
  <sheetPr codeName="Sheet4">
    <tabColor theme="1"/>
  </sheetPr>
  <dimension ref="A1:Q29"/>
  <sheetViews>
    <sheetView workbookViewId="0"/>
  </sheetViews>
  <sheetFormatPr defaultColWidth="8.81640625" defaultRowHeight="13" x14ac:dyDescent="0.3"/>
  <cols>
    <col min="1" max="1" width="3.54296875" style="4" customWidth="1"/>
    <col min="2" max="2" width="24.453125" style="4" customWidth="1"/>
    <col min="3" max="3" width="21" style="4" bestFit="1" customWidth="1"/>
    <col min="4" max="5" width="18.81640625" style="4" customWidth="1"/>
    <col min="6" max="6" width="13.81640625" style="4" customWidth="1"/>
    <col min="7" max="7" width="11.1796875" style="4" customWidth="1"/>
    <col min="8" max="8" width="15.81640625" style="4" bestFit="1" customWidth="1"/>
    <col min="9" max="9" width="14.1796875" style="4" customWidth="1"/>
    <col min="10" max="10" width="13.81640625" style="4" customWidth="1"/>
    <col min="11" max="11" width="15" style="4" customWidth="1"/>
    <col min="12" max="12" width="17.1796875" style="4" customWidth="1"/>
    <col min="13" max="13" width="11.1796875" style="4" customWidth="1"/>
    <col min="14" max="14" width="20.453125" style="4" bestFit="1" customWidth="1"/>
    <col min="15" max="15" width="14.54296875" style="4" bestFit="1" customWidth="1"/>
    <col min="16" max="16" width="22.54296875" style="4" bestFit="1" customWidth="1"/>
    <col min="17" max="17" width="23.81640625" style="4" customWidth="1"/>
    <col min="18" max="18" width="18" style="4" customWidth="1"/>
    <col min="19" max="19" width="20.81640625" style="4" bestFit="1" customWidth="1"/>
    <col min="20" max="20" width="14.81640625" style="4" customWidth="1"/>
    <col min="21" max="21" width="6.54296875" style="4" customWidth="1"/>
    <col min="22" max="16384" width="8.81640625" style="4"/>
  </cols>
  <sheetData>
    <row r="1" spans="1:16" x14ac:dyDescent="0.3">
      <c r="A1" s="683"/>
    </row>
    <row r="2" spans="1:16" ht="15" x14ac:dyDescent="0.3">
      <c r="B2" s="199" t="s">
        <v>297</v>
      </c>
    </row>
    <row r="3" spans="1:16" x14ac:dyDescent="0.3">
      <c r="L3" s="472"/>
    </row>
    <row r="4" spans="1:16" ht="30" customHeight="1" x14ac:dyDescent="0.3">
      <c r="B4" s="108" t="s">
        <v>298</v>
      </c>
      <c r="C4" s="109"/>
      <c r="D4" s="109"/>
      <c r="E4" s="109"/>
      <c r="F4" s="664" t="s">
        <v>299</v>
      </c>
      <c r="G4" s="664"/>
      <c r="H4" s="664" t="s">
        <v>300</v>
      </c>
      <c r="I4" s="664"/>
      <c r="J4" s="664" t="s">
        <v>301</v>
      </c>
      <c r="K4" s="665"/>
      <c r="N4" s="663" t="s">
        <v>302</v>
      </c>
      <c r="O4" s="664"/>
      <c r="P4" s="665"/>
    </row>
    <row r="5" spans="1:16" ht="26" x14ac:dyDescent="0.3">
      <c r="B5" s="110" t="s">
        <v>184</v>
      </c>
      <c r="C5" s="111" t="s">
        <v>155</v>
      </c>
      <c r="D5" s="111" t="s">
        <v>156</v>
      </c>
      <c r="E5" s="111" t="s">
        <v>303</v>
      </c>
      <c r="F5" s="112" t="s">
        <v>304</v>
      </c>
      <c r="G5" s="112" t="s">
        <v>305</v>
      </c>
      <c r="H5" s="112" t="s">
        <v>306</v>
      </c>
      <c r="I5" s="112" t="s">
        <v>307</v>
      </c>
      <c r="J5" s="112" t="s">
        <v>308</v>
      </c>
      <c r="K5" s="112" t="s">
        <v>309</v>
      </c>
      <c r="N5" s="113" t="s">
        <v>310</v>
      </c>
      <c r="O5" s="114" t="s">
        <v>311</v>
      </c>
      <c r="P5" s="115" t="s">
        <v>312</v>
      </c>
    </row>
    <row r="6" spans="1:16" x14ac:dyDescent="0.3">
      <c r="B6" s="116" t="s">
        <v>313</v>
      </c>
      <c r="C6" s="117" t="s">
        <v>314</v>
      </c>
      <c r="D6" s="118" t="s">
        <v>279</v>
      </c>
      <c r="E6" s="117" t="s">
        <v>314</v>
      </c>
      <c r="F6" s="119"/>
      <c r="G6" s="120"/>
      <c r="H6" s="119"/>
      <c r="I6" s="121"/>
      <c r="J6" s="122"/>
      <c r="K6" s="123"/>
      <c r="N6" s="124"/>
      <c r="O6" s="4" t="s">
        <v>315</v>
      </c>
      <c r="P6" s="125">
        <f>0.000001</f>
        <v>9.9999999999999995E-7</v>
      </c>
    </row>
    <row r="7" spans="1:16" x14ac:dyDescent="0.3">
      <c r="B7" s="22"/>
      <c r="C7" s="20"/>
      <c r="D7" s="126"/>
      <c r="E7" s="20"/>
      <c r="F7" s="29"/>
      <c r="G7" s="68"/>
      <c r="H7" s="29"/>
      <c r="I7" s="68"/>
      <c r="J7" s="127"/>
      <c r="K7" s="128"/>
      <c r="N7" s="124"/>
      <c r="O7" s="4" t="s">
        <v>316</v>
      </c>
      <c r="P7" s="125">
        <f>0.00001</f>
        <v>1.0000000000000001E-5</v>
      </c>
    </row>
    <row r="8" spans="1:16" x14ac:dyDescent="0.3">
      <c r="M8" s="473"/>
      <c r="N8" s="124" t="s">
        <v>317</v>
      </c>
      <c r="O8" s="4" t="s">
        <v>318</v>
      </c>
      <c r="P8" s="125">
        <f>0.0001</f>
        <v>1E-4</v>
      </c>
    </row>
    <row r="9" spans="1:16" ht="15" customHeight="1" x14ac:dyDescent="0.3">
      <c r="F9" s="129"/>
      <c r="G9" s="666" t="s">
        <v>75</v>
      </c>
      <c r="H9" s="666"/>
      <c r="I9" s="129" t="s">
        <v>67</v>
      </c>
      <c r="J9" s="129"/>
      <c r="K9" s="129"/>
      <c r="M9" s="473"/>
      <c r="N9" s="124"/>
      <c r="O9" s="4" t="s">
        <v>319</v>
      </c>
      <c r="P9" s="130"/>
    </row>
    <row r="10" spans="1:16" ht="15" customHeight="1" x14ac:dyDescent="0.3">
      <c r="B10" s="108" t="s">
        <v>320</v>
      </c>
      <c r="C10" s="660" t="s">
        <v>155</v>
      </c>
      <c r="D10" s="660"/>
      <c r="E10" s="660"/>
      <c r="F10" s="131"/>
      <c r="G10" s="661" t="s">
        <v>321</v>
      </c>
      <c r="H10" s="661"/>
      <c r="I10" s="661"/>
      <c r="J10" s="661"/>
      <c r="K10" s="661" t="s">
        <v>322</v>
      </c>
      <c r="L10" s="667"/>
      <c r="M10" s="132"/>
      <c r="N10" s="124"/>
      <c r="O10" s="4" t="s">
        <v>323</v>
      </c>
      <c r="P10" s="130"/>
    </row>
    <row r="11" spans="1:16" ht="30.75" customHeight="1" x14ac:dyDescent="0.3">
      <c r="B11" s="111" t="s">
        <v>19</v>
      </c>
      <c r="C11" s="111" t="s">
        <v>324</v>
      </c>
      <c r="D11" s="111" t="s">
        <v>325</v>
      </c>
      <c r="E11" s="111" t="s">
        <v>156</v>
      </c>
      <c r="F11" s="111" t="s">
        <v>303</v>
      </c>
      <c r="G11" s="112" t="s">
        <v>326</v>
      </c>
      <c r="H11" s="112" t="s">
        <v>327</v>
      </c>
      <c r="I11" s="112" t="s">
        <v>328</v>
      </c>
      <c r="J11" s="112" t="s">
        <v>329</v>
      </c>
      <c r="K11" s="112" t="s">
        <v>330</v>
      </c>
      <c r="L11" s="112" t="s">
        <v>331</v>
      </c>
      <c r="M11" s="132"/>
      <c r="N11" s="124"/>
      <c r="O11" s="4" t="s">
        <v>332</v>
      </c>
      <c r="P11" s="130"/>
    </row>
    <row r="12" spans="1:16" ht="26" x14ac:dyDescent="0.3">
      <c r="B12" s="12" t="s">
        <v>162</v>
      </c>
      <c r="C12" s="133" t="s">
        <v>333</v>
      </c>
      <c r="D12" s="133"/>
      <c r="E12" s="133"/>
      <c r="F12" s="133" t="s">
        <v>108</v>
      </c>
      <c r="G12" s="133" t="s">
        <v>334</v>
      </c>
      <c r="H12" s="133" t="s">
        <v>334</v>
      </c>
      <c r="I12" s="133">
        <v>12</v>
      </c>
      <c r="J12" s="133">
        <v>30</v>
      </c>
      <c r="K12" s="133" t="s">
        <v>334</v>
      </c>
      <c r="L12" s="134" t="s">
        <v>334</v>
      </c>
      <c r="N12" s="135"/>
      <c r="O12" s="129" t="s">
        <v>335</v>
      </c>
      <c r="P12" s="136"/>
    </row>
    <row r="13" spans="1:16" ht="26" x14ac:dyDescent="0.3">
      <c r="B13" s="12" t="s">
        <v>163</v>
      </c>
      <c r="C13" s="133" t="s">
        <v>333</v>
      </c>
      <c r="D13" s="133"/>
      <c r="E13" s="133"/>
      <c r="F13" s="133" t="s">
        <v>113</v>
      </c>
      <c r="G13" s="133" t="s">
        <v>334</v>
      </c>
      <c r="H13" s="133" t="s">
        <v>334</v>
      </c>
      <c r="I13" s="133">
        <v>12</v>
      </c>
      <c r="J13" s="133">
        <v>30</v>
      </c>
      <c r="K13" s="133" t="s">
        <v>334</v>
      </c>
      <c r="L13" s="138" t="s">
        <v>334</v>
      </c>
    </row>
    <row r="14" spans="1:16" ht="26" x14ac:dyDescent="0.3">
      <c r="B14" s="137" t="s">
        <v>164</v>
      </c>
      <c r="C14" s="133" t="s">
        <v>333</v>
      </c>
      <c r="D14" s="133"/>
      <c r="E14" s="133"/>
      <c r="F14" s="133" t="s">
        <v>119</v>
      </c>
      <c r="G14" s="133" t="s">
        <v>334</v>
      </c>
      <c r="H14" s="133" t="s">
        <v>334</v>
      </c>
      <c r="I14" s="133">
        <v>12</v>
      </c>
      <c r="J14" s="133">
        <v>30</v>
      </c>
      <c r="K14" s="133" t="s">
        <v>334</v>
      </c>
      <c r="L14" s="138" t="s">
        <v>334</v>
      </c>
      <c r="N14" s="139" t="s">
        <v>336</v>
      </c>
    </row>
    <row r="15" spans="1:16" ht="15.5" x14ac:dyDescent="0.3">
      <c r="B15" s="140" t="s">
        <v>165</v>
      </c>
      <c r="C15" s="268"/>
      <c r="D15" s="268"/>
      <c r="E15" s="268"/>
      <c r="F15" s="141" t="s">
        <v>131</v>
      </c>
      <c r="G15" s="141" t="s">
        <v>334</v>
      </c>
      <c r="H15" s="141" t="s">
        <v>334</v>
      </c>
      <c r="I15" s="141" t="s">
        <v>334</v>
      </c>
      <c r="J15" s="141" t="s">
        <v>334</v>
      </c>
      <c r="K15" s="273"/>
      <c r="L15" s="289"/>
      <c r="N15" s="142">
        <f>24.45/O16</f>
        <v>7.8275067230119094E-2</v>
      </c>
      <c r="O15" s="143" t="s">
        <v>337</v>
      </c>
    </row>
    <row r="16" spans="1:16" ht="30" customHeight="1" x14ac:dyDescent="0.3">
      <c r="N16" s="142" t="s">
        <v>338</v>
      </c>
      <c r="O16" s="143">
        <v>312.36</v>
      </c>
      <c r="P16" s="4" t="s">
        <v>339</v>
      </c>
    </row>
    <row r="18" spans="16:17" ht="45" customHeight="1" x14ac:dyDescent="0.3"/>
    <row r="20" spans="16:17" ht="45" customHeight="1" x14ac:dyDescent="0.3"/>
    <row r="21" spans="16:17" ht="45" customHeight="1" x14ac:dyDescent="0.3"/>
    <row r="22" spans="16:17" ht="45" customHeight="1" x14ac:dyDescent="0.3"/>
    <row r="24" spans="16:17" ht="45" customHeight="1" x14ac:dyDescent="0.3"/>
    <row r="25" spans="16:17" x14ac:dyDescent="0.3">
      <c r="P25" s="662"/>
      <c r="Q25" s="662"/>
    </row>
    <row r="26" spans="16:17" x14ac:dyDescent="0.3">
      <c r="P26" s="29"/>
      <c r="Q26" s="91"/>
    </row>
    <row r="27" spans="16:17" x14ac:dyDescent="0.3">
      <c r="P27" s="16"/>
      <c r="Q27" s="144"/>
    </row>
    <row r="28" spans="16:17" x14ac:dyDescent="0.3">
      <c r="P28" s="16"/>
      <c r="Q28" s="144"/>
    </row>
    <row r="29" spans="16:17" ht="15" customHeight="1" x14ac:dyDescent="0.3">
      <c r="P29" s="126"/>
      <c r="Q29" s="14"/>
    </row>
  </sheetData>
  <sheetProtection sheet="1" objects="1" scenarios="1" formatCells="0" formatColumns="0" formatRows="0"/>
  <mergeCells count="9">
    <mergeCell ref="C10:E10"/>
    <mergeCell ref="G10:J10"/>
    <mergeCell ref="P25:Q25"/>
    <mergeCell ref="N4:P4"/>
    <mergeCell ref="G9:H9"/>
    <mergeCell ref="K10:L10"/>
    <mergeCell ref="F4:G4"/>
    <mergeCell ref="H4:I4"/>
    <mergeCell ref="J4:K4"/>
  </mergeCells>
  <phoneticPr fontId="2" type="noConversion"/>
  <pageMargins left="0.7" right="0.7" top="0.75" bottom="0.75" header="0.3" footer="0.3"/>
  <pageSetup orientation="portrait" horizontalDpi="1200" verticalDpi="1200" r:id="rId1"/>
  <tableParts count="2">
    <tablePart r:id="rId2"/>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70EE2DC-4EE0-4CF0-B381-0DF510B873A9}">
  <sheetPr codeName="Sheet9">
    <tabColor theme="1"/>
  </sheetPr>
  <dimension ref="A1:O62"/>
  <sheetViews>
    <sheetView workbookViewId="0"/>
  </sheetViews>
  <sheetFormatPr defaultColWidth="9.1796875" defaultRowHeight="13" x14ac:dyDescent="0.3"/>
  <cols>
    <col min="1" max="1" width="9.1796875" style="1"/>
    <col min="2" max="2" width="88.81640625" style="1" bestFit="1" customWidth="1"/>
    <col min="3" max="3" width="9.1796875" style="1"/>
    <col min="4" max="4" width="38.81640625" style="1" customWidth="1"/>
    <col min="5" max="5" width="21" style="1" customWidth="1"/>
    <col min="6" max="6" width="37.1796875" style="1" customWidth="1"/>
    <col min="7" max="7" width="25" style="1" customWidth="1"/>
    <col min="8" max="9" width="9.1796875" style="1"/>
    <col min="10" max="10" width="48.1796875" style="1" customWidth="1"/>
    <col min="11" max="11" width="9.1796875" style="1" customWidth="1"/>
    <col min="12" max="12" width="46" style="1" hidden="1" customWidth="1"/>
    <col min="13" max="13" width="14.1796875" style="1" hidden="1" customWidth="1"/>
    <col min="14" max="14" width="65.453125" style="1" hidden="1" customWidth="1"/>
    <col min="15" max="15" width="9.1796875" style="1" hidden="1" customWidth="1"/>
    <col min="16" max="16384" width="9.1796875" style="1"/>
  </cols>
  <sheetData>
    <row r="1" spans="1:15" ht="13.5" thickBot="1" x14ac:dyDescent="0.35">
      <c r="A1" s="684"/>
      <c r="B1" s="173" t="s">
        <v>340</v>
      </c>
      <c r="C1" s="172"/>
      <c r="D1" s="174" t="s">
        <v>341</v>
      </c>
      <c r="E1" s="172"/>
      <c r="F1" s="174" t="s">
        <v>19</v>
      </c>
      <c r="G1" s="172"/>
      <c r="H1" s="172"/>
      <c r="I1" s="172"/>
      <c r="J1" s="172"/>
    </row>
    <row r="2" spans="1:15" ht="15" thickTop="1" x14ac:dyDescent="0.3">
      <c r="A2" s="175"/>
      <c r="B2" s="381" t="s">
        <v>219</v>
      </c>
      <c r="C2" s="172"/>
      <c r="D2" s="176" t="s">
        <v>213</v>
      </c>
      <c r="E2" s="172"/>
      <c r="F2" s="177" t="s">
        <v>130</v>
      </c>
      <c r="G2" s="172"/>
      <c r="H2" s="172"/>
      <c r="I2" s="172"/>
      <c r="J2" s="172"/>
      <c r="L2" s="145" t="s">
        <v>342</v>
      </c>
      <c r="M2" s="146" t="s">
        <v>213</v>
      </c>
      <c r="N2" s="147" t="str">
        <f>L2&amp;M2</f>
        <v>Manufacturing - 8-hr TWAMonitoring Data</v>
      </c>
      <c r="O2" s="148" t="s">
        <v>343</v>
      </c>
    </row>
    <row r="3" spans="1:15" ht="15" thickBot="1" x14ac:dyDescent="0.35">
      <c r="A3" s="175"/>
      <c r="B3" s="314" t="s">
        <v>215</v>
      </c>
      <c r="C3" s="172"/>
      <c r="D3" s="178" t="s">
        <v>218</v>
      </c>
      <c r="E3" s="172"/>
      <c r="F3" s="179" t="s">
        <v>94</v>
      </c>
      <c r="G3" s="172"/>
      <c r="H3" s="172"/>
      <c r="I3" s="172"/>
      <c r="J3" s="172"/>
      <c r="L3" s="145" t="s">
        <v>342</v>
      </c>
      <c r="M3" s="146" t="s">
        <v>213</v>
      </c>
      <c r="N3" s="147" t="str">
        <f t="shared" ref="N3:N62" si="0">L3&amp;M3</f>
        <v>Manufacturing - 8-hr TWAMonitoring Data</v>
      </c>
      <c r="O3" s="148" t="s">
        <v>343</v>
      </c>
    </row>
    <row r="4" spans="1:15" ht="15" thickBot="1" x14ac:dyDescent="0.35">
      <c r="A4" s="175"/>
      <c r="B4" s="314" t="s">
        <v>210</v>
      </c>
      <c r="C4" s="172"/>
      <c r="D4" s="172"/>
      <c r="E4" s="172"/>
      <c r="F4" s="149"/>
      <c r="G4" s="172"/>
      <c r="H4" s="172"/>
      <c r="I4" s="172"/>
      <c r="J4" s="172"/>
      <c r="L4" s="145" t="s">
        <v>344</v>
      </c>
      <c r="M4" s="146" t="s">
        <v>213</v>
      </c>
      <c r="N4" s="147" t="str">
        <f t="shared" si="0"/>
        <v>Manufacturing - 12-hr TWAMonitoring Data</v>
      </c>
      <c r="O4" s="148" t="s">
        <v>345</v>
      </c>
    </row>
    <row r="5" spans="1:15" ht="15" thickBot="1" x14ac:dyDescent="0.35">
      <c r="A5" s="175"/>
      <c r="B5" s="315" t="s">
        <v>224</v>
      </c>
      <c r="C5" s="172"/>
      <c r="D5" s="174" t="s">
        <v>168</v>
      </c>
      <c r="E5" s="172"/>
      <c r="F5" s="174"/>
      <c r="G5" s="180" t="s">
        <v>346</v>
      </c>
      <c r="H5" s="180" t="s">
        <v>347</v>
      </c>
      <c r="I5" s="150"/>
      <c r="J5" s="151"/>
      <c r="L5" s="145" t="s">
        <v>344</v>
      </c>
      <c r="M5" s="146" t="s">
        <v>213</v>
      </c>
      <c r="N5" s="147" t="str">
        <f t="shared" si="0"/>
        <v>Manufacturing - 12-hr TWAMonitoring Data</v>
      </c>
      <c r="O5" s="148" t="s">
        <v>345</v>
      </c>
    </row>
    <row r="6" spans="1:15" ht="15" thickTop="1" x14ac:dyDescent="0.3">
      <c r="A6" s="175"/>
      <c r="B6" s="315" t="s">
        <v>222</v>
      </c>
      <c r="C6" s="172"/>
      <c r="D6" s="181" t="s">
        <v>214</v>
      </c>
      <c r="E6" s="172"/>
      <c r="F6" s="152" t="s">
        <v>348</v>
      </c>
      <c r="G6" s="153">
        <v>330.43</v>
      </c>
      <c r="H6" s="154" t="s">
        <v>339</v>
      </c>
      <c r="I6" s="150"/>
      <c r="J6" s="172"/>
      <c r="L6" s="145" t="s">
        <v>349</v>
      </c>
      <c r="M6" s="146" t="s">
        <v>213</v>
      </c>
      <c r="N6" s="147" t="str">
        <f t="shared" si="0"/>
        <v>RepackagingMonitoring Data</v>
      </c>
      <c r="O6" s="148">
        <v>11</v>
      </c>
    </row>
    <row r="7" spans="1:15" ht="15" thickBot="1" x14ac:dyDescent="0.35">
      <c r="A7" s="175"/>
      <c r="B7" s="315" t="s">
        <v>227</v>
      </c>
      <c r="C7" s="172"/>
      <c r="D7" s="254" t="s">
        <v>74</v>
      </c>
      <c r="E7" s="172"/>
      <c r="F7" s="155" t="s">
        <v>350</v>
      </c>
      <c r="G7" s="291">
        <v>0.42901063764373121</v>
      </c>
      <c r="H7" s="157" t="s">
        <v>351</v>
      </c>
      <c r="I7" s="150"/>
      <c r="J7" s="172"/>
      <c r="L7" s="145" t="s">
        <v>352</v>
      </c>
      <c r="M7" s="146" t="s">
        <v>213</v>
      </c>
      <c r="N7" s="147" t="str">
        <f t="shared" si="0"/>
        <v>Processing as Reactant/Intermediate - 8-hr TWAMonitoring Data</v>
      </c>
      <c r="O7" s="148" t="s">
        <v>353</v>
      </c>
    </row>
    <row r="8" spans="1:15" ht="15" thickBot="1" x14ac:dyDescent="0.35">
      <c r="A8" s="175"/>
      <c r="B8" s="380" t="s">
        <v>225</v>
      </c>
      <c r="C8" s="172"/>
      <c r="D8" s="182" t="s">
        <v>94</v>
      </c>
      <c r="E8" s="172"/>
      <c r="F8" s="150"/>
      <c r="G8" s="150"/>
      <c r="H8" s="150"/>
      <c r="I8" s="150"/>
      <c r="J8" s="149"/>
      <c r="L8" s="145" t="s">
        <v>352</v>
      </c>
      <c r="M8" s="146" t="s">
        <v>213</v>
      </c>
      <c r="N8" s="147" t="str">
        <f t="shared" si="0"/>
        <v>Processing as Reactant/Intermediate - 8-hr TWAMonitoring Data</v>
      </c>
      <c r="O8" s="148" t="s">
        <v>353</v>
      </c>
    </row>
    <row r="9" spans="1:15" ht="15" thickBot="1" x14ac:dyDescent="0.35">
      <c r="A9" s="175"/>
      <c r="B9" s="315" t="s">
        <v>141</v>
      </c>
      <c r="C9" s="172"/>
      <c r="D9" s="172"/>
      <c r="E9" s="172"/>
      <c r="F9" s="174" t="s">
        <v>354</v>
      </c>
      <c r="G9" s="180" t="s">
        <v>355</v>
      </c>
      <c r="H9" s="180" t="s">
        <v>346</v>
      </c>
      <c r="I9" s="180" t="s">
        <v>347</v>
      </c>
      <c r="J9" s="172"/>
      <c r="L9" s="145" t="s">
        <v>356</v>
      </c>
      <c r="M9" s="146" t="s">
        <v>213</v>
      </c>
      <c r="N9" s="147" t="str">
        <f t="shared" si="0"/>
        <v>Processing as Reactant/Intermediate - 12-hr TWAMonitoring Data</v>
      </c>
      <c r="O9" s="148" t="s">
        <v>357</v>
      </c>
    </row>
    <row r="10" spans="1:15" ht="15.5" thickTop="1" thickBot="1" x14ac:dyDescent="0.35">
      <c r="A10" s="175"/>
      <c r="B10" s="315" t="s">
        <v>232</v>
      </c>
      <c r="C10" s="172"/>
      <c r="D10" s="174" t="s">
        <v>358</v>
      </c>
      <c r="E10" s="172"/>
      <c r="F10" s="158" t="s">
        <v>359</v>
      </c>
      <c r="G10" s="159" t="s">
        <v>360</v>
      </c>
      <c r="H10" s="159">
        <v>8</v>
      </c>
      <c r="I10" s="160" t="s">
        <v>361</v>
      </c>
      <c r="J10" s="172"/>
      <c r="L10" s="145" t="s">
        <v>356</v>
      </c>
      <c r="M10" s="146" t="s">
        <v>213</v>
      </c>
      <c r="N10" s="147" t="str">
        <f t="shared" si="0"/>
        <v>Processing as Reactant/Intermediate - 12-hr TWAMonitoring Data</v>
      </c>
      <c r="O10" s="148" t="s">
        <v>357</v>
      </c>
    </row>
    <row r="11" spans="1:15" ht="15" thickTop="1" x14ac:dyDescent="0.3">
      <c r="A11" s="175"/>
      <c r="B11" s="315" t="s">
        <v>229</v>
      </c>
      <c r="C11" s="172"/>
      <c r="D11" s="183">
        <v>0.5</v>
      </c>
      <c r="E11" s="172"/>
      <c r="F11" s="161" t="s">
        <v>362</v>
      </c>
      <c r="G11" s="162" t="s">
        <v>363</v>
      </c>
      <c r="H11" s="162">
        <v>10</v>
      </c>
      <c r="I11" s="163" t="s">
        <v>361</v>
      </c>
      <c r="J11" s="172"/>
      <c r="L11" s="145" t="s">
        <v>364</v>
      </c>
      <c r="M11" s="146" t="s">
        <v>213</v>
      </c>
      <c r="N11" s="147" t="str">
        <f t="shared" si="0"/>
        <v>Incorporation into Formulation - Aerosol PackingMonitoring Data</v>
      </c>
      <c r="O11" s="148" t="s">
        <v>365</v>
      </c>
    </row>
    <row r="12" spans="1:15" ht="15" thickBot="1" x14ac:dyDescent="0.35">
      <c r="A12" s="175"/>
      <c r="B12" s="315" t="s">
        <v>231</v>
      </c>
      <c r="C12" s="172"/>
      <c r="D12" s="184">
        <v>0.99</v>
      </c>
      <c r="E12" s="172"/>
      <c r="F12" s="161" t="s">
        <v>366</v>
      </c>
      <c r="G12" s="162" t="s">
        <v>367</v>
      </c>
      <c r="H12" s="162">
        <v>24</v>
      </c>
      <c r="I12" s="163" t="s">
        <v>361</v>
      </c>
      <c r="J12" s="172"/>
      <c r="L12" s="145" t="s">
        <v>368</v>
      </c>
      <c r="M12" s="146" t="s">
        <v>218</v>
      </c>
      <c r="N12" s="147" t="str">
        <f t="shared" si="0"/>
        <v>Incorporation into Formulation - Degreasing SolventModeled Data</v>
      </c>
      <c r="O12" s="148" t="s">
        <v>369</v>
      </c>
    </row>
    <row r="13" spans="1:15" ht="18" customHeight="1" thickBot="1" x14ac:dyDescent="0.35">
      <c r="A13" s="175"/>
      <c r="B13" s="315" t="s">
        <v>73</v>
      </c>
      <c r="C13" s="172"/>
      <c r="D13" s="172"/>
      <c r="E13" s="172"/>
      <c r="F13" s="161" t="s">
        <v>370</v>
      </c>
      <c r="G13" s="162" t="s">
        <v>371</v>
      </c>
      <c r="H13" s="162">
        <v>250</v>
      </c>
      <c r="I13" s="163" t="s">
        <v>372</v>
      </c>
      <c r="J13" s="172"/>
      <c r="L13" s="145" t="s">
        <v>373</v>
      </c>
      <c r="M13" s="146" t="s">
        <v>218</v>
      </c>
      <c r="N13" s="147" t="str">
        <f t="shared" si="0"/>
        <v>Incorporation into Formulation - Dry Cleaning SolventModeled Data</v>
      </c>
      <c r="O13" s="148" t="s">
        <v>374</v>
      </c>
    </row>
    <row r="14" spans="1:15" ht="15" thickBot="1" x14ac:dyDescent="0.35">
      <c r="A14" s="172"/>
      <c r="B14" s="315" t="s">
        <v>234</v>
      </c>
      <c r="C14" s="172"/>
      <c r="D14" s="174" t="s">
        <v>375</v>
      </c>
      <c r="E14" s="172"/>
      <c r="F14" s="161" t="s">
        <v>376</v>
      </c>
      <c r="G14" s="162" t="s">
        <v>377</v>
      </c>
      <c r="H14" s="162">
        <v>22</v>
      </c>
      <c r="I14" s="163" t="s">
        <v>372</v>
      </c>
      <c r="J14" s="172"/>
      <c r="L14" s="145" t="s">
        <v>378</v>
      </c>
      <c r="M14" s="146" t="s">
        <v>218</v>
      </c>
      <c r="N14" s="147" t="str">
        <f t="shared" si="0"/>
        <v>Incorporation into Formulation - MiscellaneousModeled Data</v>
      </c>
      <c r="O14" s="148" t="s">
        <v>379</v>
      </c>
    </row>
    <row r="15" spans="1:15" ht="15" thickTop="1" x14ac:dyDescent="0.3">
      <c r="A15" s="175"/>
      <c r="B15" s="315" t="s">
        <v>238</v>
      </c>
      <c r="C15" s="172"/>
      <c r="D15" s="176">
        <v>5</v>
      </c>
      <c r="E15" s="172"/>
      <c r="F15" s="161" t="s">
        <v>380</v>
      </c>
      <c r="G15" s="162" t="s">
        <v>381</v>
      </c>
      <c r="H15" s="162">
        <v>30</v>
      </c>
      <c r="I15" s="163" t="s">
        <v>372</v>
      </c>
      <c r="J15" s="172"/>
      <c r="L15" s="145" t="s">
        <v>382</v>
      </c>
      <c r="M15" s="146" t="s">
        <v>213</v>
      </c>
      <c r="N15" s="147" t="str">
        <f t="shared" si="0"/>
        <v>Open-top Vapor DegreasingMonitoring Data</v>
      </c>
      <c r="O15" s="148" t="s">
        <v>383</v>
      </c>
    </row>
    <row r="16" spans="1:15" ht="14.5" x14ac:dyDescent="0.3">
      <c r="A16" s="175"/>
      <c r="B16" s="315" t="s">
        <v>237</v>
      </c>
      <c r="C16" s="172"/>
      <c r="D16" s="176">
        <v>10</v>
      </c>
      <c r="E16" s="172"/>
      <c r="F16" s="161" t="s">
        <v>384</v>
      </c>
      <c r="G16" s="162" t="s">
        <v>385</v>
      </c>
      <c r="H16" s="162">
        <v>31</v>
      </c>
      <c r="I16" s="163" t="s">
        <v>386</v>
      </c>
      <c r="J16" s="172"/>
      <c r="L16" s="145" t="s">
        <v>382</v>
      </c>
      <c r="M16" s="146" t="s">
        <v>213</v>
      </c>
      <c r="N16" s="147" t="str">
        <f t="shared" si="0"/>
        <v>Open-top Vapor DegreasingMonitoring Data</v>
      </c>
      <c r="O16" s="148" t="s">
        <v>383</v>
      </c>
    </row>
    <row r="17" spans="1:15" ht="14.5" x14ac:dyDescent="0.3">
      <c r="A17" s="175"/>
      <c r="B17" s="315" t="s">
        <v>167</v>
      </c>
      <c r="C17" s="172"/>
      <c r="D17" s="176">
        <v>25</v>
      </c>
      <c r="E17" s="172"/>
      <c r="F17" s="161" t="s">
        <v>387</v>
      </c>
      <c r="G17" s="162" t="s">
        <v>388</v>
      </c>
      <c r="H17" s="162">
        <v>40</v>
      </c>
      <c r="I17" s="163" t="s">
        <v>386</v>
      </c>
      <c r="J17" s="172"/>
      <c r="L17" s="145" t="s">
        <v>389</v>
      </c>
      <c r="M17" s="146" t="s">
        <v>213</v>
      </c>
      <c r="N17" s="147" t="str">
        <f t="shared" si="0"/>
        <v>Closed Loop Vapor DegreasingMonitoring Data</v>
      </c>
      <c r="O17" s="148">
        <v>3</v>
      </c>
    </row>
    <row r="18" spans="1:15" ht="14.5" x14ac:dyDescent="0.3">
      <c r="A18" s="175"/>
      <c r="B18" s="315" t="s">
        <v>242</v>
      </c>
      <c r="C18" s="172"/>
      <c r="D18" s="176">
        <v>50</v>
      </c>
      <c r="E18" s="172"/>
      <c r="F18" s="161" t="s">
        <v>390</v>
      </c>
      <c r="G18" s="162" t="s">
        <v>391</v>
      </c>
      <c r="H18" s="162">
        <v>78</v>
      </c>
      <c r="I18" s="163" t="s">
        <v>386</v>
      </c>
      <c r="J18" s="151"/>
      <c r="L18" s="145" t="s">
        <v>389</v>
      </c>
      <c r="M18" s="146" t="s">
        <v>213</v>
      </c>
      <c r="N18" s="147" t="str">
        <f t="shared" si="0"/>
        <v>Closed Loop Vapor DegreasingMonitoring Data</v>
      </c>
      <c r="O18" s="148">
        <v>3</v>
      </c>
    </row>
    <row r="19" spans="1:15" ht="14.5" x14ac:dyDescent="0.3">
      <c r="A19" s="175"/>
      <c r="B19" s="315" t="s">
        <v>240</v>
      </c>
      <c r="C19" s="172"/>
      <c r="D19" s="176">
        <v>1000</v>
      </c>
      <c r="E19" s="172"/>
      <c r="F19" s="161" t="s">
        <v>392</v>
      </c>
      <c r="G19" s="162" t="s">
        <v>393</v>
      </c>
      <c r="H19" s="164">
        <f>WY_mid*365</f>
        <v>11315</v>
      </c>
      <c r="I19" s="163" t="s">
        <v>394</v>
      </c>
      <c r="J19" s="151"/>
      <c r="L19" s="145" t="s">
        <v>395</v>
      </c>
      <c r="M19" s="146" t="s">
        <v>218</v>
      </c>
      <c r="N19" s="147" t="str">
        <f t="shared" si="0"/>
        <v>Conveyorized Vapor DegreasingModeled Data</v>
      </c>
      <c r="O19" s="148">
        <v>4</v>
      </c>
    </row>
    <row r="20" spans="1:15" ht="15" thickBot="1" x14ac:dyDescent="0.35">
      <c r="A20" s="175"/>
      <c r="B20" s="316" t="s">
        <v>244</v>
      </c>
      <c r="C20" s="172"/>
      <c r="D20" s="178">
        <v>10000</v>
      </c>
      <c r="E20" s="172"/>
      <c r="F20" s="161" t="s">
        <v>396</v>
      </c>
      <c r="G20" s="162" t="s">
        <v>397</v>
      </c>
      <c r="H20" s="164">
        <f>WY_high*365</f>
        <v>14600</v>
      </c>
      <c r="I20" s="163" t="s">
        <v>394</v>
      </c>
      <c r="J20" s="172"/>
      <c r="L20" s="145" t="s">
        <v>395</v>
      </c>
      <c r="M20" s="146" t="s">
        <v>218</v>
      </c>
      <c r="N20" s="147" t="str">
        <f t="shared" si="0"/>
        <v>Conveyorized Vapor DegreasingModeled Data</v>
      </c>
      <c r="O20" s="148">
        <v>4</v>
      </c>
    </row>
    <row r="21" spans="1:15" ht="13.5" thickBot="1" x14ac:dyDescent="0.35">
      <c r="A21" s="175"/>
      <c r="B21" s="172"/>
      <c r="C21" s="172"/>
      <c r="D21" s="172"/>
      <c r="E21" s="172"/>
      <c r="F21" s="155" t="s">
        <v>398</v>
      </c>
      <c r="G21" s="156" t="s">
        <v>399</v>
      </c>
      <c r="H21" s="166">
        <f>LT*365</f>
        <v>28470</v>
      </c>
      <c r="I21" s="157" t="s">
        <v>394</v>
      </c>
      <c r="J21" s="172"/>
      <c r="L21" s="145" t="s">
        <v>400</v>
      </c>
      <c r="M21" s="146" t="s">
        <v>218</v>
      </c>
      <c r="N21" s="147" t="str">
        <f t="shared" si="0"/>
        <v>Web DegreasingModeled Data</v>
      </c>
      <c r="O21" s="148">
        <v>5</v>
      </c>
    </row>
    <row r="22" spans="1:15" ht="13.5" thickBot="1" x14ac:dyDescent="0.35">
      <c r="A22" s="172"/>
      <c r="B22" s="172"/>
      <c r="C22" s="172"/>
      <c r="D22" s="174" t="s">
        <v>401</v>
      </c>
      <c r="E22" s="165" t="s">
        <v>402</v>
      </c>
      <c r="F22" s="172"/>
      <c r="G22" s="172"/>
      <c r="H22" s="172"/>
      <c r="I22" s="172"/>
      <c r="J22" s="172"/>
      <c r="L22" s="145" t="s">
        <v>400</v>
      </c>
      <c r="M22" s="146" t="s">
        <v>218</v>
      </c>
      <c r="N22" s="147" t="str">
        <f t="shared" si="0"/>
        <v>Web DegreasingModeled Data</v>
      </c>
      <c r="O22" s="148">
        <v>5</v>
      </c>
    </row>
    <row r="23" spans="1:15" ht="13.5" thickTop="1" x14ac:dyDescent="0.3">
      <c r="A23" s="172"/>
      <c r="B23" s="172"/>
      <c r="C23" s="172"/>
      <c r="D23" s="185">
        <v>5</v>
      </c>
      <c r="E23" s="165" t="s">
        <v>403</v>
      </c>
      <c r="F23" s="172"/>
      <c r="G23" s="172"/>
      <c r="H23" s="172"/>
      <c r="I23" s="172"/>
      <c r="J23" s="172"/>
      <c r="L23" s="145" t="s">
        <v>404</v>
      </c>
      <c r="M23" s="146" t="s">
        <v>213</v>
      </c>
      <c r="N23" s="147" t="str">
        <f t="shared" si="0"/>
        <v>Cold CleaningMonitoring Data</v>
      </c>
      <c r="O23" s="148" t="s">
        <v>405</v>
      </c>
    </row>
    <row r="24" spans="1:15" x14ac:dyDescent="0.3">
      <c r="A24" s="172"/>
      <c r="B24" s="172"/>
      <c r="C24" s="172"/>
      <c r="D24" s="176">
        <v>10</v>
      </c>
      <c r="E24" s="165" t="s">
        <v>406</v>
      </c>
      <c r="F24" s="172"/>
      <c r="G24" s="172"/>
      <c r="H24" s="172"/>
      <c r="I24" s="172"/>
      <c r="J24" s="172"/>
      <c r="L24" s="145" t="s">
        <v>404</v>
      </c>
      <c r="M24" s="146" t="s">
        <v>218</v>
      </c>
      <c r="N24" s="147" t="str">
        <f t="shared" si="0"/>
        <v>Cold CleaningModeled Data</v>
      </c>
      <c r="O24" s="148" t="s">
        <v>407</v>
      </c>
    </row>
    <row r="25" spans="1:15" ht="13.5" thickBot="1" x14ac:dyDescent="0.35">
      <c r="A25" s="172"/>
      <c r="B25" s="172"/>
      <c r="C25" s="172"/>
      <c r="D25" s="178">
        <v>20</v>
      </c>
      <c r="E25" s="172"/>
      <c r="F25" s="172"/>
      <c r="G25" s="172"/>
      <c r="H25" s="172"/>
      <c r="I25" s="172"/>
      <c r="J25" s="172"/>
      <c r="L25" s="145" t="s">
        <v>404</v>
      </c>
      <c r="M25" s="146" t="s">
        <v>218</v>
      </c>
      <c r="N25" s="147" t="str">
        <f t="shared" si="0"/>
        <v>Cold CleaningModeled Data</v>
      </c>
      <c r="O25" s="148" t="s">
        <v>407</v>
      </c>
    </row>
    <row r="26" spans="1:15" x14ac:dyDescent="0.3">
      <c r="A26" s="172"/>
      <c r="B26" s="172"/>
      <c r="C26" s="172"/>
      <c r="D26" s="172"/>
      <c r="E26" s="172"/>
      <c r="F26" s="172"/>
      <c r="G26" s="172"/>
      <c r="H26" s="172"/>
      <c r="I26" s="172"/>
      <c r="J26" s="172"/>
      <c r="L26" s="145" t="s">
        <v>408</v>
      </c>
      <c r="M26" s="146" t="s">
        <v>213</v>
      </c>
      <c r="N26" s="147" t="str">
        <f t="shared" si="0"/>
        <v>Aerosol Degreasing/LubricantsMonitoring Data</v>
      </c>
      <c r="O26" s="148" t="s">
        <v>409</v>
      </c>
    </row>
    <row r="27" spans="1:15" x14ac:dyDescent="0.3">
      <c r="A27" s="172"/>
      <c r="B27" s="172"/>
      <c r="C27" s="172"/>
      <c r="D27" s="172"/>
      <c r="E27" s="172"/>
      <c r="F27" s="172"/>
      <c r="G27" s="172"/>
      <c r="H27" s="172"/>
      <c r="I27" s="172"/>
      <c r="J27" s="172"/>
      <c r="L27" s="145" t="s">
        <v>408</v>
      </c>
      <c r="M27" s="146" t="s">
        <v>218</v>
      </c>
      <c r="N27" s="147" t="str">
        <f t="shared" si="0"/>
        <v>Aerosol Degreasing/LubricantsModeled Data</v>
      </c>
      <c r="O27" s="148" t="s">
        <v>410</v>
      </c>
    </row>
    <row r="28" spans="1:15" x14ac:dyDescent="0.3">
      <c r="A28" s="172"/>
      <c r="B28" s="172"/>
      <c r="C28" s="172"/>
      <c r="D28" s="172"/>
      <c r="E28" s="172"/>
      <c r="F28" s="172"/>
      <c r="G28" s="172"/>
      <c r="H28" s="172"/>
      <c r="I28" s="172"/>
      <c r="J28" s="172"/>
      <c r="L28" s="145" t="s">
        <v>408</v>
      </c>
      <c r="M28" s="146" t="s">
        <v>218</v>
      </c>
      <c r="N28" s="147" t="str">
        <f t="shared" si="0"/>
        <v>Aerosol Degreasing/LubricantsModeled Data</v>
      </c>
      <c r="O28" s="148" t="s">
        <v>410</v>
      </c>
    </row>
    <row r="29" spans="1:15" x14ac:dyDescent="0.3">
      <c r="A29" s="172"/>
      <c r="B29" s="172"/>
      <c r="C29" s="172"/>
      <c r="D29" s="172"/>
      <c r="E29" s="172"/>
      <c r="F29" s="172"/>
      <c r="G29" s="172"/>
      <c r="H29" s="172"/>
      <c r="I29" s="172"/>
      <c r="J29" s="172"/>
      <c r="L29" s="145" t="s">
        <v>411</v>
      </c>
      <c r="M29" s="146" t="s">
        <v>213</v>
      </c>
      <c r="N29" s="147" t="str">
        <f t="shared" si="0"/>
        <v>Post-2006 Dry Cleaning (including spot cleaning)Monitoring Data</v>
      </c>
      <c r="O29" s="148" t="s">
        <v>412</v>
      </c>
    </row>
    <row r="30" spans="1:15" x14ac:dyDescent="0.3">
      <c r="A30" s="172"/>
      <c r="B30" s="172"/>
      <c r="C30" s="172"/>
      <c r="D30" s="172"/>
      <c r="E30" s="172"/>
      <c r="F30" s="172"/>
      <c r="G30" s="172"/>
      <c r="H30" s="172"/>
      <c r="I30" s="172"/>
      <c r="J30" s="172"/>
      <c r="L30" s="145" t="s">
        <v>411</v>
      </c>
      <c r="M30" s="146" t="s">
        <v>213</v>
      </c>
      <c r="N30" s="147" t="str">
        <f t="shared" si="0"/>
        <v>Post-2006 Dry Cleaning (including spot cleaning)Monitoring Data</v>
      </c>
      <c r="O30" s="148" t="s">
        <v>412</v>
      </c>
    </row>
    <row r="31" spans="1:15" x14ac:dyDescent="0.3">
      <c r="A31" s="172"/>
      <c r="B31" s="172"/>
      <c r="C31" s="172"/>
      <c r="D31" s="172"/>
      <c r="E31" s="172"/>
      <c r="F31" s="172"/>
      <c r="G31" s="172"/>
      <c r="H31" s="172"/>
      <c r="I31" s="172"/>
      <c r="J31" s="172"/>
      <c r="L31" s="145" t="s">
        <v>413</v>
      </c>
      <c r="M31" s="146" t="s">
        <v>213</v>
      </c>
      <c r="N31" s="147" t="str">
        <f t="shared" si="0"/>
        <v>4th/5th Gen Only Dry Cleaning (including spot cleaning)Monitoring Data</v>
      </c>
      <c r="O31" s="148" t="s">
        <v>414</v>
      </c>
    </row>
    <row r="32" spans="1:15" x14ac:dyDescent="0.3">
      <c r="A32" s="172"/>
      <c r="B32" s="172"/>
      <c r="C32" s="172"/>
      <c r="D32" s="172"/>
      <c r="E32" s="172"/>
      <c r="F32" s="172"/>
      <c r="G32" s="172"/>
      <c r="H32" s="172"/>
      <c r="I32" s="172"/>
      <c r="J32" s="172"/>
      <c r="L32" s="145" t="s">
        <v>413</v>
      </c>
      <c r="M32" s="146" t="s">
        <v>213</v>
      </c>
      <c r="N32" s="147" t="str">
        <f t="shared" si="0"/>
        <v>4th/5th Gen Only Dry Cleaning (including spot cleaning)Monitoring Data</v>
      </c>
      <c r="O32" s="148" t="s">
        <v>414</v>
      </c>
    </row>
    <row r="33" spans="1:15" x14ac:dyDescent="0.3">
      <c r="A33" s="172"/>
      <c r="B33" s="172"/>
      <c r="C33" s="172"/>
      <c r="D33" s="172"/>
      <c r="E33" s="172"/>
      <c r="F33" s="172"/>
      <c r="G33" s="172"/>
      <c r="H33" s="172"/>
      <c r="I33" s="172"/>
      <c r="J33" s="172"/>
      <c r="L33" s="145" t="s">
        <v>411</v>
      </c>
      <c r="M33" s="146" t="s">
        <v>218</v>
      </c>
      <c r="N33" s="147" t="str">
        <f t="shared" si="0"/>
        <v>Post-2006 Dry Cleaning (including spot cleaning)Modeled Data</v>
      </c>
      <c r="O33" s="148" t="s">
        <v>415</v>
      </c>
    </row>
    <row r="34" spans="1:15" x14ac:dyDescent="0.3">
      <c r="A34" s="172"/>
      <c r="B34" s="172"/>
      <c r="C34" s="172"/>
      <c r="D34" s="172"/>
      <c r="E34" s="172"/>
      <c r="F34" s="172"/>
      <c r="G34" s="172"/>
      <c r="H34" s="172"/>
      <c r="I34" s="172"/>
      <c r="J34" s="172"/>
      <c r="L34" s="145" t="s">
        <v>411</v>
      </c>
      <c r="M34" s="146" t="s">
        <v>218</v>
      </c>
      <c r="N34" s="147" t="str">
        <f t="shared" si="0"/>
        <v>Post-2006 Dry Cleaning (including spot cleaning)Modeled Data</v>
      </c>
      <c r="O34" s="148" t="s">
        <v>415</v>
      </c>
    </row>
    <row r="35" spans="1:15" x14ac:dyDescent="0.3">
      <c r="A35" s="172"/>
      <c r="B35" s="172"/>
      <c r="C35" s="172"/>
      <c r="D35" s="172"/>
      <c r="E35" s="172"/>
      <c r="F35" s="172"/>
      <c r="G35" s="172"/>
      <c r="H35" s="172"/>
      <c r="I35" s="172"/>
      <c r="J35" s="172"/>
      <c r="L35" s="145" t="s">
        <v>416</v>
      </c>
      <c r="M35" s="146" t="s">
        <v>213</v>
      </c>
      <c r="N35" s="147" t="str">
        <f t="shared" si="0"/>
        <v>Paints/Coatings (commercial)Monitoring Data</v>
      </c>
      <c r="O35" s="148" t="s">
        <v>417</v>
      </c>
    </row>
    <row r="36" spans="1:15" x14ac:dyDescent="0.3">
      <c r="A36" s="172"/>
      <c r="B36" s="172"/>
      <c r="C36" s="172"/>
      <c r="D36" s="172"/>
      <c r="E36" s="172"/>
      <c r="F36" s="172"/>
      <c r="G36" s="172"/>
      <c r="H36" s="172"/>
      <c r="I36" s="172"/>
      <c r="J36" s="172"/>
      <c r="L36" s="145" t="s">
        <v>416</v>
      </c>
      <c r="M36" s="146" t="s">
        <v>279</v>
      </c>
      <c r="N36" s="147" t="str">
        <f t="shared" si="0"/>
        <v>Paints/Coatings (commercial)N/A</v>
      </c>
      <c r="O36" s="148" t="s">
        <v>417</v>
      </c>
    </row>
    <row r="37" spans="1:15" x14ac:dyDescent="0.3">
      <c r="A37" s="172"/>
      <c r="B37" s="172"/>
      <c r="C37" s="172"/>
      <c r="D37" s="172"/>
      <c r="E37" s="172"/>
      <c r="F37" s="172"/>
      <c r="G37" s="172"/>
      <c r="H37" s="172"/>
      <c r="I37" s="172"/>
      <c r="J37" s="172"/>
      <c r="L37" s="145" t="s">
        <v>418</v>
      </c>
      <c r="M37" s="146" t="s">
        <v>213</v>
      </c>
      <c r="N37" s="147" t="str">
        <f t="shared" si="0"/>
        <v>Paints/Coatings (industrial)Monitoring Data</v>
      </c>
      <c r="O37" s="148" t="s">
        <v>419</v>
      </c>
    </row>
    <row r="38" spans="1:15" x14ac:dyDescent="0.3">
      <c r="A38" s="172"/>
      <c r="B38" s="172"/>
      <c r="C38" s="172"/>
      <c r="D38" s="172"/>
      <c r="E38" s="172"/>
      <c r="F38" s="172"/>
      <c r="G38" s="172"/>
      <c r="H38" s="172"/>
      <c r="I38" s="172"/>
      <c r="J38" s="172"/>
      <c r="L38" s="145" t="s">
        <v>418</v>
      </c>
      <c r="M38" s="146" t="s">
        <v>279</v>
      </c>
      <c r="N38" s="147" t="str">
        <f t="shared" si="0"/>
        <v>Paints/Coatings (industrial)N/A</v>
      </c>
      <c r="O38" s="148" t="s">
        <v>419</v>
      </c>
    </row>
    <row r="39" spans="1:15" x14ac:dyDescent="0.3">
      <c r="A39" s="172"/>
      <c r="B39" s="172"/>
      <c r="C39" s="172"/>
      <c r="D39" s="172"/>
      <c r="E39" s="172"/>
      <c r="F39" s="172"/>
      <c r="G39" s="172"/>
      <c r="H39" s="172"/>
      <c r="I39" s="172"/>
      <c r="J39" s="172"/>
      <c r="L39" s="145" t="s">
        <v>420</v>
      </c>
      <c r="M39" s="146" t="s">
        <v>213</v>
      </c>
      <c r="N39" s="147" t="str">
        <f t="shared" si="0"/>
        <v>Adhesives (commercial)Monitoring Data</v>
      </c>
      <c r="O39" s="148" t="s">
        <v>421</v>
      </c>
    </row>
    <row r="40" spans="1:15" x14ac:dyDescent="0.3">
      <c r="A40" s="172"/>
      <c r="B40" s="172"/>
      <c r="C40" s="172"/>
      <c r="D40" s="172"/>
      <c r="E40" s="172"/>
      <c r="F40" s="172"/>
      <c r="G40" s="172"/>
      <c r="H40" s="172"/>
      <c r="I40" s="172"/>
      <c r="J40" s="172"/>
      <c r="L40" s="145" t="s">
        <v>420</v>
      </c>
      <c r="M40" s="146" t="s">
        <v>279</v>
      </c>
      <c r="N40" s="147" t="str">
        <f t="shared" si="0"/>
        <v>Adhesives (commercial)N/A</v>
      </c>
      <c r="O40" s="148" t="s">
        <v>421</v>
      </c>
    </row>
    <row r="41" spans="1:15" x14ac:dyDescent="0.3">
      <c r="A41" s="172"/>
      <c r="B41" s="172"/>
      <c r="C41" s="172"/>
      <c r="D41" s="172"/>
      <c r="E41" s="172"/>
      <c r="F41" s="172"/>
      <c r="G41" s="172"/>
      <c r="H41" s="172"/>
      <c r="I41" s="172"/>
      <c r="J41" s="172"/>
      <c r="L41" s="145" t="s">
        <v>422</v>
      </c>
      <c r="M41" s="146" t="s">
        <v>213</v>
      </c>
      <c r="N41" s="147" t="str">
        <f t="shared" si="0"/>
        <v>Adhesives (industrial)Monitoring Data</v>
      </c>
      <c r="O41" s="148" t="s">
        <v>423</v>
      </c>
    </row>
    <row r="42" spans="1:15" x14ac:dyDescent="0.3">
      <c r="A42" s="172"/>
      <c r="B42" s="172"/>
      <c r="C42" s="172"/>
      <c r="D42" s="172"/>
      <c r="E42" s="172"/>
      <c r="F42" s="172"/>
      <c r="G42" s="172"/>
      <c r="H42" s="172"/>
      <c r="I42" s="172"/>
      <c r="J42" s="172"/>
      <c r="L42" s="145" t="s">
        <v>422</v>
      </c>
      <c r="M42" s="146" t="s">
        <v>279</v>
      </c>
      <c r="N42" s="147" t="str">
        <f t="shared" si="0"/>
        <v>Adhesives (industrial)N/A</v>
      </c>
      <c r="O42" s="148" t="s">
        <v>423</v>
      </c>
    </row>
    <row r="43" spans="1:15" x14ac:dyDescent="0.3">
      <c r="D43" s="172"/>
      <c r="L43" s="145" t="s">
        <v>424</v>
      </c>
      <c r="M43" s="146" t="s">
        <v>213</v>
      </c>
      <c r="N43" s="147" t="str">
        <f t="shared" si="0"/>
        <v>Chemical MaskantMonitoring Data</v>
      </c>
      <c r="O43" s="148">
        <v>10</v>
      </c>
    </row>
    <row r="44" spans="1:15" x14ac:dyDescent="0.3">
      <c r="L44" s="145" t="s">
        <v>424</v>
      </c>
      <c r="M44" s="146" t="s">
        <v>213</v>
      </c>
      <c r="N44" s="147" t="str">
        <f t="shared" si="0"/>
        <v>Chemical MaskantMonitoring Data</v>
      </c>
      <c r="O44" s="148">
        <v>10</v>
      </c>
    </row>
    <row r="45" spans="1:15" x14ac:dyDescent="0.3">
      <c r="L45" s="145" t="s">
        <v>425</v>
      </c>
      <c r="M45" s="146" t="s">
        <v>213</v>
      </c>
      <c r="N45" s="147" t="str">
        <f t="shared" si="0"/>
        <v>Industrial Processing AidMonitoring Data</v>
      </c>
      <c r="O45" s="148">
        <v>14</v>
      </c>
    </row>
    <row r="46" spans="1:15" x14ac:dyDescent="0.3">
      <c r="L46" s="145" t="s">
        <v>426</v>
      </c>
      <c r="M46" s="146" t="s">
        <v>213</v>
      </c>
      <c r="N46" s="147" t="str">
        <f t="shared" si="0"/>
        <v>Other Industrial Uses - MiscellaneousMonitoring Data</v>
      </c>
      <c r="O46" s="148" t="s">
        <v>427</v>
      </c>
    </row>
    <row r="47" spans="1:15" x14ac:dyDescent="0.3">
      <c r="L47" s="145" t="s">
        <v>428</v>
      </c>
      <c r="M47" s="146" t="s">
        <v>213</v>
      </c>
      <c r="N47" s="147" t="str">
        <f t="shared" si="0"/>
        <v>Other Industrial Uses - Textile ProcessingMonitoring Data</v>
      </c>
      <c r="O47" s="148" t="s">
        <v>429</v>
      </c>
    </row>
    <row r="48" spans="1:15" x14ac:dyDescent="0.3">
      <c r="L48" s="145" t="s">
        <v>430</v>
      </c>
      <c r="M48" s="146" t="s">
        <v>213</v>
      </c>
      <c r="N48" s="147" t="str">
        <f t="shared" si="0"/>
        <v>Other Industrial Uses - Wood Furniture ManufacturingMonitoring Data</v>
      </c>
      <c r="O48" s="148" t="s">
        <v>431</v>
      </c>
    </row>
    <row r="49" spans="12:15" x14ac:dyDescent="0.3">
      <c r="L49" s="145" t="s">
        <v>432</v>
      </c>
      <c r="M49" s="146" t="s">
        <v>213</v>
      </c>
      <c r="N49" s="147" t="str">
        <f t="shared" si="0"/>
        <v>Other Industrial Uses - Foundry ApplicationsMonitoring Data</v>
      </c>
      <c r="O49" s="148" t="s">
        <v>433</v>
      </c>
    </row>
    <row r="50" spans="12:15" x14ac:dyDescent="0.3">
      <c r="L50" s="145" t="s">
        <v>434</v>
      </c>
      <c r="M50" s="146" t="s">
        <v>218</v>
      </c>
      <c r="N50" s="147" t="str">
        <f t="shared" si="0"/>
        <v>Metalworking FluidModeled Data</v>
      </c>
      <c r="O50" s="148">
        <v>16</v>
      </c>
    </row>
    <row r="51" spans="12:15" x14ac:dyDescent="0.3">
      <c r="L51" s="145" t="s">
        <v>435</v>
      </c>
      <c r="M51" s="146" t="s">
        <v>213</v>
      </c>
      <c r="N51" s="147" t="str">
        <f t="shared" si="0"/>
        <v>Wipe Cleaning and Metal/Stone PolishesMonitoring Data</v>
      </c>
      <c r="O51" s="148">
        <v>17</v>
      </c>
    </row>
    <row r="52" spans="12:15" x14ac:dyDescent="0.3">
      <c r="L52" s="145" t="s">
        <v>435</v>
      </c>
      <c r="M52" s="146" t="s">
        <v>213</v>
      </c>
      <c r="N52" s="147" t="str">
        <f t="shared" si="0"/>
        <v>Wipe Cleaning and Metal/Stone PolishesMonitoring Data</v>
      </c>
      <c r="O52" s="148">
        <v>17</v>
      </c>
    </row>
    <row r="53" spans="12:15" ht="26" x14ac:dyDescent="0.3">
      <c r="L53" s="7" t="s">
        <v>436</v>
      </c>
      <c r="M53" s="146" t="s">
        <v>213</v>
      </c>
      <c r="N53" s="147" t="str">
        <f t="shared" si="0"/>
        <v>Other Spot Cleaning/Spot Removers (Including Carpet Cleaning)Monitoring Data</v>
      </c>
      <c r="O53" s="148">
        <v>18</v>
      </c>
    </row>
    <row r="54" spans="12:15" ht="26" x14ac:dyDescent="0.3">
      <c r="L54" s="7" t="s">
        <v>436</v>
      </c>
      <c r="M54" s="146" t="s">
        <v>213</v>
      </c>
      <c r="N54" s="147" t="str">
        <f t="shared" si="0"/>
        <v>Other Spot Cleaning/Spot Removers (Including Carpet Cleaning)Monitoring Data</v>
      </c>
      <c r="O54" s="148">
        <v>18</v>
      </c>
    </row>
    <row r="55" spans="12:15" x14ac:dyDescent="0.3">
      <c r="L55" s="145" t="s">
        <v>437</v>
      </c>
      <c r="M55" s="146" t="s">
        <v>213</v>
      </c>
      <c r="N55" s="147" t="str">
        <f t="shared" si="0"/>
        <v>Other Commercial Uses - PrintingMonitoring Data</v>
      </c>
      <c r="O55" s="148" t="s">
        <v>438</v>
      </c>
    </row>
    <row r="56" spans="12:15" x14ac:dyDescent="0.3">
      <c r="L56" s="145" t="s">
        <v>439</v>
      </c>
      <c r="M56" s="146" t="s">
        <v>213</v>
      </c>
      <c r="N56" s="147" t="str">
        <f t="shared" si="0"/>
        <v>Other Commercial Uses - PhotocopyingMonitoring Data</v>
      </c>
      <c r="O56" s="148" t="s">
        <v>440</v>
      </c>
    </row>
    <row r="57" spans="12:15" x14ac:dyDescent="0.3">
      <c r="L57" s="145" t="s">
        <v>441</v>
      </c>
      <c r="M57" s="146" t="s">
        <v>213</v>
      </c>
      <c r="N57" s="147" t="str">
        <f t="shared" si="0"/>
        <v>Other Commercial Uses - Photographic FilmMonitoring Data</v>
      </c>
      <c r="O57" s="148" t="s">
        <v>442</v>
      </c>
    </row>
    <row r="58" spans="12:15" x14ac:dyDescent="0.3">
      <c r="L58" s="145" t="s">
        <v>443</v>
      </c>
      <c r="M58" s="146" t="s">
        <v>213</v>
      </c>
      <c r="N58" s="147" t="str">
        <f t="shared" si="0"/>
        <v>Other Commercial Uses - Mold ReleaseMonitoring Data</v>
      </c>
      <c r="O58" s="148" t="s">
        <v>444</v>
      </c>
    </row>
    <row r="59" spans="12:15" x14ac:dyDescent="0.3">
      <c r="L59" s="167" t="s">
        <v>445</v>
      </c>
      <c r="M59" s="168" t="s">
        <v>213</v>
      </c>
      <c r="N59" s="147" t="str">
        <f t="shared" si="0"/>
        <v>Other DOD Uses - Water Pipe RepairMonitoring Data</v>
      </c>
      <c r="O59" s="25" t="s">
        <v>446</v>
      </c>
    </row>
    <row r="60" spans="12:15" x14ac:dyDescent="0.3">
      <c r="L60" s="167" t="s">
        <v>447</v>
      </c>
      <c r="M60" s="168" t="s">
        <v>213</v>
      </c>
      <c r="N60" s="147" t="str">
        <f t="shared" si="0"/>
        <v>Other DOD Uses - Oil analysisMonitoring Data</v>
      </c>
      <c r="O60" s="25" t="s">
        <v>448</v>
      </c>
    </row>
    <row r="61" spans="12:15" x14ac:dyDescent="0.3">
      <c r="L61" s="145" t="s">
        <v>449</v>
      </c>
      <c r="M61" s="146" t="s">
        <v>213</v>
      </c>
      <c r="N61" s="147" t="str">
        <f t="shared" si="0"/>
        <v>Disposal/Recycling and DisposalMonitoring Data</v>
      </c>
      <c r="O61" s="148">
        <v>21</v>
      </c>
    </row>
    <row r="62" spans="12:15" ht="13.5" thickBot="1" x14ac:dyDescent="0.35">
      <c r="L62" s="169" t="s">
        <v>450</v>
      </c>
      <c r="M62" s="170" t="s">
        <v>213</v>
      </c>
      <c r="N62" s="147" t="str">
        <f t="shared" si="0"/>
        <v>Laboratory ChemicalsMonitoring Data</v>
      </c>
      <c r="O62" s="171">
        <v>22</v>
      </c>
    </row>
  </sheetData>
  <sheetProtection sheet="1" objects="1" scenarios="1" formatCells="0" formatColumns="0" formatRows="0"/>
  <pageMargins left="0.7" right="0.7" top="0.75" bottom="0.75" header="0.3" footer="0.3"/>
  <pageSetup orientation="portrait"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F41240-2A0D-4766-9250-85744E11E255}">
  <sheetPr codeName="Sheet8">
    <tabColor theme="1"/>
  </sheetPr>
  <dimension ref="A1:F23"/>
  <sheetViews>
    <sheetView workbookViewId="0"/>
  </sheetViews>
  <sheetFormatPr defaultColWidth="9.1796875" defaultRowHeight="13" x14ac:dyDescent="0.3"/>
  <cols>
    <col min="1" max="1" width="4.81640625" style="4" customWidth="1"/>
    <col min="2" max="2" width="35.54296875" style="4" customWidth="1"/>
    <col min="3" max="3" width="10.453125" style="4" customWidth="1"/>
    <col min="4" max="4" width="13.1796875" style="4" customWidth="1"/>
    <col min="5" max="5" width="16.54296875" style="4" bestFit="1" customWidth="1"/>
    <col min="6" max="6" width="62" style="4" customWidth="1"/>
    <col min="7" max="7" width="10.81640625" style="4" customWidth="1"/>
    <col min="8" max="16384" width="9.1796875" style="4"/>
  </cols>
  <sheetData>
    <row r="1" spans="1:6" ht="15" x14ac:dyDescent="0.3">
      <c r="A1" s="683"/>
      <c r="B1" s="199" t="s">
        <v>451</v>
      </c>
    </row>
    <row r="3" spans="1:6" ht="39" x14ac:dyDescent="0.3">
      <c r="C3" s="186" t="s">
        <v>214</v>
      </c>
      <c r="D3" s="187" t="s">
        <v>74</v>
      </c>
      <c r="E3" s="187" t="s">
        <v>452</v>
      </c>
      <c r="F3" s="243" t="s">
        <v>453</v>
      </c>
    </row>
    <row r="4" spans="1:6" ht="39" x14ac:dyDescent="0.3">
      <c r="B4" s="188" t="s">
        <v>454</v>
      </c>
      <c r="C4" s="189">
        <v>80</v>
      </c>
      <c r="D4" s="190">
        <f>AVERAGE(65.9,71.9,74.8,77.1)</f>
        <v>72.425000000000011</v>
      </c>
      <c r="E4" s="240"/>
      <c r="F4" s="272" t="s">
        <v>455</v>
      </c>
    </row>
    <row r="5" spans="1:6" ht="15" x14ac:dyDescent="0.3">
      <c r="B5" s="188" t="s">
        <v>456</v>
      </c>
      <c r="C5" s="191">
        <f>C6/2</f>
        <v>535</v>
      </c>
      <c r="D5" s="192">
        <f>D6/2</f>
        <v>445</v>
      </c>
      <c r="E5" s="241" t="s">
        <v>93</v>
      </c>
      <c r="F5" s="668" t="s">
        <v>457</v>
      </c>
    </row>
    <row r="6" spans="1:6" ht="15" x14ac:dyDescent="0.3">
      <c r="B6" s="188" t="s">
        <v>458</v>
      </c>
      <c r="C6" s="193">
        <v>1070</v>
      </c>
      <c r="D6" s="194">
        <v>890</v>
      </c>
      <c r="E6" s="241" t="s">
        <v>92</v>
      </c>
      <c r="F6" s="669"/>
    </row>
    <row r="7" spans="1:6" x14ac:dyDescent="0.3">
      <c r="B7" s="188" t="s">
        <v>459</v>
      </c>
      <c r="C7" s="191">
        <v>40</v>
      </c>
      <c r="D7" s="192">
        <v>40</v>
      </c>
      <c r="E7" s="241" t="s">
        <v>92</v>
      </c>
      <c r="F7" s="244"/>
    </row>
    <row r="8" spans="1:6" x14ac:dyDescent="0.3">
      <c r="B8" s="188" t="s">
        <v>460</v>
      </c>
      <c r="C8" s="191">
        <v>31</v>
      </c>
      <c r="D8" s="192">
        <v>31</v>
      </c>
      <c r="E8" s="241" t="s">
        <v>93</v>
      </c>
      <c r="F8" s="244"/>
    </row>
    <row r="9" spans="1:6" x14ac:dyDescent="0.3">
      <c r="B9" s="188" t="s">
        <v>461</v>
      </c>
      <c r="C9" s="191">
        <v>78</v>
      </c>
      <c r="D9" s="192">
        <v>78</v>
      </c>
      <c r="E9" s="241"/>
      <c r="F9" s="244"/>
    </row>
    <row r="10" spans="1:6" ht="15.5" x14ac:dyDescent="0.3">
      <c r="B10" s="188" t="s">
        <v>462</v>
      </c>
      <c r="C10" s="673">
        <v>1.25</v>
      </c>
      <c r="D10" s="674"/>
      <c r="E10" s="241" t="s">
        <v>463</v>
      </c>
      <c r="F10" s="244" t="s">
        <v>464</v>
      </c>
    </row>
    <row r="11" spans="1:6" ht="15.5" x14ac:dyDescent="0.3">
      <c r="B11" s="195" t="s">
        <v>465</v>
      </c>
      <c r="C11" s="196">
        <v>0.61250000000000004</v>
      </c>
      <c r="D11" s="197"/>
      <c r="E11" s="242" t="s">
        <v>463</v>
      </c>
      <c r="F11" s="245"/>
    </row>
    <row r="12" spans="1:6" x14ac:dyDescent="0.3">
      <c r="B12" s="671"/>
      <c r="C12" s="671"/>
      <c r="D12" s="671"/>
      <c r="E12" s="671"/>
    </row>
    <row r="13" spans="1:6" x14ac:dyDescent="0.3">
      <c r="B13" s="107" t="s">
        <v>466</v>
      </c>
    </row>
    <row r="14" spans="1:6" x14ac:dyDescent="0.3">
      <c r="B14" s="198" t="s">
        <v>467</v>
      </c>
    </row>
    <row r="15" spans="1:6" x14ac:dyDescent="0.3">
      <c r="B15" s="4" t="s">
        <v>468</v>
      </c>
    </row>
    <row r="16" spans="1:6" x14ac:dyDescent="0.3">
      <c r="B16" s="4" t="s">
        <v>469</v>
      </c>
    </row>
    <row r="17" spans="2:5" x14ac:dyDescent="0.3">
      <c r="B17" s="4" t="s">
        <v>470</v>
      </c>
    </row>
    <row r="18" spans="2:5" x14ac:dyDescent="0.3">
      <c r="B18" s="4" t="s">
        <v>471</v>
      </c>
    </row>
    <row r="19" spans="2:5" x14ac:dyDescent="0.3">
      <c r="B19" s="4" t="s">
        <v>472</v>
      </c>
    </row>
    <row r="21" spans="2:5" x14ac:dyDescent="0.3">
      <c r="B21" s="670" t="s">
        <v>473</v>
      </c>
      <c r="C21" s="670"/>
      <c r="D21" s="670"/>
      <c r="E21" s="670"/>
    </row>
    <row r="22" spans="2:5" x14ac:dyDescent="0.3">
      <c r="B22" s="672" t="s">
        <v>474</v>
      </c>
      <c r="C22" s="672"/>
      <c r="D22" s="672"/>
      <c r="E22" s="672"/>
    </row>
    <row r="23" spans="2:5" x14ac:dyDescent="0.3">
      <c r="B23" s="672" t="s">
        <v>475</v>
      </c>
      <c r="C23" s="672"/>
      <c r="D23" s="672"/>
      <c r="E23" s="672"/>
    </row>
  </sheetData>
  <sheetProtection sheet="1" objects="1" scenarios="1" formatCells="0" formatColumns="0" formatRows="0"/>
  <mergeCells count="6">
    <mergeCell ref="F5:F6"/>
    <mergeCell ref="B21:E21"/>
    <mergeCell ref="B12:E12"/>
    <mergeCell ref="B22:E22"/>
    <mergeCell ref="B23:E23"/>
    <mergeCell ref="C10:D10"/>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173E7E-60EB-4022-BE19-E14BB305BE60}">
  <sheetPr codeName="Sheet2">
    <tabColor rgb="FF92D050"/>
  </sheetPr>
  <dimension ref="A1:B13"/>
  <sheetViews>
    <sheetView workbookViewId="0">
      <selection sqref="A1:B2"/>
    </sheetView>
  </sheetViews>
  <sheetFormatPr defaultColWidth="9.1796875" defaultRowHeight="13" x14ac:dyDescent="0.3"/>
  <cols>
    <col min="1" max="1" width="18.1796875" style="1" customWidth="1"/>
    <col min="2" max="2" width="176.81640625" style="1" customWidth="1"/>
    <col min="3" max="16384" width="9.1796875" style="1"/>
  </cols>
  <sheetData>
    <row r="1" spans="1:2" ht="15" x14ac:dyDescent="0.3">
      <c r="A1" s="676" t="s">
        <v>4</v>
      </c>
      <c r="B1" s="677"/>
    </row>
    <row r="2" spans="1:2" ht="50.25" customHeight="1" x14ac:dyDescent="0.3">
      <c r="A2" s="678" t="s">
        <v>5</v>
      </c>
      <c r="B2" s="678"/>
    </row>
    <row r="3" spans="1:2" x14ac:dyDescent="0.3">
      <c r="A3" s="106"/>
      <c r="B3" s="106"/>
    </row>
    <row r="4" spans="1:2" x14ac:dyDescent="0.3">
      <c r="A4" s="7" t="s">
        <v>6</v>
      </c>
      <c r="B4" s="7" t="s">
        <v>7</v>
      </c>
    </row>
    <row r="5" spans="1:2" ht="26" x14ac:dyDescent="0.3">
      <c r="A5" s="7" t="s">
        <v>8</v>
      </c>
      <c r="B5" s="7" t="s">
        <v>9</v>
      </c>
    </row>
    <row r="6" spans="1:2" ht="91" x14ac:dyDescent="0.3">
      <c r="A6" s="7" t="s">
        <v>10</v>
      </c>
      <c r="B6" s="7" t="s">
        <v>11</v>
      </c>
    </row>
    <row r="7" spans="1:2" ht="39" x14ac:dyDescent="0.3">
      <c r="A7" s="7" t="s">
        <v>12</v>
      </c>
      <c r="B7" s="7" t="s">
        <v>13</v>
      </c>
    </row>
    <row r="8" spans="1:2" ht="45.75" customHeight="1" x14ac:dyDescent="0.3">
      <c r="A8" s="7" t="s">
        <v>14</v>
      </c>
      <c r="B8" s="7" t="s">
        <v>15</v>
      </c>
    </row>
    <row r="9" spans="1:2" ht="65" x14ac:dyDescent="0.3">
      <c r="A9" s="7" t="s">
        <v>16</v>
      </c>
      <c r="B9" s="7" t="s">
        <v>17</v>
      </c>
    </row>
    <row r="10" spans="1:2" ht="27" customHeight="1" x14ac:dyDescent="0.3"/>
    <row r="11" spans="1:2" ht="27" customHeight="1" x14ac:dyDescent="0.3"/>
    <row r="12" spans="1:2" ht="27" customHeight="1" x14ac:dyDescent="0.3"/>
    <row r="13" spans="1:2" ht="27" customHeight="1" x14ac:dyDescent="0.3"/>
  </sheetData>
  <sheetProtection sheet="1" objects="1" scenarios="1" formatCells="0" formatColumns="0" formatRows="0"/>
  <mergeCells count="1">
    <mergeCell ref="A2:B2"/>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9C1A0-D2AE-4E8C-83FD-637F8818DD82}">
  <sheetPr codeName="Sheet10">
    <tabColor rgb="FF92D050"/>
  </sheetPr>
  <dimension ref="A1:F38"/>
  <sheetViews>
    <sheetView workbookViewId="0"/>
  </sheetViews>
  <sheetFormatPr defaultColWidth="9.1796875" defaultRowHeight="13" x14ac:dyDescent="0.3"/>
  <cols>
    <col min="1" max="1" width="54.1796875" style="1" bestFit="1" customWidth="1"/>
    <col min="2" max="2" width="64.81640625" style="1" customWidth="1"/>
    <col min="3" max="3" width="94.81640625" style="1" customWidth="1"/>
    <col min="4" max="4" width="29.1796875" style="1" customWidth="1"/>
    <col min="5" max="16384" width="9.1796875" style="1"/>
  </cols>
  <sheetData>
    <row r="1" spans="1:6" ht="15" x14ac:dyDescent="0.3">
      <c r="A1" s="679" t="s">
        <v>18</v>
      </c>
      <c r="B1" s="4"/>
      <c r="C1" s="4"/>
      <c r="D1" s="4"/>
      <c r="E1" s="4"/>
      <c r="F1" s="4"/>
    </row>
    <row r="2" spans="1:6" x14ac:dyDescent="0.3">
      <c r="A2" s="215" t="s">
        <v>19</v>
      </c>
      <c r="B2" s="215" t="s">
        <v>20</v>
      </c>
      <c r="C2" s="215" t="s">
        <v>21</v>
      </c>
      <c r="D2" s="4"/>
      <c r="E2" s="4"/>
      <c r="F2" s="4"/>
    </row>
    <row r="3" spans="1:6" ht="15" x14ac:dyDescent="0.3">
      <c r="A3" s="477" t="s">
        <v>22</v>
      </c>
      <c r="B3" s="477"/>
      <c r="C3" s="477"/>
      <c r="D3" s="4"/>
      <c r="E3" s="4"/>
      <c r="F3" s="4"/>
    </row>
    <row r="4" spans="1:6" ht="41.5" x14ac:dyDescent="0.3">
      <c r="A4" s="204" t="s">
        <v>23</v>
      </c>
      <c r="B4" s="221" t="s">
        <v>24</v>
      </c>
      <c r="C4" s="220" t="s">
        <v>25</v>
      </c>
      <c r="D4" s="4"/>
      <c r="E4" s="4"/>
      <c r="F4" s="4"/>
    </row>
    <row r="5" spans="1:6" ht="117" x14ac:dyDescent="0.3">
      <c r="A5" s="204" t="s">
        <v>26</v>
      </c>
      <c r="B5" s="270" t="s">
        <v>27</v>
      </c>
      <c r="C5" s="220" t="s">
        <v>28</v>
      </c>
      <c r="D5" s="4"/>
      <c r="E5" s="4"/>
      <c r="F5" s="4"/>
    </row>
    <row r="6" spans="1:6" ht="65" x14ac:dyDescent="0.3">
      <c r="A6" s="204" t="s">
        <v>29</v>
      </c>
      <c r="B6" s="270" t="s">
        <v>30</v>
      </c>
      <c r="C6" s="220" t="s">
        <v>31</v>
      </c>
      <c r="D6" s="4"/>
      <c r="E6" s="4"/>
      <c r="F6" s="4"/>
    </row>
    <row r="7" spans="1:6" ht="78" x14ac:dyDescent="0.3">
      <c r="A7" s="204" t="s">
        <v>32</v>
      </c>
      <c r="B7" s="270" t="s">
        <v>33</v>
      </c>
      <c r="C7" s="220" t="s">
        <v>34</v>
      </c>
      <c r="D7" s="4"/>
      <c r="E7" s="4"/>
      <c r="F7" s="4"/>
    </row>
    <row r="8" spans="1:6" x14ac:dyDescent="0.3">
      <c r="A8" s="478" t="s">
        <v>35</v>
      </c>
      <c r="B8" s="479"/>
      <c r="C8" s="480"/>
      <c r="D8" s="4"/>
      <c r="E8" s="4"/>
      <c r="F8" s="4"/>
    </row>
    <row r="9" spans="1:6" x14ac:dyDescent="0.3">
      <c r="A9" s="217" t="s">
        <v>36</v>
      </c>
      <c r="B9" s="216" t="s">
        <v>37</v>
      </c>
      <c r="C9" s="218"/>
      <c r="D9" s="4"/>
      <c r="E9" s="4"/>
      <c r="F9" s="4"/>
    </row>
    <row r="10" spans="1:6" x14ac:dyDescent="0.3">
      <c r="A10" s="217" t="s">
        <v>38</v>
      </c>
      <c r="B10" s="216" t="s">
        <v>37</v>
      </c>
      <c r="C10" s="219"/>
      <c r="D10" s="4"/>
      <c r="E10" s="4"/>
      <c r="F10" s="4"/>
    </row>
    <row r="11" spans="1:6" ht="26" x14ac:dyDescent="0.3">
      <c r="A11" s="216" t="s">
        <v>39</v>
      </c>
      <c r="B11" s="216" t="s">
        <v>40</v>
      </c>
      <c r="C11" s="217" t="s">
        <v>41</v>
      </c>
      <c r="D11" s="4"/>
      <c r="E11" s="4"/>
      <c r="F11" s="4"/>
    </row>
    <row r="12" spans="1:6" ht="26" x14ac:dyDescent="0.3">
      <c r="A12" s="216" t="s">
        <v>42</v>
      </c>
      <c r="B12" s="216" t="s">
        <v>43</v>
      </c>
      <c r="C12" s="217" t="s">
        <v>41</v>
      </c>
      <c r="D12" s="4"/>
      <c r="E12" s="4"/>
      <c r="F12" s="4"/>
    </row>
    <row r="13" spans="1:6" ht="26" x14ac:dyDescent="0.3">
      <c r="A13" s="216" t="s">
        <v>44</v>
      </c>
      <c r="B13" s="216" t="s">
        <v>45</v>
      </c>
      <c r="C13" s="217" t="s">
        <v>41</v>
      </c>
      <c r="D13" s="4"/>
      <c r="E13" s="4"/>
      <c r="F13" s="4"/>
    </row>
    <row r="14" spans="1:6" ht="26" x14ac:dyDescent="0.3">
      <c r="A14" s="216" t="s">
        <v>46</v>
      </c>
      <c r="B14" s="216" t="s">
        <v>47</v>
      </c>
      <c r="C14" s="217" t="s">
        <v>48</v>
      </c>
      <c r="D14" s="4"/>
      <c r="E14" s="4"/>
      <c r="F14" s="4"/>
    </row>
    <row r="15" spans="1:6" x14ac:dyDescent="0.3">
      <c r="A15" s="477" t="s">
        <v>49</v>
      </c>
      <c r="B15" s="477"/>
      <c r="C15" s="477"/>
      <c r="D15" s="4"/>
      <c r="E15" s="4"/>
      <c r="F15" s="4"/>
    </row>
    <row r="16" spans="1:6" ht="39" x14ac:dyDescent="0.3">
      <c r="A16" s="204" t="s">
        <v>23</v>
      </c>
      <c r="B16" s="216" t="s">
        <v>50</v>
      </c>
      <c r="C16" s="220" t="s">
        <v>51</v>
      </c>
      <c r="D16" s="4"/>
      <c r="E16" s="4"/>
      <c r="F16" s="4"/>
    </row>
    <row r="17" spans="1:6" ht="118" x14ac:dyDescent="0.4">
      <c r="A17" s="204" t="s">
        <v>52</v>
      </c>
      <c r="B17" s="216" t="s">
        <v>53</v>
      </c>
      <c r="C17" s="269" t="s">
        <v>54</v>
      </c>
      <c r="D17" s="4"/>
      <c r="E17" s="4"/>
      <c r="F17" s="4"/>
    </row>
    <row r="18" spans="1:6" ht="52" x14ac:dyDescent="0.3">
      <c r="A18" s="204" t="s">
        <v>29</v>
      </c>
      <c r="B18" s="270" t="s">
        <v>55</v>
      </c>
      <c r="C18" s="220" t="s">
        <v>56</v>
      </c>
      <c r="D18" s="4"/>
      <c r="E18" s="4"/>
      <c r="F18" s="4"/>
    </row>
    <row r="19" spans="1:6" ht="65" x14ac:dyDescent="0.3">
      <c r="A19" s="204" t="s">
        <v>32</v>
      </c>
      <c r="B19" s="270" t="s">
        <v>57</v>
      </c>
      <c r="C19" s="220" t="s">
        <v>58</v>
      </c>
      <c r="D19" s="4"/>
      <c r="E19" s="4"/>
      <c r="F19" s="4"/>
    </row>
    <row r="20" spans="1:6" x14ac:dyDescent="0.3">
      <c r="A20" s="478" t="s">
        <v>59</v>
      </c>
      <c r="B20" s="479"/>
      <c r="C20" s="480"/>
      <c r="D20" s="4"/>
      <c r="E20" s="4"/>
      <c r="F20" s="4"/>
    </row>
    <row r="21" spans="1:6" x14ac:dyDescent="0.3">
      <c r="A21" s="217" t="s">
        <v>36</v>
      </c>
      <c r="B21" s="216" t="s">
        <v>37</v>
      </c>
      <c r="C21" s="218"/>
      <c r="D21" s="4"/>
      <c r="E21" s="4"/>
      <c r="F21" s="4"/>
    </row>
    <row r="22" spans="1:6" x14ac:dyDescent="0.3">
      <c r="A22" s="217" t="s">
        <v>38</v>
      </c>
      <c r="B22" s="216" t="s">
        <v>37</v>
      </c>
      <c r="C22" s="219"/>
      <c r="D22" s="4"/>
      <c r="E22" s="4"/>
      <c r="F22" s="4"/>
    </row>
    <row r="23" spans="1:6" ht="26" x14ac:dyDescent="0.3">
      <c r="A23" s="216" t="s">
        <v>39</v>
      </c>
      <c r="B23" s="216" t="s">
        <v>60</v>
      </c>
      <c r="C23" s="217" t="s">
        <v>41</v>
      </c>
      <c r="D23" s="4"/>
      <c r="E23" s="4"/>
      <c r="F23" s="4"/>
    </row>
    <row r="24" spans="1:6" ht="26" x14ac:dyDescent="0.3">
      <c r="A24" s="216" t="s">
        <v>42</v>
      </c>
      <c r="B24" s="216" t="s">
        <v>61</v>
      </c>
      <c r="C24" s="217" t="s">
        <v>41</v>
      </c>
      <c r="D24" s="4"/>
      <c r="E24" s="4"/>
      <c r="F24" s="4"/>
    </row>
    <row r="25" spans="1:6" ht="26" x14ac:dyDescent="0.3">
      <c r="A25" s="216" t="s">
        <v>44</v>
      </c>
      <c r="B25" s="216" t="s">
        <v>62</v>
      </c>
      <c r="C25" s="217" t="s">
        <v>41</v>
      </c>
      <c r="D25" s="4"/>
      <c r="E25" s="4"/>
      <c r="F25" s="4"/>
    </row>
    <row r="26" spans="1:6" ht="26" x14ac:dyDescent="0.3">
      <c r="A26" s="216" t="s">
        <v>46</v>
      </c>
      <c r="B26" s="216" t="s">
        <v>63</v>
      </c>
      <c r="C26" s="217" t="s">
        <v>48</v>
      </c>
      <c r="D26" s="4"/>
      <c r="E26" s="4"/>
      <c r="F26" s="4"/>
    </row>
    <row r="27" spans="1:6" x14ac:dyDescent="0.3">
      <c r="A27" s="4"/>
      <c r="B27" s="4"/>
      <c r="C27" s="4"/>
      <c r="D27" s="4"/>
      <c r="E27" s="4"/>
      <c r="F27" s="4"/>
    </row>
    <row r="28" spans="1:6" x14ac:dyDescent="0.3">
      <c r="A28" s="4"/>
      <c r="B28" s="4"/>
      <c r="C28" s="4"/>
      <c r="D28" s="4"/>
      <c r="E28" s="4"/>
      <c r="F28" s="4"/>
    </row>
    <row r="29" spans="1:6" x14ac:dyDescent="0.3">
      <c r="A29" s="4"/>
      <c r="B29" s="4"/>
      <c r="C29" s="4"/>
      <c r="D29" s="4"/>
      <c r="E29" s="4"/>
      <c r="F29" s="4"/>
    </row>
    <row r="30" spans="1:6" x14ac:dyDescent="0.3">
      <c r="A30" s="4"/>
      <c r="B30" s="4"/>
      <c r="C30" s="4"/>
      <c r="D30" s="4"/>
      <c r="E30" s="4"/>
      <c r="F30" s="4"/>
    </row>
    <row r="31" spans="1:6" x14ac:dyDescent="0.3">
      <c r="A31" s="4"/>
      <c r="B31" s="4"/>
      <c r="C31" s="4"/>
      <c r="D31" s="4"/>
      <c r="E31" s="4"/>
      <c r="F31" s="4"/>
    </row>
    <row r="32" spans="1:6" x14ac:dyDescent="0.3">
      <c r="A32" s="4"/>
      <c r="B32" s="4"/>
      <c r="C32" s="4"/>
      <c r="D32" s="4"/>
      <c r="E32" s="4"/>
      <c r="F32" s="4"/>
    </row>
    <row r="33" spans="1:6" x14ac:dyDescent="0.3">
      <c r="A33" s="4"/>
      <c r="B33" s="4"/>
      <c r="C33" s="4"/>
      <c r="D33" s="4"/>
      <c r="E33" s="4"/>
      <c r="F33" s="4"/>
    </row>
    <row r="34" spans="1:6" x14ac:dyDescent="0.3">
      <c r="A34" s="4"/>
      <c r="B34" s="4"/>
      <c r="C34" s="4"/>
      <c r="D34" s="4"/>
      <c r="E34" s="4"/>
      <c r="F34" s="4"/>
    </row>
    <row r="35" spans="1:6" x14ac:dyDescent="0.3">
      <c r="A35" s="4"/>
      <c r="B35" s="4"/>
      <c r="C35" s="4"/>
      <c r="D35" s="4"/>
      <c r="E35" s="4"/>
      <c r="F35" s="4"/>
    </row>
    <row r="36" spans="1:6" x14ac:dyDescent="0.3">
      <c r="A36" s="4"/>
      <c r="B36" s="4"/>
      <c r="C36" s="4"/>
      <c r="D36" s="4"/>
      <c r="E36" s="4"/>
      <c r="F36" s="4"/>
    </row>
    <row r="37" spans="1:6" x14ac:dyDescent="0.3">
      <c r="A37" s="4"/>
      <c r="B37" s="4"/>
      <c r="C37" s="4"/>
      <c r="D37" s="4"/>
      <c r="E37" s="4"/>
      <c r="F37" s="4"/>
    </row>
    <row r="38" spans="1:6" x14ac:dyDescent="0.3">
      <c r="F38" s="4"/>
    </row>
  </sheetData>
  <sheetProtection sheet="1" objects="1" scenarios="1" formatCells="0" formatColumns="0" formatRows="0"/>
  <mergeCells count="4">
    <mergeCell ref="A3:C3"/>
    <mergeCell ref="A8:C8"/>
    <mergeCell ref="A20:C20"/>
    <mergeCell ref="A15:C15"/>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1">
    <tabColor rgb="FF92D050"/>
  </sheetPr>
  <dimension ref="A1:FG87"/>
  <sheetViews>
    <sheetView topLeftCell="F1" zoomScale="70" zoomScaleNormal="70" workbookViewId="0">
      <selection activeCell="F1" sqref="F1"/>
    </sheetView>
  </sheetViews>
  <sheetFormatPr defaultColWidth="8.81640625" defaultRowHeight="13" x14ac:dyDescent="0.35"/>
  <cols>
    <col min="1" max="1" width="4.54296875" style="12" customWidth="1"/>
    <col min="2" max="2" width="5.1796875" style="9" customWidth="1"/>
    <col min="3" max="3" width="28" style="12" customWidth="1"/>
    <col min="4" max="4" width="16.81640625" style="9" bestFit="1" customWidth="1"/>
    <col min="5" max="5" width="19.81640625" style="12" bestFit="1" customWidth="1"/>
    <col min="6" max="6" width="24.1796875" style="12" customWidth="1"/>
    <col min="7" max="7" width="27.453125" style="12" customWidth="1"/>
    <col min="8" max="8" width="19.81640625" style="12" bestFit="1" customWidth="1"/>
    <col min="9" max="9" width="18.1796875" style="12" customWidth="1"/>
    <col min="10" max="10" width="3.81640625" style="12" customWidth="1"/>
    <col min="11" max="11" width="28.54296875" style="12" customWidth="1"/>
    <col min="12" max="12" width="19" style="12" customWidth="1"/>
    <col min="13" max="13" width="16.54296875" style="12" customWidth="1"/>
    <col min="14" max="14" width="24.81640625" style="12" customWidth="1"/>
    <col min="15" max="15" width="25.54296875" style="12" customWidth="1"/>
    <col min="16" max="16" width="19.1796875" style="12" customWidth="1"/>
    <col min="17" max="17" width="17" style="12" customWidth="1"/>
    <col min="18" max="18" width="3.1796875" style="12" customWidth="1"/>
    <col min="19" max="19" width="26.54296875" style="12" customWidth="1"/>
    <col min="20" max="20" width="16.81640625" style="12" customWidth="1"/>
    <col min="21" max="21" width="18.81640625" style="12" customWidth="1"/>
    <col min="22" max="22" width="22.1796875" style="12" customWidth="1"/>
    <col min="23" max="23" width="25.81640625" style="12" bestFit="1" customWidth="1"/>
    <col min="24" max="27" width="20.453125" style="12" customWidth="1"/>
    <col min="28" max="29" width="18.81640625" style="12" customWidth="1"/>
    <col min="30" max="30" width="28.453125" style="3" customWidth="1"/>
    <col min="31" max="31" width="26.81640625" style="3" customWidth="1"/>
    <col min="32" max="32" width="15.1796875" style="3" customWidth="1"/>
    <col min="33" max="33" width="17.81640625" style="3" customWidth="1"/>
    <col min="34" max="34" width="22.453125" style="3" customWidth="1"/>
    <col min="35" max="35" width="21.81640625" style="3" customWidth="1"/>
    <col min="36" max="36" width="17.453125" style="3" customWidth="1"/>
    <col min="37" max="37" width="14.54296875" style="12" customWidth="1"/>
    <col min="38" max="38" width="17.1796875" style="12" customWidth="1"/>
    <col min="39" max="39" width="16" style="12" customWidth="1"/>
    <col min="40" max="40" width="24.1796875" style="12" customWidth="1"/>
    <col min="41" max="41" width="15.54296875" style="12" customWidth="1"/>
    <col min="42" max="42" width="14.1796875" style="12" customWidth="1"/>
    <col min="43" max="44" width="8.81640625" style="12"/>
    <col min="45" max="45" width="18.453125" style="12" customWidth="1"/>
    <col min="46" max="46" width="15" style="12" customWidth="1"/>
    <col min="47" max="47" width="21.453125" style="12" customWidth="1"/>
    <col min="48" max="48" width="15.453125" style="12" customWidth="1"/>
    <col min="49" max="49" width="16.54296875" style="12" customWidth="1"/>
    <col min="50" max="51" width="8.81640625" style="12"/>
    <col min="52" max="52" width="17.81640625" style="12" customWidth="1"/>
    <col min="53" max="53" width="14.453125" style="12" customWidth="1"/>
    <col min="54" max="54" width="18.54296875" style="12" customWidth="1"/>
    <col min="55" max="55" width="13.54296875" style="12" customWidth="1"/>
    <col min="56" max="56" width="15.1796875" style="12" customWidth="1"/>
    <col min="57" max="58" width="8.81640625" style="12"/>
    <col min="59" max="59" width="16.1796875" style="12" customWidth="1"/>
    <col min="60" max="60" width="12" style="12" customWidth="1"/>
    <col min="61" max="61" width="18" style="12" customWidth="1"/>
    <col min="62" max="62" width="16.1796875" style="12" customWidth="1"/>
    <col min="63" max="63" width="14.1796875" style="12" customWidth="1"/>
    <col min="64" max="64" width="10.1796875" style="12" customWidth="1"/>
    <col min="65" max="16384" width="8.81640625" style="12"/>
  </cols>
  <sheetData>
    <row r="1" spans="1:163" ht="13.5" thickBot="1" x14ac:dyDescent="0.4">
      <c r="F1" s="680"/>
      <c r="J1" s="14"/>
      <c r="K1" s="14"/>
      <c r="L1" s="14"/>
      <c r="AD1" s="12"/>
      <c r="AE1" s="12"/>
      <c r="AF1" s="12"/>
      <c r="AG1" s="12"/>
      <c r="AH1" s="12"/>
      <c r="AI1" s="12"/>
      <c r="AJ1" s="12"/>
    </row>
    <row r="2" spans="1:163" s="14" customFormat="1" ht="14" thickBot="1" x14ac:dyDescent="0.35">
      <c r="B2" s="22"/>
      <c r="C2" s="92" t="s">
        <v>64</v>
      </c>
      <c r="D2" s="509" t="s">
        <v>65</v>
      </c>
      <c r="E2" s="510"/>
      <c r="F2" s="517" t="s">
        <v>66</v>
      </c>
      <c r="G2" s="518"/>
      <c r="H2" s="13" t="s">
        <v>67</v>
      </c>
      <c r="L2" s="110"/>
    </row>
    <row r="3" spans="1:163" s="14" customFormat="1" ht="26" x14ac:dyDescent="0.3">
      <c r="B3" s="22"/>
      <c r="C3" s="93" t="s">
        <v>68</v>
      </c>
      <c r="D3" s="498" t="s">
        <v>69</v>
      </c>
      <c r="E3" s="516"/>
      <c r="F3" s="94" t="s">
        <v>70</v>
      </c>
      <c r="G3" s="95" t="s">
        <v>71</v>
      </c>
      <c r="H3" s="96" t="s">
        <v>72</v>
      </c>
      <c r="L3" s="110"/>
    </row>
    <row r="4" spans="1:163" s="14" customFormat="1" ht="30.75" customHeight="1" x14ac:dyDescent="0.3">
      <c r="B4" s="22"/>
      <c r="C4" s="18" t="s">
        <v>73</v>
      </c>
      <c r="D4" s="514" t="str">
        <f>_xlfn.XLOOKUP($C$4,Inhalation_Exp[OES],Inhalation_Exp[Data Type])</f>
        <v>Mixed Modeled and Monitoring Data</v>
      </c>
      <c r="E4" s="515"/>
      <c r="F4" s="97">
        <v>10</v>
      </c>
      <c r="G4" s="98">
        <v>20</v>
      </c>
      <c r="H4" s="99" t="s">
        <v>74</v>
      </c>
      <c r="L4" s="110"/>
    </row>
    <row r="5" spans="1:163" s="14" customFormat="1" x14ac:dyDescent="0.35">
      <c r="B5" s="22"/>
      <c r="C5" s="29"/>
      <c r="D5" s="29"/>
      <c r="E5" s="29"/>
      <c r="H5" s="16"/>
      <c r="I5" s="100"/>
      <c r="L5" s="29"/>
    </row>
    <row r="6" spans="1:163" ht="13.5" x14ac:dyDescent="0.35">
      <c r="A6" s="14"/>
      <c r="C6" s="15" t="s">
        <v>75</v>
      </c>
      <c r="D6" s="22"/>
      <c r="E6" s="16"/>
      <c r="F6" s="16"/>
      <c r="G6" s="16"/>
      <c r="H6" s="16"/>
      <c r="I6" s="16"/>
      <c r="K6" s="15" t="s">
        <v>67</v>
      </c>
      <c r="M6" s="14"/>
      <c r="N6" s="14"/>
      <c r="O6" s="16"/>
      <c r="P6" s="16"/>
      <c r="R6" s="14"/>
      <c r="S6" s="15" t="s">
        <v>76</v>
      </c>
      <c r="T6" s="22"/>
      <c r="U6" s="16"/>
      <c r="V6" s="16"/>
      <c r="W6" s="16"/>
      <c r="X6" s="16"/>
      <c r="Y6" s="14"/>
      <c r="Z6" s="14"/>
      <c r="AA6" s="14"/>
      <c r="AB6" s="14"/>
      <c r="AD6" s="12"/>
      <c r="AE6" s="12"/>
      <c r="AF6" s="12"/>
      <c r="AG6" s="12"/>
      <c r="AH6" s="12"/>
      <c r="AI6" s="14"/>
      <c r="AJ6" s="14"/>
      <c r="AK6" s="14"/>
      <c r="AL6" s="14"/>
      <c r="AM6" s="14"/>
      <c r="AN6" s="14"/>
      <c r="AO6" s="14"/>
      <c r="AP6" s="14"/>
      <c r="AQ6" s="14"/>
      <c r="AR6" s="14"/>
      <c r="AS6" s="14"/>
      <c r="AT6" s="14"/>
      <c r="AU6" s="14"/>
      <c r="AV6" s="14"/>
      <c r="AW6" s="14"/>
      <c r="AX6" s="14"/>
      <c r="AY6" s="14"/>
      <c r="AZ6" s="14"/>
      <c r="BA6" s="14"/>
      <c r="BB6" s="14"/>
      <c r="BC6" s="14"/>
      <c r="BD6" s="14"/>
      <c r="BE6" s="14"/>
      <c r="BF6" s="14"/>
      <c r="BG6" s="14"/>
      <c r="BH6" s="14"/>
      <c r="BI6" s="14"/>
      <c r="BJ6" s="14"/>
      <c r="BK6" s="14"/>
      <c r="BL6" s="14"/>
      <c r="BM6" s="14"/>
      <c r="BN6" s="14"/>
      <c r="BO6" s="14"/>
      <c r="BP6" s="14"/>
      <c r="BQ6" s="14"/>
    </row>
    <row r="7" spans="1:163" x14ac:dyDescent="0.35">
      <c r="A7" s="14"/>
      <c r="C7" s="17" t="s">
        <v>77</v>
      </c>
      <c r="G7" s="101"/>
      <c r="H7" s="101"/>
      <c r="I7" s="102"/>
      <c r="K7" s="17" t="s">
        <v>77</v>
      </c>
      <c r="N7" s="10"/>
      <c r="O7" s="16"/>
      <c r="P7" s="16"/>
      <c r="S7" s="17" t="s">
        <v>77</v>
      </c>
      <c r="T7" s="9"/>
      <c r="V7" s="102"/>
      <c r="W7" s="102"/>
      <c r="X7" s="102"/>
      <c r="AD7" s="12"/>
      <c r="AE7" s="12"/>
      <c r="AF7" s="12"/>
      <c r="AG7" s="12"/>
      <c r="AH7" s="12"/>
      <c r="AI7" s="14"/>
      <c r="AJ7" s="14"/>
      <c r="AK7" s="14"/>
      <c r="AL7" s="14"/>
      <c r="AM7" s="14"/>
      <c r="AN7" s="14"/>
      <c r="AO7" s="14"/>
      <c r="AP7" s="14"/>
      <c r="AQ7" s="14"/>
      <c r="AR7" s="14"/>
      <c r="AS7" s="14"/>
      <c r="AT7" s="14"/>
      <c r="AU7" s="14"/>
      <c r="AV7" s="14"/>
      <c r="AW7" s="14"/>
      <c r="AX7" s="14"/>
      <c r="AY7" s="14"/>
      <c r="AZ7" s="14"/>
      <c r="BA7" s="14"/>
      <c r="BB7" s="14"/>
      <c r="BC7" s="14"/>
      <c r="BD7" s="14"/>
      <c r="BE7" s="14"/>
      <c r="BF7" s="14"/>
      <c r="BG7" s="14"/>
      <c r="BH7" s="14"/>
      <c r="BI7" s="14"/>
      <c r="BJ7" s="14"/>
      <c r="BK7" s="14"/>
      <c r="BL7" s="14"/>
      <c r="BM7" s="14"/>
      <c r="BN7" s="14"/>
      <c r="BO7" s="14"/>
      <c r="BP7" s="14"/>
      <c r="BQ7" s="14"/>
    </row>
    <row r="8" spans="1:163" ht="25.5" customHeight="1" x14ac:dyDescent="0.35">
      <c r="A8" s="14"/>
      <c r="C8" s="520" t="s">
        <v>78</v>
      </c>
      <c r="D8" s="489" t="s">
        <v>79</v>
      </c>
      <c r="E8" s="456" t="s">
        <v>80</v>
      </c>
      <c r="F8" s="456" t="s">
        <v>81</v>
      </c>
      <c r="G8" s="456" t="s">
        <v>82</v>
      </c>
      <c r="H8" s="19" t="s">
        <v>83</v>
      </c>
      <c r="I8" s="28"/>
      <c r="K8" s="522" t="s">
        <v>78</v>
      </c>
      <c r="L8" s="524" t="s">
        <v>79</v>
      </c>
      <c r="M8" s="456" t="s">
        <v>80</v>
      </c>
      <c r="N8" s="456" t="s">
        <v>81</v>
      </c>
      <c r="O8" s="456" t="s">
        <v>82</v>
      </c>
      <c r="P8" s="19" t="s">
        <v>83</v>
      </c>
      <c r="S8" s="528" t="s">
        <v>78</v>
      </c>
      <c r="T8" s="519" t="s">
        <v>79</v>
      </c>
      <c r="U8" s="446" t="s">
        <v>80</v>
      </c>
      <c r="V8" s="446" t="s">
        <v>84</v>
      </c>
      <c r="W8" s="446" t="s">
        <v>82</v>
      </c>
      <c r="X8" s="447" t="s">
        <v>83</v>
      </c>
      <c r="Y8" s="28"/>
      <c r="Z8" s="28"/>
      <c r="AA8" s="28"/>
      <c r="AB8" s="28"/>
      <c r="AC8" s="28"/>
      <c r="AD8" s="12"/>
      <c r="AE8" s="12"/>
      <c r="AF8" s="12"/>
      <c r="AG8" s="12"/>
      <c r="AH8" s="12"/>
      <c r="AI8" s="12"/>
      <c r="AJ8" s="14"/>
      <c r="AK8" s="14"/>
      <c r="AL8" s="14"/>
      <c r="AM8" s="14"/>
      <c r="AN8" s="14"/>
      <c r="AO8" s="14"/>
      <c r="AP8" s="14"/>
      <c r="AQ8" s="14"/>
      <c r="AR8" s="14"/>
      <c r="AS8" s="14"/>
      <c r="AT8" s="14"/>
      <c r="AU8" s="14"/>
      <c r="AV8" s="14"/>
      <c r="AW8" s="14"/>
      <c r="AX8" s="14"/>
      <c r="AY8" s="14"/>
      <c r="AZ8" s="14"/>
      <c r="BA8" s="14"/>
      <c r="BB8" s="14"/>
      <c r="BC8" s="14"/>
      <c r="BD8" s="14"/>
      <c r="BE8" s="14"/>
      <c r="BF8" s="14"/>
      <c r="BG8" s="14"/>
      <c r="BH8" s="14"/>
      <c r="BI8" s="14"/>
      <c r="BJ8" s="14"/>
      <c r="BK8" s="14"/>
      <c r="BL8" s="14"/>
      <c r="BM8" s="14"/>
      <c r="BN8" s="14"/>
      <c r="BO8" s="14"/>
      <c r="BP8" s="14"/>
      <c r="BQ8" s="14"/>
      <c r="BR8" s="14"/>
    </row>
    <row r="9" spans="1:163" ht="27.75" customHeight="1" thickBot="1" x14ac:dyDescent="0.4">
      <c r="A9" s="14"/>
      <c r="C9" s="521"/>
      <c r="D9" s="508"/>
      <c r="E9" s="465" t="s">
        <v>85</v>
      </c>
      <c r="F9" s="465" t="s">
        <v>86</v>
      </c>
      <c r="G9" s="465" t="s">
        <v>87</v>
      </c>
      <c r="H9" s="21" t="s">
        <v>88</v>
      </c>
      <c r="I9" s="28"/>
      <c r="K9" s="523"/>
      <c r="L9" s="525"/>
      <c r="M9" s="457" t="s">
        <v>85</v>
      </c>
      <c r="N9" s="457" t="s">
        <v>86</v>
      </c>
      <c r="O9" s="457" t="s">
        <v>89</v>
      </c>
      <c r="P9" s="24" t="s">
        <v>90</v>
      </c>
      <c r="S9" s="529"/>
      <c r="T9" s="508"/>
      <c r="U9" s="457" t="s">
        <v>91</v>
      </c>
      <c r="V9" s="457" t="s">
        <v>86</v>
      </c>
      <c r="W9" s="457" t="s">
        <v>87</v>
      </c>
      <c r="X9" s="448" t="s">
        <v>88</v>
      </c>
      <c r="Y9" s="28"/>
      <c r="Z9" s="28"/>
      <c r="AA9" s="28"/>
      <c r="AB9" s="28"/>
      <c r="AC9" s="28"/>
      <c r="AD9" s="12"/>
      <c r="AE9" s="12"/>
      <c r="AF9" s="12"/>
      <c r="AG9" s="12"/>
      <c r="AH9" s="12"/>
      <c r="AI9" s="12"/>
      <c r="AJ9" s="14"/>
      <c r="AK9" s="14"/>
      <c r="AL9" s="14"/>
      <c r="AM9" s="14"/>
      <c r="AN9" s="14"/>
      <c r="AO9" s="14"/>
      <c r="AP9" s="14"/>
      <c r="AQ9" s="14"/>
      <c r="AR9" s="14"/>
      <c r="AS9" s="14"/>
      <c r="AT9" s="14"/>
      <c r="AU9" s="14"/>
      <c r="AV9" s="14"/>
      <c r="AW9" s="14"/>
      <c r="AX9" s="14"/>
      <c r="AY9" s="14"/>
      <c r="AZ9" s="14"/>
      <c r="BA9" s="14"/>
      <c r="BB9" s="14"/>
      <c r="BC9" s="14"/>
      <c r="BD9" s="14"/>
      <c r="BE9" s="14"/>
      <c r="BF9" s="14"/>
      <c r="BG9" s="14"/>
      <c r="BH9" s="14"/>
      <c r="BI9" s="14"/>
      <c r="BJ9" s="14"/>
      <c r="BK9" s="14"/>
      <c r="BL9" s="14"/>
      <c r="BM9" s="14"/>
      <c r="BN9" s="14"/>
      <c r="BO9" s="14"/>
      <c r="BP9" s="14"/>
      <c r="BQ9" s="14"/>
      <c r="BR9" s="14"/>
    </row>
    <row r="10" spans="1:163" ht="15" customHeight="1" thickBot="1" x14ac:dyDescent="0.4">
      <c r="A10" s="14"/>
      <c r="C10" s="526" t="str">
        <f>$H$4</f>
        <v>Female of Reproductive Age</v>
      </c>
      <c r="D10" s="325" t="s">
        <v>92</v>
      </c>
      <c r="E10" s="328">
        <f>SUMIFS(Inhalation_Exp[24hr_High-End],Inhalation_Exp[OES],$C$4,Inhalation_Exp[Worker Type],$C10,Inhalation_Exp[Data Type],$D$4)</f>
        <v>3.0575768035899134</v>
      </c>
      <c r="F10" s="246">
        <f>SUMIFS(Inhalation_Exp[Int_High-End],Inhalation_Exp[OES],$C$4,Inhalation_Exp[Worker Type],$C10,Inhalation_Exp[Data Type],$D$4)</f>
        <v>2.24222298929927</v>
      </c>
      <c r="G10" s="246">
        <f>SUMIFS(Inhalation_Exp[ADD_High-End],Inhalation_Exp[OES],$C$4,Inhalation_Exp[Worker Type],$C10,Inhalation_Exp[Data Type],$D$4)</f>
        <v>2.0942306873903513</v>
      </c>
      <c r="H10" s="247">
        <f>SUMIFS(Inhalation_Exp[LADD_High-End],Inhalation_Exp[OES],$C$4,Inhalation_Exp[Worker Type],$C10,Inhalation_Exp[Data Type],$D$4)</f>
        <v>1.0739644550719751</v>
      </c>
      <c r="I10" s="53"/>
      <c r="K10" s="526" t="str">
        <f>$H$4</f>
        <v>Female of Reproductive Age</v>
      </c>
      <c r="L10" s="248" t="s">
        <v>92</v>
      </c>
      <c r="M10" s="246">
        <f>SUMIFS(Dermal_Exp[High-End AD (mg/kg-day)],Dermal_Exp[Worker Type],Dashboard!$K$10,Dermal_Exp[OES],Dashboard!$C$4)</f>
        <v>6.0972375690607726E-2</v>
      </c>
      <c r="N10" s="246">
        <f>SUMIFS(Dermal_Exp[High-End IADD (mg/kg-day)],Dermal_Exp[Worker Type],Dashboard!$K$10,Dermal_Exp[OES],Dashboard!$C$4)</f>
        <v>4.4713075506445668E-2</v>
      </c>
      <c r="O10" s="246">
        <f>SUMIFS(Dermal_Exp[High-End ADD (mg/kg-day)],Dermal_Exp[Worker Type],Dashboard!$K$10,Dermal_Exp[OES],Dashboard!$C$4)</f>
        <v>4.1761901157950497E-2</v>
      </c>
      <c r="P10" s="247">
        <f>SUMIFS(Dermal_Exp[High-End LADD (mg/kg-day)],Dermal_Exp[Worker Type],Dashboard!$K$10,Dermal_Exp[OES],Dashboard!$C$4)</f>
        <v>2.1416359568179742E-2</v>
      </c>
      <c r="S10" s="537" t="str">
        <f>$H$4</f>
        <v>Female of Reproductive Age</v>
      </c>
      <c r="T10" s="248" t="s">
        <v>92</v>
      </c>
      <c r="U10" s="237">
        <f>E10+M10</f>
        <v>3.1185491792805209</v>
      </c>
      <c r="V10" s="237">
        <f t="shared" ref="V10:X13" si="0">F10+N10</f>
        <v>2.2869360648057158</v>
      </c>
      <c r="W10" s="237">
        <f t="shared" si="0"/>
        <v>2.135992588548302</v>
      </c>
      <c r="X10" s="449">
        <f t="shared" si="0"/>
        <v>1.0953808146401549</v>
      </c>
      <c r="Y10" s="53"/>
      <c r="Z10" s="53"/>
      <c r="AA10" s="53"/>
      <c r="AB10" s="53"/>
      <c r="AC10" s="53"/>
      <c r="AD10" s="12"/>
      <c r="AE10" s="12"/>
      <c r="AF10" s="12"/>
      <c r="AG10" s="12"/>
      <c r="AH10" s="12"/>
      <c r="AI10" s="12"/>
      <c r="AJ10" s="14"/>
      <c r="AK10" s="14"/>
      <c r="AL10" s="14"/>
      <c r="AM10" s="14"/>
      <c r="AN10" s="14"/>
      <c r="AO10" s="14"/>
      <c r="AP10" s="14"/>
      <c r="AQ10" s="14"/>
      <c r="AR10" s="14"/>
      <c r="AS10" s="14"/>
      <c r="AT10" s="14"/>
      <c r="AU10" s="14"/>
      <c r="AV10" s="14"/>
      <c r="AW10" s="14"/>
      <c r="AX10" s="14"/>
      <c r="AY10" s="14"/>
      <c r="AZ10" s="14"/>
      <c r="BA10" s="14"/>
      <c r="BB10" s="14"/>
      <c r="BC10" s="14"/>
      <c r="BD10" s="14"/>
      <c r="BE10" s="14"/>
      <c r="BF10" s="14"/>
      <c r="BG10" s="14"/>
      <c r="BH10" s="14"/>
      <c r="BI10" s="14"/>
      <c r="BJ10" s="14"/>
      <c r="BK10" s="14"/>
      <c r="BL10" s="14"/>
      <c r="BM10" s="14"/>
      <c r="BN10" s="14"/>
      <c r="BO10" s="14"/>
      <c r="BP10" s="14"/>
      <c r="BQ10" s="14"/>
      <c r="BR10" s="14"/>
    </row>
    <row r="11" spans="1:163" ht="15.75" customHeight="1" thickBot="1" x14ac:dyDescent="0.4">
      <c r="A11" s="14"/>
      <c r="C11" s="527"/>
      <c r="D11" s="326" t="s">
        <v>93</v>
      </c>
      <c r="E11" s="330">
        <f>SUMIFS(Inhalation_Exp[24hr_Central Tendency],Inhalation_Exp[OES],$C$4,Inhalation_Exp[Worker Type],$C10,Inhalation_Exp[Data Type],$D$4)</f>
        <v>0.23472557818432857</v>
      </c>
      <c r="F11" s="299">
        <f>SUMIFS(Inhalation_Exp[Int_Central Tendency],Inhalation_Exp[OES],$C$4,Inhalation_Exp[Worker Type],$C10,Inhalation_Exp[Data Type],$D$4)</f>
        <v>0.17213209066850763</v>
      </c>
      <c r="G11" s="299">
        <f>SUMIFS(Inhalation_Exp[ADD_Central Tendency],Inhalation_Exp[OES],$C$4,Inhalation_Exp[Worker Type],$C10,Inhalation_Exp[Data Type],$D$4)</f>
        <v>0.16077094396186889</v>
      </c>
      <c r="H11" s="300">
        <f>SUMIFS(Inhalation_Exp[LADD_Central Tendency],Inhalation_Exp[OES],$C$4,Inhalation_Exp[Worker Type],$C10,Inhalation_Exp[Data Type],$D$4)</f>
        <v>6.3896144395101745E-2</v>
      </c>
      <c r="I11" s="53"/>
      <c r="K11" s="527"/>
      <c r="L11" s="250" t="s">
        <v>93</v>
      </c>
      <c r="M11" s="246">
        <f>SUMIFS(Dermal_Exp[Central Tendency AD (mg/kg-day)],Dermal_Exp[Worker Type],Dashboard!$K$10,Dermal_Exp[OES],Dashboard!$C$4)</f>
        <v>3.0486187845303863E-2</v>
      </c>
      <c r="N11" s="246">
        <f>SUMIFS(Dermal_Exp[Central Tendency IADD (mg/kg-day)],Dermal_Exp[Worker Type],Dashboard!$K$10,Dermal_Exp[OES],Dashboard!$C$4)</f>
        <v>2.2356537753222834E-2</v>
      </c>
      <c r="O11" s="246">
        <f>SUMIFS(Dermal_Exp[Central Tendency ADD (mg/kg-day)],Dermal_Exp[Worker Type],Dashboard!$K$10,Dermal_Exp[OES],Dashboard!$C$4)</f>
        <v>2.0880950578975249E-2</v>
      </c>
      <c r="P11" s="247">
        <f>SUMIFS(Dermal_Exp[Central Tendency LADD (mg/kg-day)],Dermal_Exp[Worker Type],Dashboard!$K$10,Dermal_Exp[OES],Dashboard!$C$4)</f>
        <v>8.2988393326696493E-3</v>
      </c>
      <c r="S11" s="538"/>
      <c r="T11" s="250" t="s">
        <v>93</v>
      </c>
      <c r="U11" s="237">
        <f t="shared" ref="U11:U13" si="1">E11+M11</f>
        <v>0.26521176602963242</v>
      </c>
      <c r="V11" s="237">
        <f t="shared" si="0"/>
        <v>0.19448862842173045</v>
      </c>
      <c r="W11" s="237">
        <f t="shared" si="0"/>
        <v>0.18165189454084413</v>
      </c>
      <c r="X11" s="449">
        <f t="shared" si="0"/>
        <v>7.2194983727771389E-2</v>
      </c>
      <c r="Y11" s="53"/>
      <c r="Z11" s="53"/>
      <c r="AA11" s="53"/>
      <c r="AB11" s="53"/>
      <c r="AC11" s="53"/>
      <c r="AD11" s="12"/>
      <c r="AE11" s="12"/>
      <c r="AF11" s="12"/>
      <c r="AG11" s="12"/>
      <c r="AH11" s="12"/>
      <c r="AI11" s="12"/>
      <c r="AJ11" s="14"/>
      <c r="AK11" s="14"/>
      <c r="AL11" s="14"/>
      <c r="AM11" s="14"/>
      <c r="AN11" s="14"/>
      <c r="AO11" s="14"/>
      <c r="AP11" s="14"/>
      <c r="AQ11" s="14"/>
      <c r="AR11" s="14"/>
      <c r="AS11" s="14"/>
      <c r="AT11" s="14"/>
      <c r="AU11" s="14"/>
      <c r="AV11" s="14"/>
      <c r="AW11" s="14"/>
      <c r="AX11" s="14"/>
      <c r="AY11" s="14"/>
      <c r="AZ11" s="14"/>
      <c r="BA11" s="14"/>
      <c r="BB11" s="14"/>
      <c r="BC11" s="14"/>
      <c r="BD11" s="14"/>
      <c r="BE11" s="14"/>
      <c r="BF11" s="14"/>
      <c r="BG11" s="14"/>
      <c r="BH11" s="14"/>
      <c r="BI11" s="14"/>
      <c r="BJ11" s="14"/>
      <c r="BK11" s="14"/>
      <c r="BL11" s="14"/>
      <c r="BM11" s="14"/>
      <c r="BN11" s="14"/>
      <c r="BO11" s="14"/>
      <c r="BP11" s="14"/>
      <c r="BQ11" s="14"/>
      <c r="BR11" s="14"/>
    </row>
    <row r="12" spans="1:163" ht="15" customHeight="1" x14ac:dyDescent="0.35">
      <c r="A12" s="14"/>
      <c r="C12" s="535" t="s">
        <v>94</v>
      </c>
      <c r="D12" s="327" t="s">
        <v>92</v>
      </c>
      <c r="E12" s="331">
        <f>SUMIFS(Inhalation_Exp[24hr_High-End],Inhalation_Exp[OES],$C$4,Inhalation_Exp[Worker Type],$C12,Inhalation_Exp[Data Type],$D$4)</f>
        <v>0.25479687499999998</v>
      </c>
      <c r="F12" s="237">
        <f>SUMIFS(Inhalation_Exp[Int_High-End],Inhalation_Exp[OES],$C$4,Inhalation_Exp[Worker Type],$C12,Inhalation_Exp[Data Type],$D$4)</f>
        <v>0.18685104166666663</v>
      </c>
      <c r="G12" s="237">
        <f>SUMIFS(Inhalation_Exp[ADD_High-End],Inhalation_Exp[OES],$C$4,Inhalation_Exp[Worker Type],$C12,Inhalation_Exp[Data Type],$D$4)</f>
        <v>0.17451840753424655</v>
      </c>
      <c r="H12" s="235">
        <f>SUMIFS(Inhalation_Exp[LADD_High-End],Inhalation_Exp[OES],$C$4,Inhalation_Exp[Worker Type],$C12,Inhalation_Exp[Data Type],$D$4)</f>
        <v>8.9496619248331563E-2</v>
      </c>
      <c r="I12" s="53"/>
      <c r="K12" s="535" t="s">
        <v>94</v>
      </c>
      <c r="L12" s="253" t="s">
        <v>92</v>
      </c>
      <c r="M12" s="246">
        <f>SUMIFS(Dermal_Exp[High-End AD (mg/kg-day)],Dermal_Exp[Worker Type],Dashboard!$K$12,Dermal_Exp[OES],Dashboard!$C$4)</f>
        <v>1.6584999999999999E-2</v>
      </c>
      <c r="N12" s="246">
        <f>SUMIFS(Dermal_Exp[High-End IADD (mg/kg-day)],Dermal_Exp[Worker Type],Dashboard!$K$12,Dermal_Exp[OES],Dashboard!$C$4)</f>
        <v>1.2162333333333332E-2</v>
      </c>
      <c r="O12" s="246">
        <f>SUMIFS(Dermal_Exp[High-End ADD (mg/kg-day)],Dermal_Exp[Worker Type],Dashboard!$K$12,Dermal_Exp[OES],Dashboard!$C$4)</f>
        <v>1.1359589041095889E-2</v>
      </c>
      <c r="P12" s="247">
        <f>SUMIFS(Dermal_Exp[High-End LADD (mg/kg-day)],Dermal_Exp[Worker Type],Dashboard!$K$12,Dermal_Exp[OES],Dashboard!$C$4)</f>
        <v>5.8254302774850709E-3</v>
      </c>
      <c r="S12" s="539" t="s">
        <v>94</v>
      </c>
      <c r="T12" s="253" t="s">
        <v>92</v>
      </c>
      <c r="U12" s="237">
        <f t="shared" si="1"/>
        <v>0.27138187499999999</v>
      </c>
      <c r="V12" s="237">
        <f t="shared" si="0"/>
        <v>0.19901337499999996</v>
      </c>
      <c r="W12" s="237">
        <f t="shared" si="0"/>
        <v>0.18587799657534243</v>
      </c>
      <c r="X12" s="449">
        <f t="shared" si="0"/>
        <v>9.5322049525816632E-2</v>
      </c>
      <c r="Y12" s="53"/>
      <c r="Z12" s="53"/>
      <c r="AA12" s="53"/>
      <c r="AB12" s="53"/>
      <c r="AC12" s="53"/>
      <c r="AD12" s="12"/>
      <c r="AE12" s="12"/>
      <c r="AF12" s="12"/>
      <c r="AG12" s="12"/>
      <c r="AH12" s="12"/>
      <c r="AI12" s="12"/>
      <c r="AJ12" s="14"/>
      <c r="AK12" s="14"/>
      <c r="AL12" s="14"/>
      <c r="AM12" s="14"/>
      <c r="AN12" s="14"/>
      <c r="AO12" s="14"/>
      <c r="AP12" s="14"/>
      <c r="AQ12" s="14"/>
      <c r="AR12" s="14"/>
      <c r="AS12" s="14"/>
      <c r="AT12" s="14"/>
      <c r="AU12" s="14"/>
      <c r="AV12" s="14"/>
      <c r="AW12" s="14"/>
      <c r="AX12" s="14"/>
      <c r="AY12" s="14"/>
      <c r="AZ12" s="14"/>
      <c r="BA12" s="14"/>
      <c r="BB12" s="14"/>
      <c r="BC12" s="14"/>
      <c r="BD12" s="14"/>
      <c r="BE12" s="14"/>
      <c r="BF12" s="14"/>
      <c r="BG12" s="14"/>
      <c r="BH12" s="14"/>
      <c r="BI12" s="14"/>
      <c r="BJ12" s="14"/>
      <c r="BK12" s="14"/>
      <c r="BL12" s="14"/>
      <c r="BM12" s="14"/>
      <c r="BN12" s="14"/>
      <c r="BO12" s="14"/>
      <c r="BP12" s="14"/>
      <c r="BQ12" s="14"/>
      <c r="BR12" s="14"/>
    </row>
    <row r="13" spans="1:163" ht="15.75" customHeight="1" x14ac:dyDescent="0.35">
      <c r="A13" s="14"/>
      <c r="C13" s="536"/>
      <c r="D13" s="327" t="s">
        <v>93</v>
      </c>
      <c r="E13" s="329">
        <f>SUMIFS(Inhalation_Exp[24hr_Central Tendency],Inhalation_Exp[OES],$C$4,Inhalation_Exp[Worker Type],$C12,Inhalation_Exp[Data Type],$D$4)</f>
        <v>0.21249999999999999</v>
      </c>
      <c r="F13" s="238">
        <f>SUMIFS(Inhalation_Exp[Int_Central Tendency],Inhalation_Exp[OES],$C$4,Inhalation_Exp[Worker Type],$C12,Inhalation_Exp[Data Type],$D$4)</f>
        <v>0.15583333333333332</v>
      </c>
      <c r="G13" s="238">
        <f>SUMIFS(Inhalation_Exp[ADD_Central Tendency],Inhalation_Exp[OES],$C$4,Inhalation_Exp[Worker Type],$C12,Inhalation_Exp[Data Type],$D$4)</f>
        <v>0.14554794520547945</v>
      </c>
      <c r="H13" s="236">
        <f>SUMIFS(Inhalation_Exp[LADD_Central Tendency],Inhalation_Exp[OES],$C$4,Inhalation_Exp[Worker Type],$C12,Inhalation_Exp[Data Type],$D$4)</f>
        <v>5.7845978222690553E-2</v>
      </c>
      <c r="I13" s="53"/>
      <c r="K13" s="536"/>
      <c r="L13" s="253" t="s">
        <v>93</v>
      </c>
      <c r="M13" s="251">
        <f>SUMIFS(Dermal_Exp[Central Tendency AD (mg/kg-day)],Dermal_Exp[Worker Type],Dashboard!$K$12,Dermal_Exp[OES],Dashboard!$C$4)</f>
        <v>1.6584999999999999E-2</v>
      </c>
      <c r="N13" s="251">
        <f>SUMIFS(Dermal_Exp[Central Tendency IADD (mg/kg-day)],Dermal_Exp[Worker Type],Dashboard!$K$12,Dermal_Exp[OES],Dashboard!$C$4)</f>
        <v>1.2162333333333332E-2</v>
      </c>
      <c r="O13" s="251">
        <f>SUMIFS(Dermal_Exp[Central Tendency ADD (mg/kg-day)],Dermal_Exp[Worker Type],Dashboard!$K$12,Dermal_Exp[OES],Dashboard!$C$4)</f>
        <v>1.1359589041095887E-2</v>
      </c>
      <c r="P13" s="252">
        <f>SUMIFS(Dermal_Exp[Central Tendency LADD (mg/kg-day)],Dermal_Exp[Worker Type],Dashboard!$K$12,Dermal_Exp[OES],Dashboard!$C$4)</f>
        <v>4.5147084650509301E-3</v>
      </c>
      <c r="Q13" s="249"/>
      <c r="S13" s="540"/>
      <c r="T13" s="450" t="s">
        <v>93</v>
      </c>
      <c r="U13" s="445">
        <f t="shared" si="1"/>
        <v>0.22908499999999998</v>
      </c>
      <c r="V13" s="445">
        <f t="shared" si="0"/>
        <v>0.16799566666666665</v>
      </c>
      <c r="W13" s="445">
        <f t="shared" si="0"/>
        <v>0.15690753424657533</v>
      </c>
      <c r="X13" s="451">
        <f t="shared" si="0"/>
        <v>6.236068668774148E-2</v>
      </c>
      <c r="Y13" s="53"/>
      <c r="Z13" s="53"/>
      <c r="AA13" s="53"/>
      <c r="AB13" s="53"/>
      <c r="AC13" s="53"/>
      <c r="AD13" s="12"/>
      <c r="AE13" s="12"/>
      <c r="AF13" s="12"/>
      <c r="AG13" s="12"/>
      <c r="AH13" s="12"/>
      <c r="AI13" s="12"/>
      <c r="AJ13" s="14"/>
      <c r="AK13" s="14"/>
      <c r="AL13" s="14"/>
      <c r="AM13" s="14"/>
      <c r="AN13" s="14"/>
      <c r="AO13" s="14"/>
      <c r="AP13" s="14"/>
      <c r="AQ13" s="14"/>
      <c r="AR13" s="14"/>
      <c r="AS13" s="14"/>
      <c r="AT13" s="14"/>
      <c r="AU13" s="14"/>
      <c r="AV13" s="14"/>
      <c r="AW13" s="14"/>
      <c r="AX13" s="14"/>
      <c r="AY13" s="14"/>
      <c r="AZ13" s="14"/>
      <c r="BA13" s="14"/>
      <c r="BB13" s="14"/>
      <c r="BC13" s="14"/>
      <c r="BD13" s="14"/>
      <c r="BE13" s="14"/>
      <c r="BF13" s="14"/>
      <c r="BG13" s="14"/>
      <c r="BH13" s="14"/>
      <c r="BI13" s="14"/>
      <c r="BJ13" s="14"/>
      <c r="BK13" s="14"/>
      <c r="BL13" s="14"/>
      <c r="BM13" s="14"/>
      <c r="BN13" s="14"/>
      <c r="BO13" s="14"/>
      <c r="BP13" s="14"/>
      <c r="BQ13" s="14"/>
      <c r="BR13" s="14"/>
    </row>
    <row r="14" spans="1:163" s="3" customFormat="1" x14ac:dyDescent="0.35">
      <c r="A14" s="14"/>
      <c r="B14" s="12"/>
      <c r="C14" s="30"/>
      <c r="D14" s="30"/>
      <c r="F14" s="28"/>
      <c r="G14" s="28"/>
      <c r="H14" s="28"/>
      <c r="I14" s="100"/>
      <c r="J14" s="12"/>
      <c r="K14" s="9"/>
      <c r="L14" s="9"/>
      <c r="M14" s="54"/>
      <c r="N14" s="54"/>
      <c r="O14" s="54"/>
      <c r="P14" s="54"/>
      <c r="Q14" s="54"/>
      <c r="R14" s="14"/>
      <c r="S14" s="14"/>
      <c r="T14" s="14"/>
      <c r="U14" s="14"/>
      <c r="V14" s="14"/>
      <c r="W14" s="14"/>
      <c r="X14" s="14"/>
      <c r="Y14" s="14"/>
      <c r="Z14" s="14"/>
      <c r="AA14" s="14"/>
      <c r="AB14" s="14"/>
      <c r="AC14" s="12"/>
      <c r="AD14" s="12"/>
      <c r="AE14" s="12"/>
      <c r="AF14" s="12"/>
      <c r="AG14" s="12"/>
      <c r="AH14" s="12"/>
      <c r="AI14" s="14"/>
      <c r="AJ14" s="14"/>
      <c r="AK14" s="14"/>
      <c r="AL14" s="14"/>
      <c r="AM14" s="14"/>
      <c r="AN14" s="14"/>
      <c r="AO14" s="14"/>
      <c r="AP14" s="14"/>
      <c r="AQ14" s="14"/>
      <c r="AR14" s="14"/>
      <c r="AS14" s="14"/>
      <c r="AT14" s="14"/>
      <c r="AU14" s="14"/>
      <c r="AV14" s="14"/>
      <c r="AW14" s="14"/>
      <c r="AX14" s="14"/>
      <c r="AY14" s="14"/>
      <c r="AZ14" s="14"/>
      <c r="BA14" s="14"/>
      <c r="BB14" s="14"/>
      <c r="BC14" s="14"/>
      <c r="BD14" s="14"/>
      <c r="BE14" s="14"/>
      <c r="BF14" s="14"/>
      <c r="BG14" s="14"/>
      <c r="BH14" s="14"/>
      <c r="BI14" s="14"/>
      <c r="BJ14" s="14"/>
      <c r="BK14" s="14"/>
      <c r="BL14" s="14"/>
      <c r="BM14" s="14"/>
      <c r="BN14" s="14"/>
      <c r="BO14" s="14"/>
      <c r="BP14" s="14"/>
      <c r="BQ14" s="14"/>
      <c r="BR14" s="12"/>
      <c r="BS14" s="12"/>
      <c r="BT14" s="12"/>
      <c r="BU14" s="12"/>
      <c r="BV14" s="12"/>
      <c r="BW14" s="12"/>
      <c r="BX14" s="12"/>
      <c r="BY14" s="12"/>
      <c r="BZ14" s="12"/>
      <c r="CA14" s="12"/>
      <c r="CB14" s="12"/>
      <c r="CC14" s="12"/>
      <c r="CD14" s="12"/>
      <c r="CE14" s="12"/>
      <c r="CF14" s="12"/>
      <c r="CG14" s="12"/>
      <c r="CH14" s="12"/>
      <c r="CI14" s="12"/>
      <c r="CJ14" s="12"/>
      <c r="CK14" s="12"/>
      <c r="CL14" s="12"/>
      <c r="CM14" s="12"/>
      <c r="CN14" s="12"/>
      <c r="CO14" s="12"/>
      <c r="CP14" s="12"/>
      <c r="CQ14" s="12"/>
      <c r="CR14" s="12"/>
      <c r="CS14" s="12"/>
      <c r="CT14" s="12"/>
      <c r="CU14" s="12"/>
      <c r="CV14" s="12"/>
      <c r="CW14" s="12"/>
      <c r="CX14" s="12"/>
      <c r="CY14" s="12"/>
      <c r="CZ14" s="12"/>
      <c r="DA14" s="12"/>
      <c r="DB14" s="12"/>
      <c r="DC14" s="12"/>
      <c r="DD14" s="12"/>
      <c r="DE14" s="12"/>
      <c r="DF14" s="12"/>
      <c r="DG14" s="12"/>
      <c r="DH14" s="12"/>
      <c r="DI14" s="12"/>
      <c r="DJ14" s="12"/>
      <c r="DK14" s="12"/>
      <c r="DL14" s="12"/>
      <c r="DM14" s="12"/>
      <c r="DN14" s="12"/>
      <c r="DO14" s="12"/>
      <c r="DP14" s="12"/>
      <c r="DQ14" s="12"/>
      <c r="DR14" s="12"/>
      <c r="DS14" s="12"/>
      <c r="DT14" s="12"/>
      <c r="DU14" s="12"/>
      <c r="DV14" s="12"/>
      <c r="DW14" s="12"/>
      <c r="DX14" s="12"/>
      <c r="DY14" s="12"/>
      <c r="DZ14" s="12"/>
      <c r="EA14" s="12"/>
      <c r="EB14" s="12"/>
      <c r="EC14" s="12"/>
      <c r="ED14" s="12"/>
      <c r="EE14" s="12"/>
      <c r="EF14" s="12"/>
      <c r="EG14" s="12"/>
      <c r="EH14" s="12"/>
      <c r="EI14" s="12"/>
      <c r="EJ14" s="12"/>
      <c r="EK14" s="12"/>
      <c r="EL14" s="12"/>
      <c r="EM14" s="12"/>
      <c r="EN14" s="12"/>
      <c r="EO14" s="12"/>
      <c r="EP14" s="12"/>
      <c r="EQ14" s="12"/>
      <c r="ER14" s="12"/>
      <c r="ES14" s="12"/>
      <c r="ET14" s="12"/>
      <c r="EU14" s="12"/>
      <c r="EV14" s="12"/>
      <c r="EW14" s="12"/>
      <c r="EX14" s="12"/>
      <c r="EY14" s="12"/>
      <c r="EZ14" s="12"/>
      <c r="FA14" s="12"/>
      <c r="FB14" s="12"/>
      <c r="FC14" s="12"/>
      <c r="FD14" s="12"/>
      <c r="FE14" s="12"/>
      <c r="FF14" s="12"/>
      <c r="FG14" s="12"/>
    </row>
    <row r="15" spans="1:163" s="22" customFormat="1" ht="30" customHeight="1" x14ac:dyDescent="0.35">
      <c r="A15" s="14"/>
      <c r="C15" s="31" t="s">
        <v>95</v>
      </c>
      <c r="D15" s="29"/>
      <c r="E15" s="16"/>
      <c r="F15" s="14"/>
      <c r="G15" s="29"/>
      <c r="H15" s="14"/>
      <c r="I15" s="14"/>
      <c r="J15" s="14"/>
      <c r="K15" s="500" t="s">
        <v>96</v>
      </c>
      <c r="L15" s="500"/>
      <c r="M15" s="500"/>
      <c r="N15" s="501"/>
      <c r="O15" s="14"/>
      <c r="P15" s="14"/>
      <c r="Q15" s="14"/>
      <c r="R15" s="12"/>
      <c r="S15" s="500" t="s">
        <v>97</v>
      </c>
      <c r="T15" s="500"/>
      <c r="U15" s="500"/>
      <c r="V15" s="501"/>
      <c r="W15" s="14"/>
      <c r="X15" s="14"/>
      <c r="Y15" s="14"/>
      <c r="Z15" s="14"/>
      <c r="AA15" s="14"/>
      <c r="AB15" s="14"/>
      <c r="AM15" s="12"/>
      <c r="AN15" s="12"/>
      <c r="AO15" s="12"/>
      <c r="AP15" s="12"/>
      <c r="AQ15" s="12"/>
      <c r="AR15" s="12"/>
      <c r="AS15" s="12"/>
      <c r="AT15" s="12"/>
      <c r="AU15" s="12"/>
      <c r="AV15" s="12"/>
      <c r="AW15" s="12"/>
      <c r="AX15" s="12"/>
      <c r="AY15" s="12"/>
      <c r="AZ15" s="12"/>
      <c r="BA15" s="12"/>
      <c r="BB15" s="12"/>
      <c r="BC15" s="12"/>
      <c r="BD15" s="12"/>
      <c r="BE15" s="12"/>
      <c r="BF15" s="12"/>
      <c r="BG15" s="12"/>
      <c r="BH15" s="12"/>
      <c r="BI15" s="12"/>
      <c r="BJ15" s="12"/>
      <c r="BK15" s="12"/>
      <c r="BL15" s="12"/>
      <c r="BM15" s="14"/>
      <c r="BN15" s="14"/>
      <c r="BO15" s="14"/>
      <c r="BP15" s="14"/>
      <c r="BQ15" s="12"/>
      <c r="BR15" s="12"/>
      <c r="BS15" s="12"/>
      <c r="BT15" s="12"/>
      <c r="BU15" s="12"/>
      <c r="BV15" s="12"/>
      <c r="BW15" s="12"/>
      <c r="BX15" s="12"/>
      <c r="BY15" s="12"/>
    </row>
    <row r="16" spans="1:163" s="22" customFormat="1" ht="51.65" customHeight="1" x14ac:dyDescent="0.35">
      <c r="A16" s="14"/>
      <c r="C16" s="530" t="s">
        <v>98</v>
      </c>
      <c r="D16" s="512" t="s">
        <v>99</v>
      </c>
      <c r="E16" s="491" t="s">
        <v>79</v>
      </c>
      <c r="F16" s="498" t="s">
        <v>100</v>
      </c>
      <c r="G16" s="497" t="s">
        <v>101</v>
      </c>
      <c r="H16" s="497"/>
      <c r="I16" s="55" t="str">
        <f>_xlfn.CONCAT("Respirator Scenario: APF of ",$F$4)</f>
        <v>Respirator Scenario: APF of 10</v>
      </c>
      <c r="J16" s="28"/>
      <c r="K16" s="530" t="s">
        <v>98</v>
      </c>
      <c r="L16" s="497" t="s">
        <v>99</v>
      </c>
      <c r="M16" s="491" t="s">
        <v>79</v>
      </c>
      <c r="N16" s="498" t="s">
        <v>100</v>
      </c>
      <c r="O16" s="498" t="s">
        <v>101</v>
      </c>
      <c r="P16" s="499"/>
      <c r="Q16" s="55" t="s">
        <v>102</v>
      </c>
      <c r="R16" s="12"/>
      <c r="S16" s="487" t="s">
        <v>98</v>
      </c>
      <c r="T16" s="489" t="s">
        <v>99</v>
      </c>
      <c r="U16" s="491" t="s">
        <v>79</v>
      </c>
      <c r="V16" s="489" t="s">
        <v>100</v>
      </c>
      <c r="W16" s="497" t="s">
        <v>101</v>
      </c>
      <c r="X16" s="497"/>
      <c r="Y16" s="56" t="str">
        <f>_xlfn.CONCAT("Respirator-Only Scenario: APF of ",$F$4)</f>
        <v>Respirator-Only Scenario: APF of 10</v>
      </c>
      <c r="Z16" s="57" t="str">
        <f>_xlfn.CONCAT("Gloved-only Scenario: APF of ",$G$4)</f>
        <v>Gloved-only Scenario: APF of 20</v>
      </c>
      <c r="AA16" s="58" t="s">
        <v>103</v>
      </c>
      <c r="AB16" s="28"/>
      <c r="AM16" s="12"/>
      <c r="AN16" s="12"/>
      <c r="AO16" s="12"/>
      <c r="AP16" s="12"/>
      <c r="AQ16" s="12"/>
      <c r="AR16" s="12"/>
      <c r="AS16" s="12"/>
      <c r="AT16" s="12"/>
      <c r="AU16" s="12"/>
      <c r="AV16" s="12"/>
      <c r="AW16" s="12"/>
      <c r="AX16" s="12"/>
      <c r="AY16" s="12"/>
      <c r="AZ16" s="12"/>
      <c r="BA16" s="12"/>
      <c r="BB16" s="12"/>
      <c r="BC16" s="12"/>
      <c r="BD16" s="12"/>
      <c r="BE16" s="12"/>
      <c r="BF16" s="12"/>
      <c r="BG16" s="12"/>
      <c r="BH16" s="12"/>
      <c r="BI16" s="12"/>
      <c r="BJ16" s="12"/>
      <c r="BK16" s="12"/>
      <c r="BL16" s="12"/>
      <c r="BM16" s="12"/>
      <c r="BN16" s="12"/>
      <c r="BO16" s="12"/>
      <c r="BP16" s="12"/>
      <c r="BQ16" s="12"/>
      <c r="BR16" s="12"/>
      <c r="BS16" s="12"/>
      <c r="BT16" s="12"/>
      <c r="BU16" s="12"/>
      <c r="BV16" s="12"/>
      <c r="BW16" s="12"/>
      <c r="BX16" s="12"/>
      <c r="BY16" s="12"/>
    </row>
    <row r="17" spans="1:77" s="22" customFormat="1" ht="30" customHeight="1" x14ac:dyDescent="0.35">
      <c r="A17" s="14"/>
      <c r="C17" s="531"/>
      <c r="D17" s="513"/>
      <c r="E17" s="507"/>
      <c r="F17" s="511"/>
      <c r="G17" s="457" t="s">
        <v>104</v>
      </c>
      <c r="H17" s="457" t="s">
        <v>105</v>
      </c>
      <c r="I17" s="24" t="s">
        <v>104</v>
      </c>
      <c r="J17" s="28"/>
      <c r="K17" s="531"/>
      <c r="L17" s="533"/>
      <c r="M17" s="507"/>
      <c r="N17" s="511"/>
      <c r="O17" s="457" t="s">
        <v>106</v>
      </c>
      <c r="P17" s="457" t="s">
        <v>107</v>
      </c>
      <c r="Q17" s="59" t="str">
        <f>_xlfn.CONCAT("Worker MOE with Gloves: ",$G$4)</f>
        <v>Worker MOE with Gloves: 20</v>
      </c>
      <c r="R17" s="12"/>
      <c r="S17" s="503"/>
      <c r="T17" s="504"/>
      <c r="U17" s="507"/>
      <c r="V17" s="508"/>
      <c r="W17" s="457" t="s">
        <v>104</v>
      </c>
      <c r="X17" s="457" t="s">
        <v>105</v>
      </c>
      <c r="Y17" s="457" t="s">
        <v>104</v>
      </c>
      <c r="Z17" s="457" t="s">
        <v>104</v>
      </c>
      <c r="AA17" s="24" t="s">
        <v>104</v>
      </c>
      <c r="AB17" s="28"/>
      <c r="AM17" s="12"/>
      <c r="AN17" s="12"/>
      <c r="AO17" s="12"/>
      <c r="AP17" s="12"/>
      <c r="AQ17" s="12"/>
      <c r="AR17" s="12"/>
      <c r="AS17" s="12"/>
      <c r="AT17" s="12"/>
      <c r="AU17" s="12"/>
      <c r="AV17" s="12"/>
      <c r="AW17" s="12"/>
      <c r="AX17" s="12"/>
      <c r="AY17" s="12"/>
      <c r="AZ17" s="12"/>
      <c r="BA17" s="12"/>
      <c r="BB17" s="12"/>
      <c r="BC17" s="12"/>
      <c r="BD17" s="12"/>
      <c r="BE17" s="12"/>
      <c r="BF17" s="12"/>
      <c r="BG17" s="12"/>
      <c r="BH17" s="12"/>
      <c r="BI17" s="12"/>
      <c r="BJ17" s="12"/>
      <c r="BK17" s="12"/>
      <c r="BL17" s="12"/>
      <c r="BM17" s="12"/>
      <c r="BN17" s="12"/>
      <c r="BO17" s="12"/>
      <c r="BP17" s="12"/>
      <c r="BQ17" s="12"/>
      <c r="BR17" s="12"/>
      <c r="BS17" s="12"/>
      <c r="BT17" s="12"/>
      <c r="BU17" s="12"/>
      <c r="BV17" s="12"/>
      <c r="BW17" s="12"/>
      <c r="BX17" s="12"/>
      <c r="BY17" s="12"/>
    </row>
    <row r="18" spans="1:77" s="22" customFormat="1" ht="34.5" customHeight="1" x14ac:dyDescent="0.35">
      <c r="A18" s="14"/>
      <c r="B18" s="22" t="s">
        <v>108</v>
      </c>
      <c r="C18" s="493" t="str">
        <f>_xlfn.CONCAT(_xlfn.XLOOKUP($B18,Tox_Table[Code],Tox_Table[Health Effect],"",0,1),"
",_xlfn.XLOOKUP($B18,Tox_Table[Code],Tox_Table[Endpoint],"",0,1),"
",_xlfn.XLOOKUP($B18,Tox_Table[Code],Tox_Table[Study],"",0,1))</f>
        <v xml:space="preserve">Phthalate syndrome-related effects
</v>
      </c>
      <c r="D18" s="532">
        <f>_xlfn.XLOOKUP($B18, Tox_Table[Code],Tox_Table[HED / POD (mg/kg/day)], FALSE)</f>
        <v>12</v>
      </c>
      <c r="E18" s="43" t="s">
        <v>92</v>
      </c>
      <c r="F18" s="464">
        <f>_xlfn.XLOOKUP($B18,Tox_Table[Code],Tox_Table[Benchmark MOE])</f>
        <v>30</v>
      </c>
      <c r="G18" s="60">
        <f>IFERROR(D18/$E$10, "")</f>
        <v>3.924676556255513</v>
      </c>
      <c r="H18" s="44">
        <f>IFERROR(D18/$E$12, "")</f>
        <v>47.096338995523396</v>
      </c>
      <c r="I18" s="61">
        <f>IFERROR(G18*$F$4,"")</f>
        <v>39.246765562555133</v>
      </c>
      <c r="J18" s="28"/>
      <c r="K18" s="493" t="str">
        <f>_xlfn.CONCAT(_xlfn.XLOOKUP($B18,Tox_Table[Code],Tox_Table[Health Effect],"",0,1),"
",_xlfn.XLOOKUP($B18,Tox_Table[Code],Tox_Table[Endpoint],"",0,1),"
",_xlfn.XLOOKUP($B18,Tox_Table[Code],Tox_Table[Study],"",0,1))</f>
        <v xml:space="preserve">Phthalate syndrome-related effects
</v>
      </c>
      <c r="L18" s="532">
        <f>_xlfn.XLOOKUP($B18, Tox_Table[Code],Tox_Table[HED / POD (mg/kg/day)], FALSE)</f>
        <v>12</v>
      </c>
      <c r="M18" s="43" t="s">
        <v>92</v>
      </c>
      <c r="N18" s="464">
        <f>_xlfn.XLOOKUP($B18,Tox_Table[Code],Tox_Table[Benchmark MOE])</f>
        <v>30</v>
      </c>
      <c r="O18" s="264">
        <f>IFERROR(L18/$M$10, "")</f>
        <v>196.81043856469739</v>
      </c>
      <c r="P18" s="264">
        <f>IFERROR(L18/$M$12, "")</f>
        <v>723.54537232438952</v>
      </c>
      <c r="Q18" s="61">
        <f>IFERROR(L18/($M$10/$G$4), "")</f>
        <v>3936.2087712939478</v>
      </c>
      <c r="R18" s="12"/>
      <c r="S18" s="483" t="str">
        <f>_xlfn.CONCAT(_xlfn.XLOOKUP($B18,Tox_Table[Code],Tox_Table[Health Effect],"",0,1),"
",_xlfn.XLOOKUP($B18,Tox_Table[Code],Tox_Table[Endpoint],"",0,1),"
",_xlfn.XLOOKUP($B18,Tox_Table[Code],Tox_Table[Study],"",0,1))</f>
        <v xml:space="preserve">Phthalate syndrome-related effects
</v>
      </c>
      <c r="T18" s="485">
        <f>_xlfn.XLOOKUP($B18, Tox_Table[Code],Tox_Table[HED / POD (mg/kg/day)], FALSE)</f>
        <v>12</v>
      </c>
      <c r="U18" s="43" t="s">
        <v>92</v>
      </c>
      <c r="V18" s="464">
        <f>_xlfn.XLOOKUP($B18,Tox_Table[Code],Tox_Table[Benchmark MOE])</f>
        <v>30</v>
      </c>
      <c r="W18" s="60">
        <f>IFERROR(T18/$U$10, "")</f>
        <v>3.8479431652793479</v>
      </c>
      <c r="X18" s="44">
        <f>IFERROR(T18/$U$12, "")</f>
        <v>44.218133580217916</v>
      </c>
      <c r="Y18" s="44">
        <f>IFERROR($T18/((E$10/$F$4)+M$10),"")</f>
        <v>32.721615809905259</v>
      </c>
      <c r="Z18" s="44">
        <f>IFERROR(T18/((E$10)+M$10/$G$4),"")</f>
        <v>3.9207672759544545</v>
      </c>
      <c r="AA18" s="45">
        <f>IFERROR(T18/((E$10/$F$4)+M$10/$G$4),"")</f>
        <v>38.859310944375672</v>
      </c>
      <c r="AB18" s="28"/>
      <c r="AM18" s="12"/>
      <c r="AN18" s="12"/>
      <c r="AO18" s="12"/>
      <c r="AP18" s="12"/>
      <c r="AQ18" s="12"/>
      <c r="AR18" s="12"/>
      <c r="AS18" s="12"/>
      <c r="AT18" s="12"/>
      <c r="AU18" s="12"/>
      <c r="AV18" s="12"/>
      <c r="AW18" s="12"/>
      <c r="AX18" s="12"/>
      <c r="AY18" s="12"/>
      <c r="AZ18" s="12"/>
      <c r="BA18" s="12"/>
      <c r="BB18" s="12"/>
      <c r="BC18" s="12"/>
      <c r="BD18" s="12"/>
      <c r="BE18" s="12"/>
      <c r="BF18" s="12"/>
      <c r="BG18" s="12"/>
      <c r="BH18" s="12"/>
      <c r="BI18" s="12"/>
      <c r="BJ18" s="12"/>
      <c r="BK18" s="12"/>
      <c r="BL18" s="12"/>
      <c r="BM18" s="12"/>
      <c r="BN18" s="12"/>
      <c r="BO18" s="12"/>
      <c r="BP18" s="12"/>
      <c r="BQ18" s="12"/>
      <c r="BR18" s="12"/>
      <c r="BS18" s="12"/>
      <c r="BT18" s="12"/>
      <c r="BU18" s="12"/>
      <c r="BV18" s="12"/>
      <c r="BW18" s="12"/>
      <c r="BX18" s="12"/>
      <c r="BY18" s="12"/>
    </row>
    <row r="19" spans="1:77" s="22" customFormat="1" ht="34.5" customHeight="1" x14ac:dyDescent="0.35">
      <c r="A19" s="14"/>
      <c r="B19" s="22" t="s">
        <v>108</v>
      </c>
      <c r="C19" s="494"/>
      <c r="D19" s="496"/>
      <c r="E19" s="39" t="s">
        <v>93</v>
      </c>
      <c r="F19" s="466">
        <f>_xlfn.XLOOKUP($B19,Tox_Table[Code],Tox_Table[Benchmark MOE])</f>
        <v>30</v>
      </c>
      <c r="G19" s="62">
        <f>IFERROR(D18/$E$11, "")</f>
        <v>51.123529411764714</v>
      </c>
      <c r="H19" s="234">
        <f>IFERROR(D18/$E$13, "")</f>
        <v>56.470588235294116</v>
      </c>
      <c r="I19" s="63">
        <f>IFERROR(G19*$F$4,"")</f>
        <v>511.23529411764713</v>
      </c>
      <c r="J19" s="28"/>
      <c r="K19" s="494"/>
      <c r="L19" s="496"/>
      <c r="M19" s="39" t="s">
        <v>93</v>
      </c>
      <c r="N19" s="466">
        <f>_xlfn.XLOOKUP($B19,Tox_Table[Code],Tox_Table[Benchmark MOE])</f>
        <v>30</v>
      </c>
      <c r="O19" s="265">
        <f>IFERROR(L18/$M$11, "")</f>
        <v>393.62087712939478</v>
      </c>
      <c r="P19" s="265">
        <f>IFERROR(L18/$M$13, "")</f>
        <v>723.54537232438952</v>
      </c>
      <c r="Q19" s="63">
        <f>IFERROR(L18/($M$11/$G$4), "")</f>
        <v>7872.4175425878957</v>
      </c>
      <c r="R19" s="12"/>
      <c r="S19" s="484"/>
      <c r="T19" s="486"/>
      <c r="U19" s="39" t="s">
        <v>93</v>
      </c>
      <c r="V19" s="466">
        <f>_xlfn.XLOOKUP($B19,Tox_Table[Code],Tox_Table[Benchmark MOE])</f>
        <v>30</v>
      </c>
      <c r="W19" s="64">
        <f>IFERROR(T18/$U$11, "")</f>
        <v>45.246861327635159</v>
      </c>
      <c r="X19" s="40">
        <f>IFERROR(T18/$U$13, "")</f>
        <v>52.382303511796934</v>
      </c>
      <c r="Y19" s="40">
        <f>IFERROR(T18/((E11/$F$4)+M11),"")</f>
        <v>222.39212295226994</v>
      </c>
      <c r="Z19" s="40">
        <f>IFERROR(T18/((E11)+M11/$G$4),"")</f>
        <v>50.79367496464743</v>
      </c>
      <c r="AA19" s="41">
        <f>IFERROR(T18/((E11/$F$4)+M11/$G$4),"")</f>
        <v>480.06015709297731</v>
      </c>
      <c r="AB19" s="28"/>
      <c r="AM19" s="12"/>
      <c r="AN19" s="12"/>
      <c r="AO19" s="12"/>
      <c r="AP19" s="12"/>
      <c r="AQ19" s="12"/>
      <c r="AR19" s="12"/>
      <c r="AS19" s="12"/>
      <c r="AT19" s="12"/>
      <c r="AU19" s="12"/>
      <c r="AV19" s="12"/>
      <c r="AW19" s="12"/>
      <c r="AX19" s="12"/>
      <c r="AY19" s="12"/>
      <c r="AZ19" s="12"/>
      <c r="BA19" s="12"/>
      <c r="BB19" s="12"/>
      <c r="BC19" s="12"/>
      <c r="BD19" s="12"/>
      <c r="BE19" s="12"/>
      <c r="BF19" s="12"/>
      <c r="BG19" s="12"/>
      <c r="BH19" s="12"/>
      <c r="BI19" s="12"/>
      <c r="BJ19" s="12"/>
      <c r="BK19" s="12"/>
      <c r="BL19" s="12"/>
      <c r="BM19" s="12"/>
      <c r="BN19" s="12"/>
      <c r="BO19" s="12"/>
      <c r="BP19" s="12"/>
      <c r="BQ19" s="12"/>
      <c r="BR19" s="12"/>
      <c r="BS19" s="12"/>
      <c r="BT19" s="12"/>
      <c r="BU19" s="12"/>
      <c r="BV19" s="12"/>
      <c r="BW19" s="12"/>
      <c r="BX19" s="12"/>
      <c r="BY19" s="12"/>
    </row>
    <row r="20" spans="1:77" s="22" customFormat="1" ht="30" customHeight="1" x14ac:dyDescent="0.35">
      <c r="A20" s="14"/>
      <c r="C20" s="31" t="s">
        <v>109</v>
      </c>
      <c r="D20" s="29"/>
      <c r="E20" s="16"/>
      <c r="F20" s="14"/>
      <c r="G20" s="29"/>
      <c r="H20" s="14"/>
      <c r="I20" s="14"/>
      <c r="J20" s="14"/>
      <c r="K20" s="500" t="s">
        <v>110</v>
      </c>
      <c r="L20" s="500"/>
      <c r="M20" s="500"/>
      <c r="N20" s="501"/>
      <c r="O20" s="16"/>
      <c r="P20" s="16"/>
      <c r="Q20" s="14"/>
      <c r="R20" s="12"/>
      <c r="S20" s="500" t="s">
        <v>111</v>
      </c>
      <c r="T20" s="500"/>
      <c r="U20" s="500"/>
      <c r="V20" s="501"/>
      <c r="W20" s="14"/>
      <c r="X20" s="14"/>
      <c r="Y20" s="14"/>
      <c r="Z20" s="14"/>
      <c r="AA20" s="14"/>
      <c r="AB20" s="28"/>
      <c r="AM20" s="12"/>
      <c r="AN20" s="12"/>
      <c r="AO20" s="12"/>
      <c r="AP20" s="12"/>
      <c r="AQ20" s="12"/>
      <c r="AR20" s="12"/>
      <c r="AS20" s="12"/>
      <c r="AT20" s="12"/>
      <c r="AU20" s="12"/>
      <c r="AV20" s="12"/>
      <c r="AW20" s="12"/>
      <c r="AX20" s="12"/>
      <c r="AY20" s="12"/>
      <c r="AZ20" s="12"/>
      <c r="BA20" s="12"/>
      <c r="BB20" s="12"/>
      <c r="BC20" s="12"/>
      <c r="BD20" s="12"/>
      <c r="BE20" s="12"/>
      <c r="BF20" s="12"/>
      <c r="BG20" s="12"/>
      <c r="BH20" s="12"/>
      <c r="BI20" s="12"/>
      <c r="BJ20" s="12"/>
      <c r="BK20" s="12"/>
      <c r="BL20" s="12"/>
      <c r="BM20" s="12"/>
      <c r="BN20" s="12"/>
      <c r="BO20" s="12"/>
      <c r="BP20" s="12"/>
      <c r="BQ20" s="12"/>
      <c r="BR20" s="12"/>
      <c r="BS20" s="12"/>
      <c r="BT20" s="12"/>
      <c r="BU20" s="12"/>
      <c r="BV20" s="12"/>
      <c r="BW20" s="12"/>
      <c r="BX20" s="12"/>
      <c r="BY20" s="12"/>
    </row>
    <row r="21" spans="1:77" s="22" customFormat="1" ht="30" customHeight="1" x14ac:dyDescent="0.35">
      <c r="A21" s="14"/>
      <c r="C21" s="530" t="s">
        <v>98</v>
      </c>
      <c r="D21" s="512" t="s">
        <v>99</v>
      </c>
      <c r="E21" s="491" t="s">
        <v>79</v>
      </c>
      <c r="F21" s="498" t="s">
        <v>100</v>
      </c>
      <c r="G21" s="497" t="s">
        <v>112</v>
      </c>
      <c r="H21" s="497"/>
      <c r="I21" s="55" t="str">
        <f>_xlfn.CONCAT("Respirator Scenario: APF of ",$F$4)</f>
        <v>Respirator Scenario: APF of 10</v>
      </c>
      <c r="J21" s="28"/>
      <c r="K21" s="530" t="s">
        <v>98</v>
      </c>
      <c r="L21" s="497" t="s">
        <v>99</v>
      </c>
      <c r="M21" s="491" t="s">
        <v>79</v>
      </c>
      <c r="N21" s="498" t="s">
        <v>100</v>
      </c>
      <c r="O21" s="498" t="s">
        <v>112</v>
      </c>
      <c r="P21" s="499"/>
      <c r="Q21" s="55" t="s">
        <v>102</v>
      </c>
      <c r="R21" s="12"/>
      <c r="S21" s="487" t="s">
        <v>98</v>
      </c>
      <c r="T21" s="489" t="s">
        <v>99</v>
      </c>
      <c r="U21" s="491" t="s">
        <v>79</v>
      </c>
      <c r="V21" s="489" t="s">
        <v>100</v>
      </c>
      <c r="W21" s="497" t="s">
        <v>112</v>
      </c>
      <c r="X21" s="497"/>
      <c r="Y21" s="56" t="str">
        <f>_xlfn.CONCAT("Respirator-Only Scenario: APF of ",$F$4)</f>
        <v>Respirator-Only Scenario: APF of 10</v>
      </c>
      <c r="Z21" s="57" t="str">
        <f>_xlfn.CONCAT("Gloved-only Scenario: APF of ",$G$4)</f>
        <v>Gloved-only Scenario: APF of 20</v>
      </c>
      <c r="AA21" s="58" t="s">
        <v>103</v>
      </c>
      <c r="AB21" s="28"/>
      <c r="AM21" s="12"/>
      <c r="AN21" s="12"/>
      <c r="AO21" s="12"/>
      <c r="AP21" s="12"/>
      <c r="AQ21" s="12"/>
      <c r="AR21" s="12"/>
      <c r="AS21" s="12"/>
      <c r="AT21" s="12"/>
      <c r="AU21" s="12"/>
      <c r="AV21" s="12"/>
      <c r="AW21" s="12"/>
      <c r="AX21" s="12"/>
      <c r="AY21" s="12"/>
      <c r="AZ21" s="12"/>
      <c r="BA21" s="12"/>
      <c r="BB21" s="12"/>
      <c r="BC21" s="12"/>
      <c r="BD21" s="12"/>
      <c r="BE21" s="12"/>
      <c r="BF21" s="12"/>
      <c r="BG21" s="12"/>
      <c r="BH21" s="12"/>
      <c r="BI21" s="12"/>
      <c r="BJ21" s="12"/>
      <c r="BK21" s="12"/>
      <c r="BL21" s="12"/>
      <c r="BM21" s="12"/>
      <c r="BN21" s="12"/>
      <c r="BO21" s="12"/>
      <c r="BP21" s="12"/>
      <c r="BQ21" s="12"/>
      <c r="BR21" s="12"/>
      <c r="BS21" s="12"/>
      <c r="BT21" s="12"/>
      <c r="BU21" s="12"/>
      <c r="BV21" s="12"/>
      <c r="BW21" s="12"/>
      <c r="BX21" s="12"/>
      <c r="BY21" s="12"/>
    </row>
    <row r="22" spans="1:77" s="22" customFormat="1" ht="30" customHeight="1" x14ac:dyDescent="0.35">
      <c r="A22" s="14"/>
      <c r="C22" s="531"/>
      <c r="D22" s="513"/>
      <c r="E22" s="507"/>
      <c r="F22" s="511"/>
      <c r="G22" s="457" t="s">
        <v>104</v>
      </c>
      <c r="H22" s="457" t="s">
        <v>105</v>
      </c>
      <c r="I22" s="24" t="s">
        <v>104</v>
      </c>
      <c r="J22" s="28"/>
      <c r="K22" s="531"/>
      <c r="L22" s="502"/>
      <c r="M22" s="507"/>
      <c r="N22" s="511"/>
      <c r="O22" s="457" t="s">
        <v>106</v>
      </c>
      <c r="P22" s="457" t="s">
        <v>107</v>
      </c>
      <c r="Q22" s="59" t="str">
        <f>_xlfn.CONCAT("Worker MOE with Gloves: ",$G$4)</f>
        <v>Worker MOE with Gloves: 20</v>
      </c>
      <c r="R22" s="12"/>
      <c r="S22" s="503"/>
      <c r="T22" s="504"/>
      <c r="U22" s="507"/>
      <c r="V22" s="508"/>
      <c r="W22" s="457" t="s">
        <v>104</v>
      </c>
      <c r="X22" s="457" t="s">
        <v>105</v>
      </c>
      <c r="Y22" s="457" t="s">
        <v>104</v>
      </c>
      <c r="Z22" s="457" t="s">
        <v>104</v>
      </c>
      <c r="AA22" s="24" t="s">
        <v>104</v>
      </c>
      <c r="AB22" s="28"/>
      <c r="AM22" s="12"/>
      <c r="AN22" s="12"/>
      <c r="AO22" s="12"/>
      <c r="AP22" s="12"/>
      <c r="AQ22" s="12"/>
      <c r="AR22" s="12"/>
      <c r="AS22" s="12"/>
      <c r="AT22" s="12"/>
      <c r="AU22" s="12"/>
      <c r="AV22" s="12"/>
      <c r="AW22" s="12"/>
      <c r="AX22" s="12"/>
      <c r="AY22" s="12"/>
      <c r="AZ22" s="12"/>
      <c r="BA22" s="12"/>
      <c r="BB22" s="12"/>
      <c r="BC22" s="12"/>
      <c r="BD22" s="12"/>
      <c r="BE22" s="12"/>
      <c r="BF22" s="12"/>
      <c r="BG22" s="12"/>
      <c r="BH22" s="12"/>
      <c r="BI22" s="12"/>
      <c r="BJ22" s="12"/>
      <c r="BK22" s="12"/>
      <c r="BL22" s="12"/>
      <c r="BM22" s="12"/>
      <c r="BN22" s="12"/>
      <c r="BO22" s="12"/>
      <c r="BP22" s="12"/>
      <c r="BQ22" s="12"/>
      <c r="BR22" s="12"/>
      <c r="BS22" s="12"/>
      <c r="BT22" s="12"/>
      <c r="BU22" s="12"/>
      <c r="BV22" s="12"/>
      <c r="BW22" s="12"/>
      <c r="BX22" s="12"/>
      <c r="BY22" s="12"/>
    </row>
    <row r="23" spans="1:77" s="22" customFormat="1" ht="34.5" customHeight="1" x14ac:dyDescent="0.35">
      <c r="A23" s="14"/>
      <c r="B23" s="29" t="s">
        <v>113</v>
      </c>
      <c r="C23" s="493" t="str">
        <f>_xlfn.CONCAT(_xlfn.XLOOKUP($B23,Tox_Table[Code],Tox_Table[Health Effect],"",0,1),"
",_xlfn.XLOOKUP($B23,Tox_Table[Code],Tox_Table[Endpoint],"",0,1),"
",_xlfn.XLOOKUP($B23,Tox_Table[Code],Tox_Table[Study],"",0,1))</f>
        <v xml:space="preserve">Phthalate syndrome-related effects
</v>
      </c>
      <c r="D23" s="532">
        <f>_xlfn.XLOOKUP($B23, Tox_Table[Code],Tox_Table[HED / POD (mg/kg/day)], FALSE)</f>
        <v>12</v>
      </c>
      <c r="E23" s="43" t="s">
        <v>92</v>
      </c>
      <c r="F23" s="464">
        <f>_xlfn.XLOOKUP($B23,Tox_Table[Code],Tox_Table[Benchmark MOE])</f>
        <v>30</v>
      </c>
      <c r="G23" s="375">
        <f>IFERROR(D23/$F$10, "")</f>
        <v>5.3518316676211537</v>
      </c>
      <c r="H23" s="44">
        <f>IFERROR(D23/$F$12, "")</f>
        <v>64.222280448440998</v>
      </c>
      <c r="I23" s="61">
        <f>IFERROR(G23*$F$4,"")</f>
        <v>53.518316676211541</v>
      </c>
      <c r="J23" s="28"/>
      <c r="K23" s="493" t="str">
        <f>_xlfn.CONCAT(_xlfn.XLOOKUP($B23,Tox_Table[Code],Tox_Table[Health Effect],"",0,1),"
",_xlfn.XLOOKUP($B23,Tox_Table[Code],Tox_Table[Endpoint],"",0,1),"
",_xlfn.XLOOKUP($B23,Tox_Table[Code],Tox_Table[Study],"",0,1))</f>
        <v xml:space="preserve">Phthalate syndrome-related effects
</v>
      </c>
      <c r="L23" s="495">
        <f>_xlfn.XLOOKUP($B23, Tox_Table[Code],Tox_Table[HED / POD (mg/kg/day)], FALSE)</f>
        <v>12</v>
      </c>
      <c r="M23" s="43" t="s">
        <v>92</v>
      </c>
      <c r="N23" s="464">
        <f>_xlfn.XLOOKUP($B23,Tox_Table[Code],Tox_Table[Benchmark MOE])</f>
        <v>30</v>
      </c>
      <c r="O23" s="264">
        <f>IFERROR(L23/$N$10, "")</f>
        <v>268.37787077004185</v>
      </c>
      <c r="P23" s="264">
        <f>IFERROR(L23/$N$12, "")</f>
        <v>986.65278044234947</v>
      </c>
      <c r="Q23" s="266">
        <f>IFERROR(L23/($N$10/$G$4), "")</f>
        <v>5367.5574154008373</v>
      </c>
      <c r="R23" s="12"/>
      <c r="S23" s="483" t="str">
        <f>_xlfn.CONCAT(_xlfn.XLOOKUP($B23,Tox_Table[Code],Tox_Table[Health Effect],"",0,1),"
",_xlfn.XLOOKUP($B23,Tox_Table[Code],Tox_Table[Endpoint],"",0,1),"
",_xlfn.XLOOKUP($B23,Tox_Table[Code],Tox_Table[Study],"",0,1))</f>
        <v xml:space="preserve">Phthalate syndrome-related effects
</v>
      </c>
      <c r="T23" s="485">
        <f>_xlfn.XLOOKUP($B23, Tox_Table[Code],Tox_Table[HED / POD (mg/kg/day)], FALSE)</f>
        <v>12</v>
      </c>
      <c r="U23" s="43" t="s">
        <v>92</v>
      </c>
      <c r="V23" s="464">
        <f>_xlfn.XLOOKUP($B23,Tox_Table[Code],Tox_Table[Benchmark MOE])</f>
        <v>30</v>
      </c>
      <c r="W23" s="60">
        <f>IFERROR(T23/$V$10, "")</f>
        <v>5.2471952253809278</v>
      </c>
      <c r="X23" s="44">
        <f>IFERROR(T23/$V$12, "")</f>
        <v>60.297454882115346</v>
      </c>
      <c r="Y23" s="44">
        <f>IFERROR(T23/((F$10/$F$4)+N$10),"")</f>
        <v>44.620385195325341</v>
      </c>
      <c r="Z23" s="44">
        <f>IFERROR(T23/((F$10)+N$10/$G$4),"")</f>
        <v>5.3465008308469839</v>
      </c>
      <c r="AA23" s="45">
        <f>IFERROR(T23/((F$10/$F$4)+N$10/$G$4),"")</f>
        <v>52.989969469603174</v>
      </c>
      <c r="AB23" s="28"/>
      <c r="AM23" s="12"/>
      <c r="AN23" s="12"/>
      <c r="AO23" s="12"/>
      <c r="AP23" s="12"/>
      <c r="AQ23" s="12"/>
      <c r="AR23" s="12"/>
      <c r="AS23" s="12"/>
      <c r="AT23" s="12"/>
      <c r="AU23" s="12"/>
      <c r="AV23" s="12"/>
      <c r="AW23" s="12"/>
      <c r="AX23" s="12"/>
      <c r="AY23" s="12"/>
      <c r="AZ23" s="12"/>
      <c r="BA23" s="12"/>
      <c r="BB23" s="12"/>
      <c r="BC23" s="12"/>
      <c r="BD23" s="12"/>
      <c r="BE23" s="12"/>
      <c r="BF23" s="12"/>
      <c r="BG23" s="12"/>
      <c r="BH23" s="12"/>
      <c r="BI23" s="12"/>
      <c r="BJ23" s="12"/>
      <c r="BK23" s="12"/>
      <c r="BL23" s="12"/>
      <c r="BM23" s="12"/>
      <c r="BN23" s="12"/>
      <c r="BO23" s="12"/>
      <c r="BP23" s="12"/>
      <c r="BQ23" s="12"/>
      <c r="BR23" s="12"/>
      <c r="BS23" s="12"/>
      <c r="BT23" s="12"/>
      <c r="BU23" s="12"/>
      <c r="BV23" s="12"/>
      <c r="BW23" s="12"/>
      <c r="BX23" s="12"/>
      <c r="BY23" s="12"/>
    </row>
    <row r="24" spans="1:77" s="22" customFormat="1" ht="34.5" customHeight="1" x14ac:dyDescent="0.35">
      <c r="A24" s="14"/>
      <c r="B24" s="29" t="s">
        <v>113</v>
      </c>
      <c r="C24" s="494"/>
      <c r="D24" s="496"/>
      <c r="E24" s="39" t="s">
        <v>93</v>
      </c>
      <c r="F24" s="466">
        <f>_xlfn.XLOOKUP($B24,Tox_Table[Code],Tox_Table[Benchmark MOE])</f>
        <v>30</v>
      </c>
      <c r="G24" s="62">
        <f>IFERROR(D23/$F$11, "")</f>
        <v>69.713903743315512</v>
      </c>
      <c r="H24" s="234">
        <f>IFERROR(D23/$F$13, "")</f>
        <v>77.005347593582897</v>
      </c>
      <c r="I24" s="63">
        <f>IFERROR(G24*$F$4,"")</f>
        <v>697.13903743315518</v>
      </c>
      <c r="J24" s="28"/>
      <c r="K24" s="494"/>
      <c r="L24" s="496"/>
      <c r="M24" s="39" t="s">
        <v>93</v>
      </c>
      <c r="N24" s="466">
        <f>_xlfn.XLOOKUP($B24,Tox_Table[Code],Tox_Table[Benchmark MOE])</f>
        <v>30</v>
      </c>
      <c r="O24" s="265">
        <f>IFERROR(L23/$N$11, "")</f>
        <v>536.7557415400837</v>
      </c>
      <c r="P24" s="265">
        <f>IFERROR(L23/$N$13, "")</f>
        <v>986.65278044234947</v>
      </c>
      <c r="Q24" s="267">
        <f>IFERROR(L23/($N$11/$G$4), "")</f>
        <v>10735.114830801675</v>
      </c>
      <c r="R24" s="12"/>
      <c r="S24" s="484"/>
      <c r="T24" s="486"/>
      <c r="U24" s="39" t="s">
        <v>93</v>
      </c>
      <c r="V24" s="466">
        <f>_xlfn.XLOOKUP($B24,Tox_Table[Code],Tox_Table[Benchmark MOE])</f>
        <v>30</v>
      </c>
      <c r="W24" s="64">
        <f>IFERROR(T23/$V$11, "")</f>
        <v>61.700265446775219</v>
      </c>
      <c r="X24" s="40">
        <f>IFERROR(T23/$V$13, "")</f>
        <v>71.430413879723091</v>
      </c>
      <c r="Y24" s="40">
        <f>IFERROR(T23/((F$11/$F$4)+N$11),"")</f>
        <v>303.26198584400447</v>
      </c>
      <c r="Z24" s="40">
        <f>IFERROR(T23/((F$11)+N$11/$G$4),"")</f>
        <v>69.264102224519206</v>
      </c>
      <c r="AA24" s="41">
        <f>IFERROR(T23/((F$11/$F$4)+N$11/$G$4),"")</f>
        <v>654.62748694496906</v>
      </c>
      <c r="AB24" s="28"/>
      <c r="AM24" s="12"/>
      <c r="AN24" s="12"/>
      <c r="AO24" s="12"/>
      <c r="AP24" s="12"/>
      <c r="AQ24" s="12"/>
      <c r="AR24" s="12"/>
      <c r="AS24" s="12"/>
      <c r="AT24" s="12"/>
      <c r="AU24" s="12"/>
      <c r="AV24" s="12"/>
      <c r="AW24" s="12"/>
      <c r="AX24" s="12"/>
      <c r="AY24" s="12"/>
      <c r="AZ24" s="12"/>
      <c r="BA24" s="12"/>
      <c r="BB24" s="12"/>
      <c r="BC24" s="12"/>
      <c r="BD24" s="12"/>
      <c r="BE24" s="12"/>
      <c r="BF24" s="12"/>
      <c r="BG24" s="12"/>
      <c r="BH24" s="12"/>
      <c r="BI24" s="12"/>
      <c r="BJ24" s="12"/>
      <c r="BK24" s="12"/>
      <c r="BL24" s="12"/>
      <c r="BM24" s="12"/>
      <c r="BN24" s="12"/>
      <c r="BO24" s="12"/>
      <c r="BP24" s="12"/>
      <c r="BQ24" s="12"/>
      <c r="BR24" s="12"/>
      <c r="BS24" s="12"/>
      <c r="BT24" s="12"/>
      <c r="BU24" s="12"/>
      <c r="BV24" s="12"/>
      <c r="BW24" s="12"/>
      <c r="BX24" s="12"/>
      <c r="BY24" s="12"/>
    </row>
    <row r="25" spans="1:77" s="22" customFormat="1" ht="30" customHeight="1" x14ac:dyDescent="0.35">
      <c r="A25" s="14"/>
      <c r="B25" s="29"/>
      <c r="C25" s="32" t="s">
        <v>114</v>
      </c>
      <c r="D25" s="31"/>
      <c r="E25" s="65"/>
      <c r="F25" s="103"/>
      <c r="G25" s="104"/>
      <c r="H25" s="105"/>
      <c r="I25" s="105"/>
      <c r="J25" s="30"/>
      <c r="K25" s="32" t="s">
        <v>115</v>
      </c>
      <c r="L25" s="32"/>
      <c r="M25" s="32"/>
      <c r="N25" s="105"/>
      <c r="O25" s="30"/>
      <c r="P25" s="30"/>
      <c r="Q25" s="31"/>
      <c r="R25" s="14"/>
      <c r="S25" s="32" t="s">
        <v>116</v>
      </c>
      <c r="T25" s="32"/>
      <c r="U25" s="32"/>
      <c r="V25" s="105"/>
      <c r="W25" s="104"/>
      <c r="X25" s="105"/>
      <c r="Y25" s="105"/>
      <c r="Z25" s="31"/>
      <c r="AA25" s="30"/>
      <c r="AB25" s="30"/>
      <c r="AM25" s="14"/>
      <c r="AN25" s="14"/>
      <c r="AO25" s="14"/>
      <c r="AP25" s="14"/>
      <c r="AQ25" s="14"/>
      <c r="AR25" s="14"/>
      <c r="AS25" s="14"/>
      <c r="AT25" s="14"/>
      <c r="AU25" s="14"/>
      <c r="AV25" s="14"/>
      <c r="AW25" s="14"/>
      <c r="AX25" s="14"/>
      <c r="AY25" s="14"/>
      <c r="AZ25" s="14"/>
      <c r="BA25" s="14"/>
      <c r="BB25" s="14"/>
      <c r="BC25" s="14"/>
      <c r="BD25" s="14"/>
      <c r="BE25" s="14"/>
      <c r="BF25" s="14"/>
      <c r="BG25" s="14"/>
      <c r="BH25" s="14"/>
      <c r="BI25" s="14"/>
      <c r="BJ25" s="14"/>
      <c r="BK25" s="14"/>
      <c r="BL25" s="14"/>
      <c r="BM25" s="12"/>
      <c r="BN25" s="12"/>
      <c r="BO25" s="12"/>
      <c r="BP25" s="12"/>
      <c r="BQ25" s="12"/>
      <c r="BR25" s="12"/>
      <c r="BS25" s="12"/>
      <c r="BT25" s="12"/>
      <c r="BU25" s="12"/>
      <c r="BV25" s="12"/>
      <c r="BW25" s="12"/>
      <c r="BX25" s="12"/>
      <c r="BY25" s="12"/>
    </row>
    <row r="26" spans="1:77" s="22" customFormat="1" ht="35.25" customHeight="1" x14ac:dyDescent="0.35">
      <c r="A26" s="14"/>
      <c r="B26" s="29"/>
      <c r="C26" s="530" t="s">
        <v>98</v>
      </c>
      <c r="D26" s="512" t="s">
        <v>99</v>
      </c>
      <c r="E26" s="491" t="s">
        <v>79</v>
      </c>
      <c r="F26" s="498" t="s">
        <v>100</v>
      </c>
      <c r="G26" s="497" t="s">
        <v>117</v>
      </c>
      <c r="H26" s="497"/>
      <c r="I26" s="55" t="str">
        <f>_xlfn.CONCAT("Respirator Scenario: APF of ",$F$4)</f>
        <v>Respirator Scenario: APF of 10</v>
      </c>
      <c r="J26" s="28"/>
      <c r="K26" s="530" t="s">
        <v>98</v>
      </c>
      <c r="L26" s="497" t="s">
        <v>118</v>
      </c>
      <c r="M26" s="491" t="s">
        <v>79</v>
      </c>
      <c r="N26" s="498" t="s">
        <v>100</v>
      </c>
      <c r="O26" s="498" t="s">
        <v>117</v>
      </c>
      <c r="P26" s="499"/>
      <c r="Q26" s="55" t="s">
        <v>102</v>
      </c>
      <c r="R26" s="12"/>
      <c r="S26" s="487" t="s">
        <v>98</v>
      </c>
      <c r="T26" s="489" t="s">
        <v>118</v>
      </c>
      <c r="U26" s="491" t="s">
        <v>79</v>
      </c>
      <c r="V26" s="489" t="s">
        <v>100</v>
      </c>
      <c r="W26" s="497" t="s">
        <v>117</v>
      </c>
      <c r="X26" s="497"/>
      <c r="Y26" s="56" t="str">
        <f>_xlfn.CONCAT("Respirator-Only Scenario: APF of ",$F$4)</f>
        <v>Respirator-Only Scenario: APF of 10</v>
      </c>
      <c r="Z26" s="57" t="str">
        <f>_xlfn.CONCAT("Gloved-only Scenario: APF of ",$G$4)</f>
        <v>Gloved-only Scenario: APF of 20</v>
      </c>
      <c r="AA26" s="58" t="s">
        <v>103</v>
      </c>
      <c r="AB26" s="28"/>
      <c r="AM26" s="12"/>
      <c r="AN26" s="12"/>
      <c r="AO26" s="12"/>
      <c r="AP26" s="12"/>
      <c r="AQ26" s="12"/>
      <c r="AR26" s="12"/>
      <c r="AS26" s="12"/>
      <c r="AT26" s="12"/>
      <c r="AU26" s="12"/>
      <c r="AV26" s="12"/>
      <c r="AW26" s="12"/>
      <c r="AX26" s="12"/>
      <c r="AY26" s="12"/>
      <c r="AZ26" s="12"/>
      <c r="BA26" s="12"/>
      <c r="BB26" s="12"/>
      <c r="BC26" s="12"/>
      <c r="BD26" s="12"/>
      <c r="BE26" s="12"/>
      <c r="BF26" s="12"/>
      <c r="BG26" s="12"/>
      <c r="BH26" s="12"/>
      <c r="BI26" s="12"/>
      <c r="BJ26" s="12"/>
      <c r="BK26" s="12"/>
      <c r="BL26" s="12"/>
      <c r="BM26" s="12"/>
      <c r="BN26" s="12"/>
      <c r="BO26" s="12"/>
      <c r="BP26" s="12"/>
      <c r="BQ26" s="12"/>
      <c r="BR26" s="12"/>
      <c r="BS26" s="12"/>
      <c r="BT26" s="12"/>
      <c r="BU26" s="12"/>
      <c r="BV26" s="12"/>
      <c r="BW26" s="12"/>
      <c r="BX26" s="12"/>
      <c r="BY26" s="12"/>
    </row>
    <row r="27" spans="1:77" s="22" customFormat="1" ht="30" customHeight="1" x14ac:dyDescent="0.35">
      <c r="A27" s="14"/>
      <c r="B27" s="29"/>
      <c r="C27" s="531"/>
      <c r="D27" s="513"/>
      <c r="E27" s="507"/>
      <c r="F27" s="511"/>
      <c r="G27" s="457" t="s">
        <v>104</v>
      </c>
      <c r="H27" s="457" t="s">
        <v>105</v>
      </c>
      <c r="I27" s="24" t="s">
        <v>104</v>
      </c>
      <c r="J27" s="28"/>
      <c r="K27" s="531"/>
      <c r="L27" s="502"/>
      <c r="M27" s="507"/>
      <c r="N27" s="511"/>
      <c r="O27" s="457" t="s">
        <v>106</v>
      </c>
      <c r="P27" s="457" t="s">
        <v>107</v>
      </c>
      <c r="Q27" s="59" t="str">
        <f>_xlfn.CONCAT("Worker MOE with Gloves: ",$G$4)</f>
        <v>Worker MOE with Gloves: 20</v>
      </c>
      <c r="R27" s="12"/>
      <c r="S27" s="488"/>
      <c r="T27" s="490"/>
      <c r="U27" s="492"/>
      <c r="V27" s="490"/>
      <c r="W27" s="457" t="s">
        <v>104</v>
      </c>
      <c r="X27" s="457" t="s">
        <v>105</v>
      </c>
      <c r="Y27" s="457" t="s">
        <v>104</v>
      </c>
      <c r="Z27" s="457" t="s">
        <v>104</v>
      </c>
      <c r="AA27" s="24" t="s">
        <v>104</v>
      </c>
      <c r="AB27" s="28"/>
      <c r="AM27" s="12"/>
      <c r="AN27" s="12"/>
      <c r="AO27" s="12"/>
      <c r="AP27" s="12"/>
      <c r="AQ27" s="12"/>
      <c r="AR27" s="12"/>
      <c r="AS27" s="12"/>
      <c r="AT27" s="12"/>
      <c r="AU27" s="12"/>
      <c r="AV27" s="12"/>
      <c r="AW27" s="12"/>
      <c r="AX27" s="12"/>
      <c r="AY27" s="12"/>
      <c r="AZ27" s="12"/>
      <c r="BA27" s="12"/>
      <c r="BB27" s="12"/>
      <c r="BC27" s="12"/>
      <c r="BD27" s="12"/>
      <c r="BE27" s="12"/>
      <c r="BF27" s="12"/>
      <c r="BG27" s="12"/>
      <c r="BH27" s="12"/>
      <c r="BI27" s="12"/>
      <c r="BJ27" s="12"/>
      <c r="BK27" s="12"/>
      <c r="BL27" s="12"/>
      <c r="BM27" s="12"/>
      <c r="BN27" s="12"/>
      <c r="BO27" s="12"/>
      <c r="BP27" s="12"/>
      <c r="BQ27" s="12"/>
      <c r="BR27" s="12"/>
      <c r="BS27" s="12"/>
      <c r="BT27" s="12"/>
      <c r="BU27" s="12"/>
      <c r="BV27" s="12"/>
      <c r="BW27" s="12"/>
      <c r="BX27" s="12"/>
      <c r="BY27" s="12"/>
    </row>
    <row r="28" spans="1:77" s="14" customFormat="1" ht="37.5" customHeight="1" x14ac:dyDescent="0.35">
      <c r="B28" s="9" t="s">
        <v>119</v>
      </c>
      <c r="C28" s="493" t="str">
        <f>_xlfn.CONCAT(_xlfn.XLOOKUP($B28,Tox_Table[Code],Tox_Table[Health Effect],"",0,1),"
",_xlfn.XLOOKUP($B28,Tox_Table[Code],Tox_Table[Endpoint],"",0,1),"
",_xlfn.XLOOKUP($B28,Tox_Table[Code],Tox_Table[Study],"",0,1))</f>
        <v xml:space="preserve">Phthalate syndrome-related effects
</v>
      </c>
      <c r="D28" s="532">
        <f>_xlfn.XLOOKUP($B28, Tox_Table[Code],Tox_Table[HED / POD (mg/kg/day)], FALSE)</f>
        <v>12</v>
      </c>
      <c r="E28" s="43" t="s">
        <v>92</v>
      </c>
      <c r="F28" s="464">
        <f>_xlfn.XLOOKUP($B28,Tox_Table[Code],Tox_Table[Benchmark MOE])</f>
        <v>30</v>
      </c>
      <c r="G28" s="66">
        <f>IFERROR(D28/$G$10, "")</f>
        <v>5.7300277721330497</v>
      </c>
      <c r="H28" s="66">
        <f>IFERROR(D28/$G$12, "")</f>
        <v>68.760654933464167</v>
      </c>
      <c r="I28" s="67">
        <f>IFERROR(G28*$F$4,"")</f>
        <v>57.300277721330495</v>
      </c>
      <c r="K28" s="483" t="str">
        <f>_xlfn.CONCAT(_xlfn.XLOOKUP($B28,Tox_Table[Code],Tox_Table[Health Effect],"",0,1),"
",_xlfn.XLOOKUP($B28,Tox_Table[Code],Tox_Table[Endpoint],"",0,1),"
",_xlfn.XLOOKUP($B28,Tox_Table[Code],Tox_Table[Study],"",0,1))</f>
        <v xml:space="preserve">Phthalate syndrome-related effects
</v>
      </c>
      <c r="L28" s="534">
        <f>_xlfn.XLOOKUP($B28, Tox_Table[Code],Tox_Table[HED / POD (mg/kg/day)], FALSE)</f>
        <v>12</v>
      </c>
      <c r="M28" s="43" t="s">
        <v>92</v>
      </c>
      <c r="N28" s="464">
        <f>_xlfn.XLOOKUP($B28,Tox_Table[Code],Tox_Table[Benchmark MOE])</f>
        <v>30</v>
      </c>
      <c r="O28" s="264">
        <f>IFERROR(L28/$O$10, "")</f>
        <v>287.34324030445816</v>
      </c>
      <c r="P28" s="264">
        <f>IFERROR(L28/$O$12, "")</f>
        <v>1056.3762435936089</v>
      </c>
      <c r="Q28" s="61">
        <f>IFERROR(L28/($O$10/$G$4), "")</f>
        <v>5746.8648060891637</v>
      </c>
      <c r="R28" s="12"/>
      <c r="S28" s="493" t="str">
        <f>_xlfn.CONCAT(_xlfn.XLOOKUP($B28,Tox_Table[Code],Tox_Table[Health Effect],"",0,1),"
",_xlfn.XLOOKUP($B28,Tox_Table[Code],Tox_Table[Endpoint],"",0,1),"
",_xlfn.XLOOKUP($B28,Tox_Table[Code],Tox_Table[Study],"",0,1))</f>
        <v xml:space="preserve">Phthalate syndrome-related effects
</v>
      </c>
      <c r="T28" s="495">
        <f>_xlfn.XLOOKUP($B28, Tox_Table[Code],Tox_Table[HED / POD (mg/kg/day)], FALSE)</f>
        <v>12</v>
      </c>
      <c r="U28" s="43" t="s">
        <v>92</v>
      </c>
      <c r="V28" s="464">
        <f>_xlfn.XLOOKUP($B28,Tox_Table[Code],Tox_Table[Benchmark MOE])</f>
        <v>30</v>
      </c>
      <c r="W28" s="66">
        <f>IFERROR(T28/$W$10, "")</f>
        <v>5.6179970213078478</v>
      </c>
      <c r="X28" s="66">
        <f>IFERROR(T28/$W$12, "")</f>
        <v>64.558475027118163</v>
      </c>
      <c r="Y28" s="44">
        <f>IFERROR(T28/((G$10/$F$4)+O$10),"")</f>
        <v>47.773559082461674</v>
      </c>
      <c r="Z28" s="44">
        <f>IFERROR(T28/((G$10)+O$10/$G$4),"")</f>
        <v>5.7243202228935042</v>
      </c>
      <c r="AA28" s="45">
        <f>IFERROR(T28/((G$10/$F$4)+O$10/$G$4),"")</f>
        <v>56.734593978788482</v>
      </c>
      <c r="AB28" s="68"/>
      <c r="AM28" s="12"/>
      <c r="AN28" s="12"/>
      <c r="AO28" s="12"/>
      <c r="AP28" s="12"/>
      <c r="AQ28" s="12"/>
      <c r="AR28" s="12"/>
      <c r="AS28" s="12"/>
      <c r="AT28" s="12"/>
      <c r="AU28" s="12"/>
      <c r="AV28" s="12"/>
      <c r="AW28" s="12"/>
      <c r="AX28" s="12"/>
      <c r="AY28" s="12"/>
      <c r="AZ28" s="12"/>
      <c r="BA28" s="12"/>
      <c r="BB28" s="12"/>
      <c r="BC28" s="12"/>
      <c r="BD28" s="12"/>
      <c r="BE28" s="12"/>
      <c r="BF28" s="12"/>
      <c r="BG28" s="12"/>
      <c r="BH28" s="12"/>
      <c r="BI28" s="12"/>
      <c r="BJ28" s="12"/>
      <c r="BK28" s="12"/>
      <c r="BL28" s="12"/>
      <c r="BM28" s="12"/>
      <c r="BN28" s="12"/>
      <c r="BO28" s="12"/>
      <c r="BP28" s="12"/>
      <c r="BQ28" s="12"/>
      <c r="BR28" s="12"/>
      <c r="BS28" s="12"/>
      <c r="BT28" s="12"/>
      <c r="BU28" s="12"/>
      <c r="BV28" s="12"/>
      <c r="BW28" s="12"/>
      <c r="BX28" s="12"/>
      <c r="BY28" s="12"/>
    </row>
    <row r="29" spans="1:77" s="14" customFormat="1" ht="40.5" customHeight="1" x14ac:dyDescent="0.35">
      <c r="B29" s="9" t="s">
        <v>119</v>
      </c>
      <c r="C29" s="494"/>
      <c r="D29" s="496"/>
      <c r="E29" s="39" t="s">
        <v>93</v>
      </c>
      <c r="F29" s="466">
        <f>_xlfn.XLOOKUP($B29,Tox_Table[Code],Tox_Table[Benchmark MOE])</f>
        <v>30</v>
      </c>
      <c r="G29" s="69">
        <f>IFERROR(D28/$G$11, "")</f>
        <v>74.640352941176488</v>
      </c>
      <c r="H29" s="69">
        <f>IFERROR(D28/$G$13, "")</f>
        <v>82.447058823529417</v>
      </c>
      <c r="I29" s="70">
        <f>IFERROR(G29*$F$4,"")</f>
        <v>746.40352941176491</v>
      </c>
      <c r="K29" s="484"/>
      <c r="L29" s="486"/>
      <c r="M29" s="39" t="s">
        <v>93</v>
      </c>
      <c r="N29" s="466">
        <f>_xlfn.XLOOKUP($B29,Tox_Table[Code],Tox_Table[Benchmark MOE])</f>
        <v>30</v>
      </c>
      <c r="O29" s="265">
        <f>IFERROR(L28/$O$11, "")</f>
        <v>574.68648060891633</v>
      </c>
      <c r="P29" s="265">
        <f>IFERROR(L28/$O$13, "")</f>
        <v>1056.3762435936089</v>
      </c>
      <c r="Q29" s="63">
        <f>IFERROR(L28/($O$11/$G$4), "")</f>
        <v>11493.729612178327</v>
      </c>
      <c r="R29" s="12"/>
      <c r="S29" s="494"/>
      <c r="T29" s="496"/>
      <c r="U29" s="39" t="s">
        <v>93</v>
      </c>
      <c r="V29" s="466">
        <f>_xlfn.XLOOKUP($B29,Tox_Table[Code],Tox_Table[Benchmark MOE])</f>
        <v>30</v>
      </c>
      <c r="W29" s="69">
        <f>IFERROR(T28/$W$11, "")</f>
        <v>66.060417538347338</v>
      </c>
      <c r="X29" s="69">
        <f>IFERROR(T28/$W$13, "")</f>
        <v>76.478163127223524</v>
      </c>
      <c r="Y29" s="40">
        <f>IFERROR(T28/((G$11/$F$4)+O$11),"")</f>
        <v>324.69249951031412</v>
      </c>
      <c r="Z29" s="40">
        <f>IFERROR(T28/((G$11)+O$11/$G$4),"")</f>
        <v>74.158765448385239</v>
      </c>
      <c r="AA29" s="41">
        <f>IFERROR(T28/((G$11/$F$4)+O$11/$G$4),"")</f>
        <v>700.88782935574682</v>
      </c>
      <c r="AB29" s="68"/>
      <c r="AM29" s="12"/>
      <c r="AN29" s="12"/>
      <c r="AO29" s="12"/>
      <c r="AP29" s="12"/>
      <c r="AQ29" s="12"/>
      <c r="AR29" s="12"/>
      <c r="AS29" s="12"/>
      <c r="AT29" s="12"/>
      <c r="AU29" s="12"/>
      <c r="AV29" s="12"/>
      <c r="AW29" s="12"/>
      <c r="AX29" s="12"/>
      <c r="AY29" s="12"/>
      <c r="AZ29" s="12"/>
      <c r="BA29" s="12"/>
      <c r="BB29" s="12"/>
      <c r="BC29" s="12"/>
      <c r="BD29" s="12"/>
      <c r="BE29" s="12"/>
      <c r="BF29" s="12"/>
      <c r="BG29" s="12"/>
      <c r="BH29" s="12"/>
      <c r="BI29" s="12"/>
      <c r="BJ29" s="12"/>
      <c r="BK29" s="12"/>
      <c r="BL29" s="12"/>
      <c r="BM29" s="12"/>
      <c r="BN29" s="12"/>
      <c r="BO29" s="12"/>
      <c r="BP29" s="12"/>
      <c r="BQ29" s="12"/>
      <c r="BR29" s="12"/>
      <c r="BS29" s="12"/>
      <c r="BT29" s="12"/>
      <c r="BU29" s="12"/>
      <c r="BV29" s="12"/>
      <c r="BW29" s="12"/>
      <c r="BX29" s="12"/>
      <c r="BY29" s="12"/>
    </row>
    <row r="30" spans="1:77" ht="13.5" thickBot="1" x14ac:dyDescent="0.4">
      <c r="A30" s="22"/>
      <c r="B30" s="29"/>
      <c r="C30" s="29"/>
      <c r="D30" s="12"/>
      <c r="E30" s="71"/>
      <c r="F30" s="72"/>
      <c r="G30" s="73"/>
      <c r="H30" s="74"/>
      <c r="I30" s="14"/>
      <c r="J30" s="14"/>
      <c r="K30" s="29"/>
      <c r="L30" s="29"/>
      <c r="M30" s="29"/>
      <c r="N30" s="71"/>
      <c r="S30" s="29"/>
      <c r="T30" s="29"/>
      <c r="U30" s="29"/>
      <c r="V30" s="71"/>
      <c r="W30" s="73"/>
      <c r="X30" s="74"/>
      <c r="Y30" s="14"/>
      <c r="AA30" s="14"/>
      <c r="AB30" s="14"/>
      <c r="AD30" s="12"/>
      <c r="AE30" s="12"/>
      <c r="AF30" s="12"/>
      <c r="AG30" s="12"/>
      <c r="AH30" s="12"/>
      <c r="AI30" s="12"/>
      <c r="AJ30" s="12"/>
    </row>
    <row r="31" spans="1:77" ht="36" customHeight="1" thickBot="1" x14ac:dyDescent="0.4">
      <c r="A31" s="22"/>
      <c r="B31" s="29"/>
      <c r="C31" s="31" t="s">
        <v>120</v>
      </c>
      <c r="D31" s="14"/>
      <c r="E31" s="30"/>
      <c r="G31" s="481" t="s">
        <v>121</v>
      </c>
      <c r="H31" s="482"/>
      <c r="I31" s="75" t="str">
        <f>_xlfn.CONCAT("Respirator Scenario: APF of ",$F$4)</f>
        <v>Respirator Scenario: APF of 10</v>
      </c>
      <c r="J31" s="28"/>
      <c r="K31" s="31" t="s">
        <v>120</v>
      </c>
      <c r="L31" s="31"/>
      <c r="M31" s="14"/>
      <c r="N31" s="30"/>
      <c r="O31" s="481" t="s">
        <v>121</v>
      </c>
      <c r="P31" s="482"/>
      <c r="Q31" s="75" t="s">
        <v>102</v>
      </c>
      <c r="S31" s="31" t="s">
        <v>122</v>
      </c>
      <c r="T31" s="31"/>
      <c r="U31" s="14"/>
      <c r="V31" s="30"/>
      <c r="W31" s="481" t="s">
        <v>121</v>
      </c>
      <c r="X31" s="482"/>
      <c r="Y31" s="77" t="str">
        <f>_xlfn.CONCAT("Respirator-Only Scenario: APF of ",$F$4)</f>
        <v>Respirator-Only Scenario: APF of 10</v>
      </c>
      <c r="Z31" s="78" t="str">
        <f>_xlfn.CONCAT("Gloved-only Scenario: APF of ",$G$4)</f>
        <v>Gloved-only Scenario: APF of 20</v>
      </c>
      <c r="AA31" s="79" t="s">
        <v>103</v>
      </c>
      <c r="AB31" s="28"/>
      <c r="AD31" s="12"/>
      <c r="AE31" s="12"/>
      <c r="AF31" s="12"/>
      <c r="AG31" s="12"/>
      <c r="AH31" s="12"/>
      <c r="AI31" s="12"/>
      <c r="AJ31" s="12"/>
    </row>
    <row r="32" spans="1:77" ht="30" customHeight="1" thickBot="1" x14ac:dyDescent="0.35">
      <c r="A32" s="14"/>
      <c r="B32" s="29"/>
      <c r="C32" s="454" t="s">
        <v>123</v>
      </c>
      <c r="D32" s="83" t="s">
        <v>124</v>
      </c>
      <c r="E32" s="80" t="s">
        <v>79</v>
      </c>
      <c r="F32" s="81" t="s">
        <v>125</v>
      </c>
      <c r="G32" s="455" t="s">
        <v>126</v>
      </c>
      <c r="H32" s="455" t="s">
        <v>127</v>
      </c>
      <c r="I32" s="82" t="s">
        <v>126</v>
      </c>
      <c r="J32" s="28"/>
      <c r="K32" s="454" t="s">
        <v>123</v>
      </c>
      <c r="L32" s="83" t="s">
        <v>124</v>
      </c>
      <c r="M32" s="84" t="s">
        <v>79</v>
      </c>
      <c r="N32" s="81" t="s">
        <v>125</v>
      </c>
      <c r="O32" s="85" t="s">
        <v>128</v>
      </c>
      <c r="P32" s="458" t="s">
        <v>129</v>
      </c>
      <c r="Q32" s="86" t="str">
        <f>_xlfn.CONCAT("Gloves: PF of ",$G$4)</f>
        <v>Gloves: PF of 20</v>
      </c>
      <c r="S32" s="76" t="s">
        <v>123</v>
      </c>
      <c r="T32" s="83" t="s">
        <v>124</v>
      </c>
      <c r="U32" s="87" t="s">
        <v>79</v>
      </c>
      <c r="V32" s="88" t="s">
        <v>125</v>
      </c>
      <c r="W32" s="85" t="s">
        <v>126</v>
      </c>
      <c r="X32" s="85" t="s">
        <v>127</v>
      </c>
      <c r="Y32" s="85" t="s">
        <v>126</v>
      </c>
      <c r="Z32" s="89" t="s">
        <v>130</v>
      </c>
      <c r="AA32" s="90" t="s">
        <v>130</v>
      </c>
      <c r="AB32" s="28"/>
      <c r="AD32" s="12"/>
      <c r="AE32" s="12"/>
      <c r="AF32" s="12"/>
      <c r="AG32" s="12"/>
      <c r="AH32" s="12"/>
      <c r="AI32" s="12"/>
      <c r="AJ32" s="12"/>
    </row>
    <row r="33" spans="1:77" ht="24.75" customHeight="1" x14ac:dyDescent="0.35">
      <c r="A33" s="14"/>
      <c r="B33" s="9" t="s">
        <v>131</v>
      </c>
      <c r="C33" s="493" t="str">
        <f>_xlfn.CONCAT(_xlfn.XLOOKUP($B33,Tox_Table[Code],Tox_Table[Health Effect],"",0,1),"
",_xlfn.XLOOKUP($B33,Tox_Table[Code],Tox_Table[Endpoint],"",0,1),"
",_xlfn.XLOOKUP($B33,Tox_Table[Code],Tox_Table[Study],"",0,1))</f>
        <v xml:space="preserve">
</v>
      </c>
      <c r="D33" s="495">
        <f>_xlfn.XLOOKUP($B33, Tox_Table[Code],Tox_Table[CSF (mg/kg-day-1)], FALSE)</f>
        <v>0</v>
      </c>
      <c r="E33" s="23" t="s">
        <v>92</v>
      </c>
      <c r="F33" s="278">
        <v>1E-4</v>
      </c>
      <c r="G33" s="66">
        <f>IFERROR(D33*$H$10, "")</f>
        <v>0</v>
      </c>
      <c r="H33" s="66">
        <f>IFERROR(D33*$H$12, "")</f>
        <v>0</v>
      </c>
      <c r="I33" s="67">
        <f>IFERROR(G33/$F$4,"")</f>
        <v>0</v>
      </c>
      <c r="J33" s="91"/>
      <c r="K33" s="493" t="str">
        <f>_xlfn.CONCAT(_xlfn.XLOOKUP($B33,Tox_Table[Code],Tox_Table[Health Effect],"",0,1),"
",_xlfn.XLOOKUP($B33,Tox_Table[Code],Tox_Table[Endpoint],"",0,1),"
",_xlfn.XLOOKUP($B33,Tox_Table[Code],Tox_Table[Study],"",0,1))</f>
        <v xml:space="preserve">
</v>
      </c>
      <c r="L33" s="495">
        <f>_xlfn.XLOOKUP($B33, Tox_Table[Code],Tox_Table[CSF (mg/kg-day-1)], FALSE)</f>
        <v>0</v>
      </c>
      <c r="M33" s="43" t="s">
        <v>92</v>
      </c>
      <c r="N33" s="278">
        <v>1E-4</v>
      </c>
      <c r="O33" s="66">
        <f>IFERROR(L33*$P$10, "")</f>
        <v>0</v>
      </c>
      <c r="P33" s="66">
        <f>IFERROR(L33*$P$12, "")</f>
        <v>0</v>
      </c>
      <c r="Q33" s="67">
        <f>IFERROR(L33*$P$10/G4, "")</f>
        <v>0</v>
      </c>
      <c r="S33" s="493" t="str">
        <f>_xlfn.CONCAT(_xlfn.XLOOKUP($B33,Tox_Table[Code],Tox_Table[Health Effect],"",0,1),"
",_xlfn.XLOOKUP($B33,Tox_Table[Code],Tox_Table[Endpoint],"",0,1),"
",_xlfn.XLOOKUP($B33,Tox_Table[Code],Tox_Table[Study],"",0,1))</f>
        <v xml:space="preserve">
</v>
      </c>
      <c r="T33" s="495">
        <f>_xlfn.XLOOKUP($B33, Tox_Table[Code],Tox_Table[CSF (mg/kg-day-1)], FALSE)</f>
        <v>0</v>
      </c>
      <c r="U33" s="43" t="s">
        <v>92</v>
      </c>
      <c r="V33" s="505">
        <v>1E-4</v>
      </c>
      <c r="W33" s="66">
        <f>IFERROR(T33*$X$10, "")</f>
        <v>0</v>
      </c>
      <c r="X33" s="66">
        <f>IFERROR(T33*$X$12, "")</f>
        <v>0</v>
      </c>
      <c r="Y33" s="44">
        <f>IFERROR(T33*((H$10/$F$4)+P$10),"")</f>
        <v>0</v>
      </c>
      <c r="Z33" s="44">
        <f>IFERROR(T33*((H$10)+P$10/$G$4),"")</f>
        <v>0</v>
      </c>
      <c r="AA33" s="45">
        <f>IFERROR(T33*((H$10/$F$4)+P$10/$G$4),"")</f>
        <v>0</v>
      </c>
      <c r="AB33" s="91"/>
      <c r="AD33" s="12"/>
      <c r="AE33" s="12"/>
      <c r="AF33" s="12"/>
      <c r="AG33" s="12"/>
      <c r="AH33" s="12"/>
      <c r="AI33" s="12"/>
      <c r="AJ33" s="12"/>
    </row>
    <row r="34" spans="1:77" s="14" customFormat="1" ht="28.5" customHeight="1" thickBot="1" x14ac:dyDescent="0.4">
      <c r="B34" s="9" t="s">
        <v>131</v>
      </c>
      <c r="C34" s="494"/>
      <c r="D34" s="496"/>
      <c r="E34" s="27" t="s">
        <v>93</v>
      </c>
      <c r="F34" s="279">
        <v>1E-4</v>
      </c>
      <c r="G34" s="69">
        <f>IFERROR(D33*$H$11, "")</f>
        <v>0</v>
      </c>
      <c r="H34" s="69">
        <f>IFERROR(D33*$H$13, "")</f>
        <v>0</v>
      </c>
      <c r="I34" s="70">
        <f>IFERROR(G34/$F$4,"")</f>
        <v>0</v>
      </c>
      <c r="J34" s="91"/>
      <c r="K34" s="494"/>
      <c r="L34" s="496"/>
      <c r="M34" s="39" t="s">
        <v>93</v>
      </c>
      <c r="N34" s="279">
        <v>1E-4</v>
      </c>
      <c r="O34" s="69">
        <f>IFERROR(L33*$P$11, "")</f>
        <v>0</v>
      </c>
      <c r="P34" s="69">
        <f>IFERROR(L33*$P$13, "")</f>
        <v>0</v>
      </c>
      <c r="Q34" s="70">
        <f>IFERROR(L33*$P$11/G4, "")</f>
        <v>0</v>
      </c>
      <c r="R34" s="12"/>
      <c r="S34" s="494"/>
      <c r="T34" s="496"/>
      <c r="U34" s="39" t="s">
        <v>93</v>
      </c>
      <c r="V34" s="506"/>
      <c r="W34" s="69">
        <f>IFERROR(T33*$X$11, "")</f>
        <v>0</v>
      </c>
      <c r="X34" s="69">
        <f>IFERROR(T33*$X$13, "")</f>
        <v>0</v>
      </c>
      <c r="Y34" s="40">
        <f>IFERROR(T33*((H$11/$F$4)+P$11),"")</f>
        <v>0</v>
      </c>
      <c r="Z34" s="40">
        <f>IFERROR(T33*((H$11)+P$11/$G$4),"")</f>
        <v>0</v>
      </c>
      <c r="AA34" s="41">
        <f>IFERROR(T33*((H$11/$F$4)+P$11/$G$4),"")</f>
        <v>0</v>
      </c>
      <c r="AB34" s="91"/>
      <c r="AM34" s="12"/>
      <c r="AN34" s="12"/>
      <c r="AO34" s="12"/>
      <c r="AP34" s="12"/>
      <c r="AQ34" s="12"/>
      <c r="AR34" s="12"/>
      <c r="AS34" s="12"/>
      <c r="AT34" s="12"/>
      <c r="AU34" s="12"/>
      <c r="AV34" s="12"/>
      <c r="AW34" s="12"/>
      <c r="AX34" s="12"/>
      <c r="AY34" s="12"/>
      <c r="AZ34" s="12"/>
      <c r="BA34" s="12"/>
      <c r="BB34" s="12"/>
      <c r="BC34" s="12"/>
      <c r="BD34" s="12"/>
      <c r="BE34" s="12"/>
      <c r="BF34" s="12"/>
      <c r="BG34" s="12"/>
      <c r="BH34" s="12"/>
      <c r="BI34" s="12"/>
      <c r="BJ34" s="12"/>
      <c r="BK34" s="12"/>
      <c r="BL34" s="12"/>
      <c r="BM34" s="12"/>
      <c r="BN34" s="12"/>
      <c r="BO34" s="12"/>
      <c r="BP34" s="12"/>
      <c r="BQ34" s="12"/>
      <c r="BR34" s="12"/>
      <c r="BS34" s="12"/>
      <c r="BT34" s="12"/>
      <c r="BU34" s="12"/>
      <c r="BV34" s="12"/>
      <c r="BW34" s="12"/>
      <c r="BX34" s="12"/>
      <c r="BY34" s="12"/>
    </row>
    <row r="35" spans="1:77" x14ac:dyDescent="0.35">
      <c r="A35" s="14"/>
      <c r="B35" s="29"/>
      <c r="Q35" s="14"/>
      <c r="AD35" s="12"/>
      <c r="AE35" s="12"/>
      <c r="AF35" s="12"/>
      <c r="AG35" s="12"/>
      <c r="AH35" s="12"/>
      <c r="AI35" s="12"/>
      <c r="AJ35" s="12"/>
    </row>
    <row r="36" spans="1:77" x14ac:dyDescent="0.35">
      <c r="A36" s="14"/>
      <c r="B36" s="29"/>
      <c r="O36" s="14"/>
      <c r="P36" s="14"/>
      <c r="Q36" s="14"/>
      <c r="AD36" s="12"/>
      <c r="AE36" s="12"/>
      <c r="AF36" s="12"/>
      <c r="AG36" s="12"/>
      <c r="AH36" s="12"/>
      <c r="AI36" s="12"/>
      <c r="AJ36" s="12"/>
    </row>
    <row r="37" spans="1:77" x14ac:dyDescent="0.35">
      <c r="A37" s="14"/>
      <c r="B37" s="22"/>
      <c r="Q37" s="14"/>
      <c r="AD37" s="12"/>
      <c r="AE37" s="12"/>
      <c r="AF37" s="12"/>
      <c r="AG37" s="12"/>
      <c r="AH37" s="12"/>
      <c r="AI37" s="12"/>
      <c r="AJ37" s="12"/>
    </row>
    <row r="38" spans="1:77" x14ac:dyDescent="0.35">
      <c r="A38" s="14"/>
      <c r="Q38" s="14"/>
      <c r="AD38" s="12"/>
      <c r="AE38" s="12"/>
      <c r="AF38" s="12"/>
      <c r="AG38" s="12"/>
      <c r="AH38" s="12"/>
      <c r="AI38" s="12"/>
      <c r="AJ38" s="12"/>
    </row>
    <row r="39" spans="1:77" x14ac:dyDescent="0.35">
      <c r="A39" s="14"/>
      <c r="AD39" s="12"/>
      <c r="AE39" s="12"/>
      <c r="AF39" s="12"/>
      <c r="AG39" s="12"/>
      <c r="AH39" s="12"/>
      <c r="AI39" s="12"/>
      <c r="AJ39" s="12"/>
    </row>
    <row r="40" spans="1:77" ht="35.25" customHeight="1" x14ac:dyDescent="0.35">
      <c r="A40" s="14"/>
      <c r="AD40" s="12"/>
      <c r="AE40" s="12"/>
      <c r="AF40" s="12"/>
      <c r="AG40" s="12"/>
      <c r="AH40" s="12"/>
      <c r="AI40" s="12"/>
      <c r="AJ40" s="12"/>
    </row>
    <row r="41" spans="1:77" x14ac:dyDescent="0.35">
      <c r="A41" s="14"/>
      <c r="AD41" s="12"/>
      <c r="AE41" s="12"/>
      <c r="AF41" s="12"/>
      <c r="AG41" s="12"/>
      <c r="AH41" s="12"/>
      <c r="AI41" s="12"/>
      <c r="AJ41" s="12"/>
    </row>
    <row r="42" spans="1:77" x14ac:dyDescent="0.35">
      <c r="AD42" s="12"/>
      <c r="AE42" s="12"/>
      <c r="AF42" s="12"/>
      <c r="AG42" s="12"/>
      <c r="AH42" s="12"/>
      <c r="AI42" s="12"/>
      <c r="AJ42" s="12"/>
    </row>
    <row r="43" spans="1:77" x14ac:dyDescent="0.35">
      <c r="H43" s="14"/>
      <c r="I43" s="14"/>
      <c r="J43" s="14"/>
      <c r="T43" s="14"/>
      <c r="U43" s="14"/>
      <c r="V43" s="14"/>
      <c r="W43" s="14"/>
      <c r="X43" s="14"/>
      <c r="Y43" s="14"/>
      <c r="Z43" s="14"/>
      <c r="AA43" s="14"/>
      <c r="AB43" s="14"/>
      <c r="AD43" s="12"/>
      <c r="AE43" s="12"/>
      <c r="AF43" s="12"/>
      <c r="AG43" s="12"/>
      <c r="AH43" s="12"/>
      <c r="AI43" s="12"/>
      <c r="AJ43" s="12"/>
    </row>
    <row r="44" spans="1:77" x14ac:dyDescent="0.35">
      <c r="AD44" s="12"/>
      <c r="AE44" s="12"/>
      <c r="AF44" s="12"/>
      <c r="AG44" s="12"/>
      <c r="AH44" s="12"/>
      <c r="AI44" s="12"/>
      <c r="AJ44" s="12"/>
    </row>
    <row r="45" spans="1:77" x14ac:dyDescent="0.35">
      <c r="AD45" s="12"/>
      <c r="AE45" s="12"/>
      <c r="AF45" s="12"/>
      <c r="AG45" s="12"/>
      <c r="AH45" s="12"/>
      <c r="AI45" s="12"/>
      <c r="AJ45" s="12"/>
    </row>
    <row r="46" spans="1:77" x14ac:dyDescent="0.35">
      <c r="AD46" s="12"/>
      <c r="AE46" s="12"/>
      <c r="AF46" s="12"/>
      <c r="AG46" s="12"/>
      <c r="AH46" s="12"/>
      <c r="AI46" s="12"/>
      <c r="AJ46" s="12"/>
    </row>
    <row r="47" spans="1:77" x14ac:dyDescent="0.35">
      <c r="AD47" s="12"/>
      <c r="AE47" s="12"/>
      <c r="AF47" s="12"/>
      <c r="AG47" s="12"/>
      <c r="AH47" s="12"/>
      <c r="AI47" s="12"/>
      <c r="AJ47" s="12"/>
    </row>
    <row r="48" spans="1:77" x14ac:dyDescent="0.35">
      <c r="AD48" s="12"/>
      <c r="AE48" s="12"/>
      <c r="AF48" s="12"/>
      <c r="AG48" s="12"/>
      <c r="AH48" s="12"/>
      <c r="AI48" s="12"/>
      <c r="AJ48" s="12"/>
    </row>
    <row r="49" spans="1:36" x14ac:dyDescent="0.35">
      <c r="G49" s="14"/>
      <c r="AD49" s="12"/>
      <c r="AE49" s="12"/>
      <c r="AF49" s="12"/>
      <c r="AG49" s="12"/>
      <c r="AH49" s="12"/>
      <c r="AI49" s="12"/>
      <c r="AJ49" s="12"/>
    </row>
    <row r="50" spans="1:36" x14ac:dyDescent="0.35">
      <c r="K50" s="14"/>
      <c r="L50" s="14"/>
      <c r="M50" s="14"/>
      <c r="N50" s="14"/>
      <c r="AD50" s="12"/>
      <c r="AE50" s="12"/>
      <c r="AF50" s="12"/>
      <c r="AG50" s="12"/>
      <c r="AH50" s="12"/>
      <c r="AI50" s="12"/>
      <c r="AJ50" s="12"/>
    </row>
    <row r="51" spans="1:36" x14ac:dyDescent="0.35">
      <c r="C51" s="14"/>
      <c r="D51" s="22"/>
      <c r="E51" s="14"/>
      <c r="F51" s="14"/>
      <c r="AD51" s="12"/>
      <c r="AE51" s="12"/>
      <c r="AF51" s="12"/>
      <c r="AG51" s="12"/>
      <c r="AH51" s="12"/>
      <c r="AI51" s="12"/>
      <c r="AJ51" s="12"/>
    </row>
    <row r="52" spans="1:36" x14ac:dyDescent="0.35">
      <c r="AD52" s="12"/>
      <c r="AE52" s="12"/>
      <c r="AF52" s="12"/>
      <c r="AG52" s="12"/>
      <c r="AH52" s="12"/>
      <c r="AI52" s="12"/>
      <c r="AJ52" s="12"/>
    </row>
    <row r="53" spans="1:36" x14ac:dyDescent="0.35">
      <c r="H53" s="49"/>
      <c r="I53" s="49"/>
      <c r="J53" s="49"/>
      <c r="T53" s="49"/>
      <c r="U53" s="49"/>
      <c r="V53" s="49"/>
      <c r="W53" s="49"/>
      <c r="X53" s="49"/>
      <c r="Y53" s="49"/>
      <c r="Z53" s="49"/>
      <c r="AA53" s="49"/>
      <c r="AB53" s="49"/>
      <c r="AD53" s="12"/>
      <c r="AE53" s="12"/>
      <c r="AF53" s="12"/>
      <c r="AG53" s="12"/>
      <c r="AH53" s="12"/>
      <c r="AI53" s="12"/>
      <c r="AJ53" s="12"/>
    </row>
    <row r="54" spans="1:36" x14ac:dyDescent="0.35">
      <c r="H54" s="49"/>
      <c r="I54" s="49"/>
      <c r="J54" s="49"/>
      <c r="O54" s="14"/>
      <c r="P54" s="14"/>
      <c r="T54" s="49"/>
      <c r="U54" s="49"/>
      <c r="V54" s="49"/>
      <c r="W54" s="49"/>
      <c r="X54" s="49"/>
      <c r="Y54" s="49"/>
      <c r="Z54" s="49"/>
      <c r="AA54" s="49"/>
      <c r="AB54" s="49"/>
      <c r="AD54" s="12"/>
      <c r="AE54" s="12"/>
      <c r="AF54" s="12"/>
      <c r="AG54" s="12"/>
      <c r="AH54" s="12"/>
      <c r="AI54" s="12"/>
      <c r="AJ54" s="12"/>
    </row>
    <row r="55" spans="1:36" x14ac:dyDescent="0.35">
      <c r="B55" s="22"/>
      <c r="H55" s="52"/>
      <c r="I55" s="52"/>
      <c r="J55" s="52"/>
      <c r="T55" s="52"/>
      <c r="U55" s="52"/>
      <c r="V55" s="52"/>
      <c r="W55" s="52"/>
      <c r="X55" s="52"/>
      <c r="Y55" s="52"/>
      <c r="Z55" s="52"/>
      <c r="AA55" s="52"/>
      <c r="AB55" s="52"/>
      <c r="AD55" s="12"/>
      <c r="AE55" s="12"/>
      <c r="AF55" s="12"/>
      <c r="AG55" s="12"/>
      <c r="AH55" s="12"/>
      <c r="AI55" s="12"/>
      <c r="AJ55" s="12"/>
    </row>
    <row r="56" spans="1:36" x14ac:dyDescent="0.35">
      <c r="B56" s="48"/>
      <c r="H56" s="52"/>
      <c r="I56" s="52"/>
      <c r="J56" s="52"/>
      <c r="Q56" s="14"/>
      <c r="T56" s="52"/>
      <c r="U56" s="52"/>
      <c r="V56" s="52"/>
      <c r="W56" s="52"/>
      <c r="X56" s="52"/>
      <c r="Y56" s="52"/>
      <c r="Z56" s="52"/>
      <c r="AA56" s="52"/>
      <c r="AB56" s="52"/>
      <c r="AD56" s="12"/>
      <c r="AE56" s="12"/>
      <c r="AF56" s="12"/>
      <c r="AG56" s="12"/>
      <c r="AH56" s="12"/>
      <c r="AI56" s="12"/>
      <c r="AJ56" s="12"/>
    </row>
    <row r="57" spans="1:36" x14ac:dyDescent="0.35">
      <c r="B57" s="48"/>
      <c r="AD57" s="12"/>
      <c r="AE57" s="12"/>
      <c r="AF57" s="12"/>
      <c r="AG57" s="12"/>
      <c r="AH57" s="12"/>
      <c r="AI57" s="12"/>
      <c r="AJ57" s="12"/>
    </row>
    <row r="58" spans="1:36" x14ac:dyDescent="0.35">
      <c r="B58" s="48"/>
      <c r="AD58" s="12"/>
      <c r="AE58" s="12"/>
      <c r="AF58" s="12"/>
      <c r="AG58" s="12"/>
      <c r="AH58" s="12"/>
      <c r="AI58" s="12"/>
      <c r="AJ58" s="12"/>
    </row>
    <row r="59" spans="1:36" x14ac:dyDescent="0.35">
      <c r="A59" s="14"/>
      <c r="B59" s="48"/>
      <c r="G59" s="49"/>
      <c r="AD59" s="12"/>
      <c r="AE59" s="12"/>
      <c r="AF59" s="12"/>
      <c r="AG59" s="12"/>
      <c r="AH59" s="12"/>
      <c r="AI59" s="12"/>
      <c r="AJ59" s="12"/>
    </row>
    <row r="60" spans="1:36" x14ac:dyDescent="0.35">
      <c r="B60" s="48"/>
      <c r="C60" s="222"/>
      <c r="D60" s="48"/>
      <c r="E60" s="222"/>
      <c r="K60" s="52"/>
      <c r="L60" s="52"/>
      <c r="M60" s="52"/>
      <c r="N60" s="52"/>
      <c r="AD60" s="12"/>
      <c r="AE60" s="12"/>
      <c r="AF60" s="12"/>
      <c r="AG60" s="12"/>
      <c r="AH60" s="12"/>
      <c r="AI60" s="12"/>
      <c r="AJ60" s="12"/>
    </row>
    <row r="61" spans="1:36" x14ac:dyDescent="0.35">
      <c r="B61" s="48"/>
      <c r="E61" s="50"/>
      <c r="F61" s="52"/>
      <c r="K61" s="52"/>
      <c r="L61" s="52"/>
      <c r="M61" s="52"/>
      <c r="N61" s="52"/>
      <c r="AD61" s="12"/>
      <c r="AE61" s="12"/>
      <c r="AF61" s="12"/>
      <c r="AG61" s="12"/>
      <c r="AH61" s="12"/>
      <c r="AI61" s="12"/>
      <c r="AJ61" s="12"/>
    </row>
    <row r="62" spans="1:36" x14ac:dyDescent="0.35">
      <c r="B62" s="48"/>
      <c r="AD62" s="12"/>
      <c r="AE62" s="12"/>
      <c r="AF62" s="12"/>
      <c r="AG62" s="12"/>
      <c r="AH62" s="12"/>
      <c r="AI62" s="12"/>
      <c r="AJ62" s="12"/>
    </row>
    <row r="63" spans="1:36" x14ac:dyDescent="0.35">
      <c r="B63" s="48"/>
      <c r="M63" s="9"/>
      <c r="AD63" s="12"/>
      <c r="AE63" s="12"/>
      <c r="AF63" s="12"/>
      <c r="AG63" s="12"/>
      <c r="AH63" s="12"/>
      <c r="AI63" s="12"/>
      <c r="AJ63" s="12"/>
    </row>
    <row r="64" spans="1:36" x14ac:dyDescent="0.35">
      <c r="C64" s="223"/>
      <c r="D64" s="223"/>
      <c r="E64" s="224"/>
      <c r="L64" s="223"/>
      <c r="M64" s="223"/>
      <c r="AD64" s="12"/>
      <c r="AE64" s="12"/>
      <c r="AF64" s="12"/>
      <c r="AG64" s="12"/>
      <c r="AH64" s="12"/>
      <c r="AI64" s="12"/>
      <c r="AJ64" s="12"/>
    </row>
    <row r="65" spans="3:36" x14ac:dyDescent="0.35">
      <c r="C65" s="225"/>
      <c r="D65" s="226"/>
      <c r="E65" s="226"/>
      <c r="L65" s="226"/>
      <c r="M65" s="226"/>
      <c r="AD65" s="12"/>
      <c r="AE65" s="12"/>
      <c r="AF65" s="12"/>
      <c r="AG65" s="12"/>
      <c r="AH65" s="12"/>
      <c r="AI65" s="12"/>
      <c r="AJ65" s="12"/>
    </row>
    <row r="66" spans="3:36" x14ac:dyDescent="0.35">
      <c r="C66" s="225"/>
      <c r="D66" s="226"/>
      <c r="E66" s="226"/>
      <c r="L66" s="226"/>
      <c r="M66" s="226"/>
      <c r="AD66" s="12"/>
      <c r="AE66" s="12"/>
      <c r="AF66" s="12"/>
      <c r="AG66" s="12"/>
      <c r="AH66" s="12"/>
      <c r="AI66" s="12"/>
      <c r="AJ66" s="12"/>
    </row>
    <row r="67" spans="3:36" ht="29" x14ac:dyDescent="0.35">
      <c r="C67" s="280" t="s">
        <v>132</v>
      </c>
      <c r="D67" s="280" t="s">
        <v>133</v>
      </c>
      <c r="E67" s="281" t="str">
        <f>_xlfn.CONCAT("Cancer Risk with APF of ",$F$4)</f>
        <v>Cancer Risk with APF of 10</v>
      </c>
      <c r="K67" s="223"/>
      <c r="L67" s="280" t="s">
        <v>134</v>
      </c>
      <c r="M67" s="280" t="s">
        <v>92</v>
      </c>
      <c r="N67" s="280" t="s">
        <v>93</v>
      </c>
      <c r="T67" s="280" t="s">
        <v>135</v>
      </c>
      <c r="U67" s="280" t="s">
        <v>92</v>
      </c>
      <c r="V67" s="280" t="s">
        <v>93</v>
      </c>
      <c r="AD67" s="12"/>
      <c r="AE67" s="12"/>
      <c r="AF67" s="12"/>
      <c r="AG67" s="12"/>
      <c r="AH67" s="12"/>
      <c r="AI67" s="12"/>
      <c r="AJ67" s="12"/>
    </row>
    <row r="68" spans="3:36" ht="14.5" x14ac:dyDescent="0.35">
      <c r="C68" s="282" t="s">
        <v>136</v>
      </c>
      <c r="D68" s="283">
        <f>$H$34</f>
        <v>0</v>
      </c>
      <c r="E68" s="283" t="str">
        <f>$I$32</f>
        <v xml:space="preserve">Worker </v>
      </c>
      <c r="K68" s="225"/>
      <c r="L68" s="282" t="str">
        <f>O32</f>
        <v>Worker No Gloves</v>
      </c>
      <c r="M68" s="283">
        <f>$O$33</f>
        <v>0</v>
      </c>
      <c r="N68" s="283">
        <f>$O$34</f>
        <v>0</v>
      </c>
      <c r="T68" s="282" t="s">
        <v>137</v>
      </c>
      <c r="U68" s="283">
        <f>W33</f>
        <v>0</v>
      </c>
      <c r="V68" s="283">
        <f>W34</f>
        <v>0</v>
      </c>
      <c r="AD68" s="12"/>
      <c r="AE68" s="12"/>
      <c r="AF68" s="12"/>
      <c r="AG68" s="12"/>
      <c r="AH68" s="12"/>
      <c r="AI68" s="12"/>
      <c r="AJ68" s="12"/>
    </row>
    <row r="69" spans="3:36" ht="14.5" x14ac:dyDescent="0.35">
      <c r="C69" s="282" t="s">
        <v>138</v>
      </c>
      <c r="D69" s="283">
        <f>$H$33</f>
        <v>0</v>
      </c>
      <c r="E69" s="283">
        <f>$I$33</f>
        <v>0</v>
      </c>
      <c r="K69" s="227"/>
      <c r="L69" s="284" t="str">
        <f>Q31</f>
        <v>Gloved Scenarios</v>
      </c>
      <c r="M69" s="285">
        <f>$Q$33</f>
        <v>0</v>
      </c>
      <c r="N69" s="285">
        <f>$Q$34</f>
        <v>0</v>
      </c>
      <c r="T69" s="282" t="str">
        <f>Y31</f>
        <v>Respirator-Only Scenario: APF of 10</v>
      </c>
      <c r="U69" s="283">
        <f>Y33</f>
        <v>0</v>
      </c>
      <c r="V69" s="283">
        <f>Y34</f>
        <v>0</v>
      </c>
      <c r="AD69" s="12"/>
      <c r="AE69" s="12"/>
      <c r="AF69" s="12"/>
      <c r="AG69" s="12"/>
      <c r="AH69" s="12"/>
      <c r="AI69" s="12"/>
      <c r="AJ69" s="12"/>
    </row>
    <row r="70" spans="3:36" ht="14.5" x14ac:dyDescent="0.35">
      <c r="C70" s="282" t="s">
        <v>139</v>
      </c>
      <c r="D70" s="283">
        <f>$G$34</f>
        <v>0</v>
      </c>
      <c r="E70" s="283">
        <f>$I$34</f>
        <v>0</v>
      </c>
      <c r="K70" s="225"/>
      <c r="L70" s="286"/>
      <c r="M70" s="287"/>
      <c r="N70" s="287"/>
      <c r="T70" s="288" t="str">
        <f>Z31</f>
        <v>Gloved-only Scenario: APF of 20</v>
      </c>
      <c r="U70" s="283">
        <f>Z33</f>
        <v>0</v>
      </c>
      <c r="V70" s="283">
        <f>Z34</f>
        <v>0</v>
      </c>
      <c r="AD70" s="12"/>
      <c r="AE70" s="12"/>
      <c r="AF70" s="12"/>
      <c r="AG70" s="12"/>
      <c r="AH70" s="12"/>
      <c r="AI70" s="12"/>
      <c r="AJ70" s="12"/>
    </row>
    <row r="71" spans="3:36" ht="14.5" x14ac:dyDescent="0.35">
      <c r="C71" s="282" t="s">
        <v>140</v>
      </c>
      <c r="D71" s="283">
        <f>$G$33</f>
        <v>0</v>
      </c>
      <c r="E71" s="283">
        <f>$I$33</f>
        <v>0</v>
      </c>
      <c r="T71" s="282" t="str">
        <f>AA31</f>
        <v>Respirator and Glove Scenario</v>
      </c>
      <c r="U71" s="283">
        <f>AA33</f>
        <v>0</v>
      </c>
      <c r="V71" s="283">
        <f>AA34</f>
        <v>0</v>
      </c>
      <c r="AD71" s="12"/>
      <c r="AE71" s="12"/>
      <c r="AF71" s="12"/>
      <c r="AG71" s="12"/>
      <c r="AH71" s="12"/>
      <c r="AI71" s="12"/>
      <c r="AJ71" s="12"/>
    </row>
    <row r="72" spans="3:36" x14ac:dyDescent="0.35">
      <c r="AD72" s="12"/>
      <c r="AE72" s="12"/>
      <c r="AF72" s="12"/>
      <c r="AG72" s="12"/>
      <c r="AH72" s="12"/>
      <c r="AI72" s="12"/>
      <c r="AJ72" s="12"/>
    </row>
    <row r="73" spans="3:36" x14ac:dyDescent="0.35">
      <c r="AD73" s="12"/>
      <c r="AE73" s="12"/>
      <c r="AF73" s="12"/>
      <c r="AG73" s="12"/>
      <c r="AH73" s="12"/>
      <c r="AI73" s="12"/>
      <c r="AJ73" s="12"/>
    </row>
    <row r="74" spans="3:36" x14ac:dyDescent="0.35">
      <c r="AD74" s="12"/>
      <c r="AE74" s="12"/>
      <c r="AF74" s="12"/>
      <c r="AG74" s="12"/>
      <c r="AH74" s="12"/>
      <c r="AI74" s="12"/>
      <c r="AJ74" s="12"/>
    </row>
    <row r="75" spans="3:36" x14ac:dyDescent="0.35">
      <c r="AD75" s="12"/>
      <c r="AE75" s="12"/>
      <c r="AF75" s="12"/>
      <c r="AG75" s="12"/>
      <c r="AH75" s="12"/>
      <c r="AI75" s="12"/>
      <c r="AJ75" s="12"/>
    </row>
    <row r="76" spans="3:36" x14ac:dyDescent="0.35">
      <c r="AD76" s="12"/>
      <c r="AE76" s="12"/>
      <c r="AF76" s="12"/>
      <c r="AG76" s="12"/>
      <c r="AH76" s="12"/>
      <c r="AI76" s="12"/>
      <c r="AJ76" s="12"/>
    </row>
    <row r="77" spans="3:36" x14ac:dyDescent="0.35">
      <c r="AD77" s="12"/>
      <c r="AE77" s="12"/>
      <c r="AF77" s="12"/>
      <c r="AG77" s="12"/>
      <c r="AH77" s="12"/>
      <c r="AI77" s="12"/>
      <c r="AJ77" s="12"/>
    </row>
    <row r="78" spans="3:36" x14ac:dyDescent="0.35">
      <c r="AD78" s="12"/>
      <c r="AE78" s="12"/>
      <c r="AF78" s="12"/>
      <c r="AG78" s="12"/>
      <c r="AH78" s="12"/>
      <c r="AI78" s="12"/>
      <c r="AJ78" s="12"/>
    </row>
    <row r="79" spans="3:36" x14ac:dyDescent="0.35">
      <c r="AD79" s="12"/>
      <c r="AE79" s="12"/>
      <c r="AF79" s="12"/>
      <c r="AG79" s="12"/>
      <c r="AH79" s="12"/>
      <c r="AI79" s="12"/>
      <c r="AJ79" s="12"/>
    </row>
    <row r="80" spans="3:36" x14ac:dyDescent="0.35">
      <c r="AD80" s="12"/>
      <c r="AE80" s="12"/>
      <c r="AF80" s="12"/>
      <c r="AG80" s="12"/>
      <c r="AH80" s="12"/>
      <c r="AI80" s="12"/>
      <c r="AJ80" s="12"/>
    </row>
    <row r="81" spans="30:36" x14ac:dyDescent="0.35">
      <c r="AD81" s="12"/>
      <c r="AE81" s="12"/>
      <c r="AF81" s="12"/>
      <c r="AG81" s="12"/>
      <c r="AH81" s="12"/>
      <c r="AI81" s="12"/>
      <c r="AJ81" s="12"/>
    </row>
    <row r="82" spans="30:36" x14ac:dyDescent="0.35">
      <c r="AD82" s="12"/>
      <c r="AE82" s="12"/>
      <c r="AF82" s="12"/>
      <c r="AG82" s="12"/>
      <c r="AH82" s="12"/>
      <c r="AI82" s="12"/>
      <c r="AJ82" s="12"/>
    </row>
    <row r="83" spans="30:36" x14ac:dyDescent="0.35">
      <c r="AD83" s="12"/>
      <c r="AE83" s="12"/>
      <c r="AF83" s="12"/>
      <c r="AG83" s="12"/>
      <c r="AH83" s="12"/>
      <c r="AI83" s="12"/>
      <c r="AJ83" s="12"/>
    </row>
    <row r="84" spans="30:36" x14ac:dyDescent="0.35">
      <c r="AD84" s="12"/>
      <c r="AE84" s="12"/>
      <c r="AF84" s="12"/>
      <c r="AG84" s="12"/>
      <c r="AH84" s="12"/>
      <c r="AI84" s="12"/>
      <c r="AJ84" s="12"/>
    </row>
    <row r="85" spans="30:36" x14ac:dyDescent="0.35">
      <c r="AD85" s="12"/>
      <c r="AE85" s="12"/>
      <c r="AF85" s="12"/>
      <c r="AG85" s="12"/>
      <c r="AH85" s="12"/>
      <c r="AI85" s="12"/>
      <c r="AJ85" s="12"/>
    </row>
    <row r="86" spans="30:36" x14ac:dyDescent="0.35">
      <c r="AD86" s="12"/>
      <c r="AE86" s="12"/>
      <c r="AF86" s="12"/>
      <c r="AG86" s="12"/>
      <c r="AH86" s="12"/>
      <c r="AI86" s="12"/>
      <c r="AJ86" s="12"/>
    </row>
    <row r="87" spans="30:36" x14ac:dyDescent="0.35">
      <c r="AD87" s="12"/>
      <c r="AE87" s="12"/>
      <c r="AF87" s="12"/>
      <c r="AG87" s="12"/>
      <c r="AH87" s="12"/>
      <c r="AI87" s="12"/>
      <c r="AJ87" s="12"/>
    </row>
  </sheetData>
  <sheetProtection sheet="1" objects="1" scenarios="1" formatCells="0" formatColumns="0" formatRows="0"/>
  <dataConsolidate link="1"/>
  <mergeCells count="93">
    <mergeCell ref="C12:C13"/>
    <mergeCell ref="S10:S11"/>
    <mergeCell ref="S12:S13"/>
    <mergeCell ref="K12:K13"/>
    <mergeCell ref="O21:P21"/>
    <mergeCell ref="C16:C17"/>
    <mergeCell ref="C18:C19"/>
    <mergeCell ref="L18:L19"/>
    <mergeCell ref="G16:H16"/>
    <mergeCell ref="D18:D19"/>
    <mergeCell ref="O16:P16"/>
    <mergeCell ref="S15:V15"/>
    <mergeCell ref="O31:P31"/>
    <mergeCell ref="C28:C29"/>
    <mergeCell ref="C26:C27"/>
    <mergeCell ref="N26:N27"/>
    <mergeCell ref="F21:F22"/>
    <mergeCell ref="G21:H21"/>
    <mergeCell ref="K21:K22"/>
    <mergeCell ref="L21:L22"/>
    <mergeCell ref="M21:M22"/>
    <mergeCell ref="N21:N22"/>
    <mergeCell ref="D28:D29"/>
    <mergeCell ref="K28:K29"/>
    <mergeCell ref="L28:L29"/>
    <mergeCell ref="D26:D27"/>
    <mergeCell ref="G26:H26"/>
    <mergeCell ref="F26:F27"/>
    <mergeCell ref="C33:C34"/>
    <mergeCell ref="D33:D34"/>
    <mergeCell ref="M26:M27"/>
    <mergeCell ref="K16:K17"/>
    <mergeCell ref="L16:L17"/>
    <mergeCell ref="M16:M17"/>
    <mergeCell ref="K33:K34"/>
    <mergeCell ref="L33:L34"/>
    <mergeCell ref="G31:H31"/>
    <mergeCell ref="C23:C24"/>
    <mergeCell ref="K20:N20"/>
    <mergeCell ref="C21:C22"/>
    <mergeCell ref="D21:D22"/>
    <mergeCell ref="E21:E22"/>
    <mergeCell ref="N16:N17"/>
    <mergeCell ref="K18:K19"/>
    <mergeCell ref="E26:E27"/>
    <mergeCell ref="K26:K27"/>
    <mergeCell ref="D23:D24"/>
    <mergeCell ref="K23:K24"/>
    <mergeCell ref="L23:L24"/>
    <mergeCell ref="T8:T9"/>
    <mergeCell ref="C8:C9"/>
    <mergeCell ref="K8:K9"/>
    <mergeCell ref="L8:L9"/>
    <mergeCell ref="K10:K11"/>
    <mergeCell ref="S8:S9"/>
    <mergeCell ref="C10:C11"/>
    <mergeCell ref="D2:E2"/>
    <mergeCell ref="F16:F17"/>
    <mergeCell ref="D8:D9"/>
    <mergeCell ref="D16:D17"/>
    <mergeCell ref="E16:E17"/>
    <mergeCell ref="D4:E4"/>
    <mergeCell ref="D3:E3"/>
    <mergeCell ref="F2:G2"/>
    <mergeCell ref="S33:S34"/>
    <mergeCell ref="T33:T34"/>
    <mergeCell ref="V33:V34"/>
    <mergeCell ref="U16:U17"/>
    <mergeCell ref="V16:V17"/>
    <mergeCell ref="S23:S24"/>
    <mergeCell ref="T23:T24"/>
    <mergeCell ref="S20:V20"/>
    <mergeCell ref="S21:S22"/>
    <mergeCell ref="T21:T22"/>
    <mergeCell ref="U21:U22"/>
    <mergeCell ref="V21:V22"/>
    <mergeCell ref="O26:P26"/>
    <mergeCell ref="K15:N15"/>
    <mergeCell ref="L26:L27"/>
    <mergeCell ref="W16:X16"/>
    <mergeCell ref="W26:X26"/>
    <mergeCell ref="S16:S17"/>
    <mergeCell ref="T16:T17"/>
    <mergeCell ref="W31:X31"/>
    <mergeCell ref="S18:S19"/>
    <mergeCell ref="T18:T19"/>
    <mergeCell ref="S26:S27"/>
    <mergeCell ref="T26:T27"/>
    <mergeCell ref="U26:U27"/>
    <mergeCell ref="V26:V27"/>
    <mergeCell ref="S28:S29"/>
    <mergeCell ref="T28:T29"/>
    <mergeCell ref="W21:X21"/>
  </mergeCells>
  <phoneticPr fontId="2" type="noConversion"/>
  <conditionalFormatting sqref="C12">
    <cfRule type="cellIs" dxfId="541" priority="4" stopIfTrue="1" operator="equal">
      <formula>0</formula>
    </cfRule>
    <cfRule type="containsBlanks" dxfId="540" priority="5" stopIfTrue="1">
      <formula>LEN(TRIM(C12))=0</formula>
    </cfRule>
    <cfRule type="cellIs" dxfId="539" priority="6" operator="lessThan">
      <formula>0.1</formula>
    </cfRule>
  </conditionalFormatting>
  <conditionalFormatting sqref="D18 L18 G18:I20 O18:Q20 D23 L23 G23:I24 O23:Q24 D28 D33 L33 G33:I34">
    <cfRule type="containsBlanks" dxfId="538" priority="501" stopIfTrue="1">
      <formula>LEN(TRIM(D18))=0</formula>
    </cfRule>
    <cfRule type="cellIs" dxfId="537" priority="504" operator="greaterThanOrEqual">
      <formula>10</formula>
    </cfRule>
    <cfRule type="cellIs" dxfId="536" priority="503" operator="lessThan">
      <formula>10</formula>
    </cfRule>
    <cfRule type="cellIs" dxfId="535" priority="502" operator="lessThan">
      <formula>0.1</formula>
    </cfRule>
  </conditionalFormatting>
  <conditionalFormatting sqref="E10:H13 U10:X13">
    <cfRule type="cellIs" dxfId="534" priority="344" operator="between">
      <formula>1</formula>
      <formula>9.999</formula>
    </cfRule>
    <cfRule type="cellIs" dxfId="533" priority="346" operator="lessThan">
      <formula>0.1</formula>
    </cfRule>
    <cfRule type="cellIs" dxfId="532" priority="345" operator="between">
      <formula>0.1</formula>
      <formula>0.999</formula>
    </cfRule>
    <cfRule type="cellIs" dxfId="531" priority="342" operator="greaterThan">
      <formula>10000</formula>
    </cfRule>
    <cfRule type="cellIs" dxfId="530" priority="343" operator="between">
      <formula>10</formula>
      <formula>9999.999</formula>
    </cfRule>
  </conditionalFormatting>
  <conditionalFormatting sqref="E10:H13">
    <cfRule type="cellIs" dxfId="529" priority="221" operator="equal">
      <formula>0</formula>
    </cfRule>
  </conditionalFormatting>
  <conditionalFormatting sqref="G18:I20 G23:I24 G28:I29">
    <cfRule type="cellIs" dxfId="528" priority="506" operator="greaterThanOrEqual">
      <formula>$F18</formula>
    </cfRule>
    <cfRule type="cellIs" dxfId="527" priority="507" operator="lessThan">
      <formula>$F18</formula>
    </cfRule>
  </conditionalFormatting>
  <conditionalFormatting sqref="G28:I29">
    <cfRule type="cellIs" dxfId="526" priority="493" stopIfTrue="1" operator="equal">
      <formula>0</formula>
    </cfRule>
    <cfRule type="cellIs" dxfId="525" priority="495" operator="lessThan">
      <formula>0.1</formula>
    </cfRule>
    <cfRule type="containsBlanks" dxfId="524" priority="494" stopIfTrue="1">
      <formula>LEN(TRIM(G28))=0</formula>
    </cfRule>
    <cfRule type="cellIs" dxfId="523" priority="496" operator="lessThan">
      <formula>10</formula>
    </cfRule>
    <cfRule type="cellIs" dxfId="522" priority="497" operator="greaterThanOrEqual">
      <formula>10</formula>
    </cfRule>
  </conditionalFormatting>
  <conditionalFormatting sqref="G33:I34 O18:Q20 O23:Q24 D18 L18 G18:I20 D23 L23 G23:I24 D28 D33 L33">
    <cfRule type="cellIs" dxfId="521" priority="500" stopIfTrue="1" operator="equal">
      <formula>0</formula>
    </cfRule>
  </conditionalFormatting>
  <conditionalFormatting sqref="G33:I34">
    <cfRule type="cellIs" dxfId="520" priority="228" operator="greaterThanOrEqual">
      <formula>$F33</formula>
    </cfRule>
    <cfRule type="cellIs" dxfId="519" priority="227" operator="lessThan">
      <formula>$F33</formula>
    </cfRule>
    <cfRule type="cellIs" dxfId="518" priority="608" operator="greaterThan">
      <formula>0.0001</formula>
    </cfRule>
    <cfRule type="cellIs" dxfId="517" priority="226" operator="greaterThanOrEqual">
      <formula>10</formula>
    </cfRule>
    <cfRule type="cellIs" dxfId="516" priority="222" stopIfTrue="1" operator="equal">
      <formula>0</formula>
    </cfRule>
    <cfRule type="containsBlanks" dxfId="515" priority="223" stopIfTrue="1">
      <formula>LEN(TRIM(G33))=0</formula>
    </cfRule>
    <cfRule type="cellIs" dxfId="514" priority="224" operator="lessThan">
      <formula>0.1</formula>
    </cfRule>
    <cfRule type="cellIs" dxfId="513" priority="225" operator="lessThan">
      <formula>10</formula>
    </cfRule>
    <cfRule type="cellIs" dxfId="512" priority="607" operator="lessThanOrEqual">
      <formula>0.0001</formula>
    </cfRule>
  </conditionalFormatting>
  <conditionalFormatting sqref="K12">
    <cfRule type="containsBlanks" dxfId="511" priority="167" stopIfTrue="1">
      <formula>LEN(TRIM(K12))=0</formula>
    </cfRule>
    <cfRule type="cellIs" dxfId="510" priority="168" operator="lessThan">
      <formula>0.1</formula>
    </cfRule>
    <cfRule type="cellIs" dxfId="509" priority="166" stopIfTrue="1" operator="equal">
      <formula>0</formula>
    </cfRule>
  </conditionalFormatting>
  <conditionalFormatting sqref="L28">
    <cfRule type="cellIs" dxfId="508" priority="463" operator="lessThan">
      <formula>10</formula>
    </cfRule>
    <cfRule type="cellIs" dxfId="507" priority="460" stopIfTrue="1" operator="equal">
      <formula>0</formula>
    </cfRule>
    <cfRule type="containsBlanks" dxfId="506" priority="461" stopIfTrue="1">
      <formula>LEN(TRIM(L28))=0</formula>
    </cfRule>
    <cfRule type="cellIs" dxfId="505" priority="462" operator="lessThan">
      <formula>0.1</formula>
    </cfRule>
    <cfRule type="cellIs" dxfId="504" priority="464" operator="greaterThanOrEqual">
      <formula>10</formula>
    </cfRule>
  </conditionalFormatting>
  <conditionalFormatting sqref="M10:P13">
    <cfRule type="cellIs" dxfId="503" priority="12" operator="lessThan">
      <formula>0.1</formula>
    </cfRule>
    <cfRule type="cellIs" dxfId="502" priority="9" operator="between">
      <formula>10</formula>
      <formula>9999.999</formula>
    </cfRule>
    <cfRule type="cellIs" dxfId="501" priority="7" operator="equal">
      <formula>0</formula>
    </cfRule>
    <cfRule type="cellIs" dxfId="500" priority="8" operator="greaterThan">
      <formula>10000</formula>
    </cfRule>
    <cfRule type="cellIs" dxfId="499" priority="10" operator="between">
      <formula>1</formula>
      <formula>9.999</formula>
    </cfRule>
    <cfRule type="cellIs" dxfId="498" priority="11" operator="between">
      <formula>0.1</formula>
      <formula>0.999</formula>
    </cfRule>
  </conditionalFormatting>
  <conditionalFormatting sqref="O28:P29">
    <cfRule type="cellIs" dxfId="497" priority="116" operator="lessThan">
      <formula>10</formula>
    </cfRule>
    <cfRule type="cellIs" dxfId="496" priority="117" operator="greaterThanOrEqual">
      <formula>10</formula>
    </cfRule>
    <cfRule type="containsBlanks" dxfId="495" priority="114" stopIfTrue="1">
      <formula>LEN(TRIM(O28))=0</formula>
    </cfRule>
    <cfRule type="cellIs" dxfId="494" priority="113" stopIfTrue="1" operator="equal">
      <formula>0</formula>
    </cfRule>
    <cfRule type="cellIs" dxfId="493" priority="115" operator="lessThan">
      <formula>0.1</formula>
    </cfRule>
  </conditionalFormatting>
  <conditionalFormatting sqref="O18:Q18 O20:Q20">
    <cfRule type="cellIs" dxfId="492" priority="557" operator="greaterThanOrEqual">
      <formula>$N18</formula>
    </cfRule>
    <cfRule type="cellIs" dxfId="491" priority="558" operator="lessThan">
      <formula>$N18</formula>
    </cfRule>
  </conditionalFormatting>
  <conditionalFormatting sqref="O18:Q19 O23:Q24 O28:Q29">
    <cfRule type="cellIs" dxfId="490" priority="212" operator="lessThan">
      <formula>$N18</formula>
    </cfRule>
    <cfRule type="cellIs" dxfId="489" priority="153" stopIfTrue="1" operator="equal">
      <formula>0</formula>
    </cfRule>
  </conditionalFormatting>
  <conditionalFormatting sqref="O18:Q19 O23:Q24">
    <cfRule type="cellIs" dxfId="488" priority="214" operator="lessThan">
      <formula>10</formula>
    </cfRule>
  </conditionalFormatting>
  <conditionalFormatting sqref="O19:Q19">
    <cfRule type="cellIs" dxfId="487" priority="215" operator="greaterThanOrEqual">
      <formula>10</formula>
    </cfRule>
    <cfRule type="cellIs" dxfId="486" priority="213" operator="lessThan">
      <formula>0.1</formula>
    </cfRule>
  </conditionalFormatting>
  <conditionalFormatting sqref="O23:Q24 O28:Q29 O18:Q19">
    <cfRule type="containsBlanks" dxfId="485" priority="152" stopIfTrue="1">
      <formula>LEN(TRIM(O18))=0</formula>
    </cfRule>
  </conditionalFormatting>
  <conditionalFormatting sqref="O28:Q29 O18:Q19 O23:Q24">
    <cfRule type="cellIs" dxfId="484" priority="211" operator="greaterThanOrEqual">
      <formula>$N18</formula>
    </cfRule>
  </conditionalFormatting>
  <conditionalFormatting sqref="O28:Q29">
    <cfRule type="cellIs" dxfId="483" priority="177" operator="lessThan">
      <formula>10</formula>
    </cfRule>
    <cfRule type="cellIs" dxfId="482" priority="178" operator="greaterThanOrEqual">
      <formula>10</formula>
    </cfRule>
    <cfRule type="containsBlanks" dxfId="481" priority="156" stopIfTrue="1">
      <formula>LEN(TRIM(O28))=0</formula>
    </cfRule>
    <cfRule type="cellIs" dxfId="480" priority="157" operator="lessThan">
      <formula>0.1</formula>
    </cfRule>
    <cfRule type="cellIs" dxfId="479" priority="159" operator="greaterThanOrEqual">
      <formula>10</formula>
    </cfRule>
    <cfRule type="cellIs" dxfId="478" priority="158" operator="lessThan">
      <formula>10</formula>
    </cfRule>
    <cfRule type="containsBlanks" dxfId="477" priority="175" stopIfTrue="1">
      <formula>LEN(TRIM(O28))=0</formula>
    </cfRule>
    <cfRule type="cellIs" dxfId="476" priority="176" operator="lessThan">
      <formula>0.1</formula>
    </cfRule>
    <cfRule type="cellIs" dxfId="475" priority="174" stopIfTrue="1" operator="equal">
      <formula>0</formula>
    </cfRule>
  </conditionalFormatting>
  <conditionalFormatting sqref="O33:Q34">
    <cfRule type="containsBlanks" dxfId="474" priority="14" stopIfTrue="1">
      <formula>LEN(TRIM(O33))=0</formula>
    </cfRule>
    <cfRule type="cellIs" dxfId="473" priority="25" operator="lessThanOrEqual">
      <formula>0.0001</formula>
    </cfRule>
    <cfRule type="cellIs" dxfId="472" priority="13" stopIfTrue="1" operator="equal">
      <formula>0</formula>
    </cfRule>
    <cfRule type="cellIs" dxfId="471" priority="15" operator="lessThan">
      <formula>0.1</formula>
    </cfRule>
    <cfRule type="cellIs" dxfId="470" priority="16" operator="lessThan">
      <formula>10</formula>
    </cfRule>
    <cfRule type="cellIs" dxfId="469" priority="17" operator="greaterThanOrEqual">
      <formula>10</formula>
    </cfRule>
    <cfRule type="cellIs" dxfId="468" priority="18" operator="lessThan">
      <formula>$F33</formula>
    </cfRule>
    <cfRule type="cellIs" dxfId="467" priority="19" operator="greaterThanOrEqual">
      <formula>$F33</formula>
    </cfRule>
    <cfRule type="cellIs" dxfId="466" priority="20" stopIfTrue="1" operator="equal">
      <formula>0</formula>
    </cfRule>
    <cfRule type="containsBlanks" dxfId="465" priority="21" stopIfTrue="1">
      <formula>LEN(TRIM(O33))=0</formula>
    </cfRule>
    <cfRule type="cellIs" dxfId="464" priority="22" operator="lessThan">
      <formula>0.1</formula>
    </cfRule>
    <cfRule type="cellIs" dxfId="463" priority="23" operator="lessThan">
      <formula>10</formula>
    </cfRule>
    <cfRule type="cellIs" dxfId="462" priority="24" operator="greaterThanOrEqual">
      <formula>10</formula>
    </cfRule>
    <cfRule type="cellIs" dxfId="461" priority="26" operator="greaterThan">
      <formula>0.0001</formula>
    </cfRule>
  </conditionalFormatting>
  <conditionalFormatting sqref="P22">
    <cfRule type="cellIs" dxfId="460" priority="162" stopIfTrue="1" operator="equal">
      <formula>0</formula>
    </cfRule>
    <cfRule type="containsBlanks" dxfId="459" priority="163" stopIfTrue="1">
      <formula>LEN(TRIM(P22))=0</formula>
    </cfRule>
    <cfRule type="cellIs" dxfId="458" priority="164" operator="lessThan">
      <formula>0.1</formula>
    </cfRule>
  </conditionalFormatting>
  <conditionalFormatting sqref="P23:P24">
    <cfRule type="cellIs" dxfId="457" priority="150" operator="greaterThanOrEqual">
      <formula>$N23</formula>
    </cfRule>
    <cfRule type="cellIs" dxfId="456" priority="151" operator="lessThan">
      <formula>$N23</formula>
    </cfRule>
  </conditionalFormatting>
  <conditionalFormatting sqref="P24">
    <cfRule type="cellIs" dxfId="455" priority="141" operator="greaterThanOrEqual">
      <formula>$N24</formula>
    </cfRule>
    <cfRule type="cellIs" dxfId="454" priority="142" operator="lessThan">
      <formula>$N24</formula>
    </cfRule>
    <cfRule type="cellIs" dxfId="453" priority="143" stopIfTrue="1" operator="equal">
      <formula>0</formula>
    </cfRule>
    <cfRule type="containsBlanks" dxfId="452" priority="144" stopIfTrue="1">
      <formula>LEN(TRIM(P24))=0</formula>
    </cfRule>
    <cfRule type="cellIs" dxfId="451" priority="145" operator="lessThan">
      <formula>0.1</formula>
    </cfRule>
    <cfRule type="cellIs" dxfId="450" priority="146" operator="lessThan">
      <formula>10</formula>
    </cfRule>
    <cfRule type="cellIs" dxfId="449" priority="147" operator="greaterThanOrEqual">
      <formula>10</formula>
    </cfRule>
    <cfRule type="cellIs" dxfId="448" priority="148" operator="greaterThanOrEqual">
      <formula>$N24</formula>
    </cfRule>
    <cfRule type="cellIs" dxfId="447" priority="149" operator="lessThan">
      <formula>$N24</formula>
    </cfRule>
  </conditionalFormatting>
  <conditionalFormatting sqref="P28:P29">
    <cfRule type="cellIs" dxfId="446" priority="118" operator="greaterThanOrEqual">
      <formula>$N28</formula>
    </cfRule>
    <cfRule type="cellIs" dxfId="445" priority="137" operator="lessThan">
      <formula>10</formula>
    </cfRule>
    <cfRule type="cellIs" dxfId="444" priority="138" operator="greaterThanOrEqual">
      <formula>10</formula>
    </cfRule>
    <cfRule type="cellIs" dxfId="443" priority="139" operator="greaterThanOrEqual">
      <formula>$N28</formula>
    </cfRule>
    <cfRule type="cellIs" dxfId="442" priority="140" operator="lessThan">
      <formula>$N28</formula>
    </cfRule>
    <cfRule type="cellIs" dxfId="441" priority="136" operator="lessThan">
      <formula>0.1</formula>
    </cfRule>
    <cfRule type="cellIs" dxfId="440" priority="123" operator="lessThan">
      <formula>10</formula>
    </cfRule>
    <cfRule type="containsBlanks" dxfId="439" priority="135" stopIfTrue="1">
      <formula>LEN(TRIM(P28))=0</formula>
    </cfRule>
    <cfRule type="cellIs" dxfId="438" priority="134" stopIfTrue="1" operator="equal">
      <formula>0</formula>
    </cfRule>
    <cfRule type="cellIs" dxfId="437" priority="124" operator="greaterThanOrEqual">
      <formula>10</formula>
    </cfRule>
    <cfRule type="cellIs" dxfId="436" priority="122" operator="lessThan">
      <formula>0.1</formula>
    </cfRule>
    <cfRule type="containsBlanks" dxfId="435" priority="121" stopIfTrue="1">
      <formula>LEN(TRIM(P28))=0</formula>
    </cfRule>
    <cfRule type="cellIs" dxfId="434" priority="120" stopIfTrue="1" operator="equal">
      <formula>0</formula>
    </cfRule>
    <cfRule type="cellIs" dxfId="433" priority="119" operator="lessThan">
      <formula>$N28</formula>
    </cfRule>
  </conditionalFormatting>
  <conditionalFormatting sqref="P29">
    <cfRule type="containsBlanks" dxfId="432" priority="128" stopIfTrue="1">
      <formula>LEN(TRIM(P29))=0</formula>
    </cfRule>
    <cfRule type="cellIs" dxfId="431" priority="129" operator="lessThan">
      <formula>0.1</formula>
    </cfRule>
    <cfRule type="cellIs" dxfId="430" priority="131" operator="greaterThanOrEqual">
      <formula>10</formula>
    </cfRule>
    <cfRule type="cellIs" dxfId="429" priority="132" operator="greaterThanOrEqual">
      <formula>$N29</formula>
    </cfRule>
    <cfRule type="cellIs" dxfId="428" priority="133" operator="lessThan">
      <formula>$N29</formula>
    </cfRule>
    <cfRule type="cellIs" dxfId="427" priority="130" operator="lessThan">
      <formula>10</formula>
    </cfRule>
    <cfRule type="cellIs" dxfId="426" priority="125" operator="greaterThanOrEqual">
      <formula>$N29</formula>
    </cfRule>
    <cfRule type="cellIs" dxfId="425" priority="126" operator="lessThan">
      <formula>$N29</formula>
    </cfRule>
    <cfRule type="cellIs" dxfId="424" priority="127" stopIfTrue="1" operator="equal">
      <formula>0</formula>
    </cfRule>
  </conditionalFormatting>
  <conditionalFormatting sqref="R33:R34 AB33:AB34">
    <cfRule type="containsBlanks" dxfId="423" priority="949" stopIfTrue="1">
      <formula>LEN(TRIM(R33))=0</formula>
    </cfRule>
    <cfRule type="cellIs" dxfId="422" priority="800" operator="equal">
      <formula>0</formula>
    </cfRule>
  </conditionalFormatting>
  <conditionalFormatting sqref="S12">
    <cfRule type="cellIs" dxfId="421" priority="3" operator="lessThan">
      <formula>0.1</formula>
    </cfRule>
    <cfRule type="containsBlanks" dxfId="420" priority="2" stopIfTrue="1">
      <formula>LEN(TRIM(S12))=0</formula>
    </cfRule>
    <cfRule type="cellIs" dxfId="419" priority="1" stopIfTrue="1" operator="equal">
      <formula>0</formula>
    </cfRule>
  </conditionalFormatting>
  <conditionalFormatting sqref="T18 T33">
    <cfRule type="cellIs" dxfId="418" priority="450" operator="greaterThanOrEqual">
      <formula>10</formula>
    </cfRule>
    <cfRule type="cellIs" dxfId="417" priority="449" operator="lessThan">
      <formula>10</formula>
    </cfRule>
    <cfRule type="cellIs" dxfId="416" priority="448" operator="lessThan">
      <formula>0.1</formula>
    </cfRule>
    <cfRule type="containsBlanks" dxfId="415" priority="447" stopIfTrue="1">
      <formula>LEN(TRIM(T18))=0</formula>
    </cfRule>
  </conditionalFormatting>
  <conditionalFormatting sqref="T23">
    <cfRule type="containsBlanks" dxfId="414" priority="328" stopIfTrue="1">
      <formula>LEN(TRIM(T23))=0</formula>
    </cfRule>
    <cfRule type="cellIs" dxfId="413" priority="331" operator="greaterThanOrEqual">
      <formula>10</formula>
    </cfRule>
    <cfRule type="cellIs" dxfId="412" priority="327" stopIfTrue="1" operator="equal">
      <formula>0</formula>
    </cfRule>
    <cfRule type="cellIs" dxfId="411" priority="329" operator="lessThan">
      <formula>0.1</formula>
    </cfRule>
    <cfRule type="cellIs" dxfId="410" priority="330" operator="lessThan">
      <formula>10</formula>
    </cfRule>
  </conditionalFormatting>
  <conditionalFormatting sqref="T28">
    <cfRule type="cellIs" dxfId="409" priority="440" operator="greaterThanOrEqual">
      <formula>10</formula>
    </cfRule>
    <cfRule type="cellIs" dxfId="408" priority="438" operator="lessThan">
      <formula>0.1</formula>
    </cfRule>
    <cfRule type="cellIs" dxfId="407" priority="439" operator="lessThan">
      <formula>10</formula>
    </cfRule>
    <cfRule type="containsBlanks" dxfId="406" priority="437" stopIfTrue="1">
      <formula>LEN(TRIM(T28))=0</formula>
    </cfRule>
    <cfRule type="cellIs" dxfId="405" priority="436" stopIfTrue="1" operator="equal">
      <formula>0</formula>
    </cfRule>
  </conditionalFormatting>
  <conditionalFormatting sqref="T33 T18">
    <cfRule type="cellIs" dxfId="404" priority="446" stopIfTrue="1" operator="equal">
      <formula>0</formula>
    </cfRule>
  </conditionalFormatting>
  <conditionalFormatting sqref="T33">
    <cfRule type="cellIs" dxfId="403" priority="75" operator="lessThan">
      <formula>0.1</formula>
    </cfRule>
    <cfRule type="containsBlanks" dxfId="402" priority="74" stopIfTrue="1">
      <formula>LEN(TRIM(T33))=0</formula>
    </cfRule>
    <cfRule type="cellIs" dxfId="401" priority="73" stopIfTrue="1" operator="equal">
      <formula>0</formula>
    </cfRule>
    <cfRule type="cellIs" dxfId="400" priority="77" operator="greaterThanOrEqual">
      <formula>10</formula>
    </cfRule>
    <cfRule type="cellIs" dxfId="399" priority="76" operator="lessThan">
      <formula>10</formula>
    </cfRule>
    <cfRule type="cellIs" dxfId="398" priority="262" operator="lessThan">
      <formula>10</formula>
    </cfRule>
    <cfRule type="cellIs" dxfId="397" priority="259" stopIfTrue="1" operator="equal">
      <formula>0</formula>
    </cfRule>
    <cfRule type="containsBlanks" dxfId="396" priority="260" stopIfTrue="1">
      <formula>LEN(TRIM(T33))=0</formula>
    </cfRule>
    <cfRule type="cellIs" dxfId="395" priority="261" operator="lessThan">
      <formula>0.1</formula>
    </cfRule>
    <cfRule type="cellIs" dxfId="394" priority="263" operator="greaterThanOrEqual">
      <formula>10</formula>
    </cfRule>
  </conditionalFormatting>
  <conditionalFormatting sqref="W18:Y20 W23:Y24 W28:Y29">
    <cfRule type="cellIs" dxfId="393" priority="432" operator="greaterThanOrEqual">
      <formula>$F18</formula>
    </cfRule>
    <cfRule type="cellIs" dxfId="392" priority="433" operator="lessThan">
      <formula>$F18</formula>
    </cfRule>
  </conditionalFormatting>
  <conditionalFormatting sqref="W18:AA20 W23:AA24">
    <cfRule type="cellIs" dxfId="391" priority="403" operator="lessThan">
      <formula>0.1</formula>
    </cfRule>
    <cfRule type="cellIs" dxfId="390" priority="405" operator="greaterThanOrEqual">
      <formula>10</formula>
    </cfRule>
    <cfRule type="cellIs" dxfId="389" priority="401" stopIfTrue="1" operator="equal">
      <formula>0</formula>
    </cfRule>
    <cfRule type="cellIs" dxfId="388" priority="404" operator="lessThan">
      <formula>10</formula>
    </cfRule>
    <cfRule type="containsBlanks" dxfId="387" priority="402" stopIfTrue="1">
      <formula>LEN(TRIM(W18))=0</formula>
    </cfRule>
  </conditionalFormatting>
  <conditionalFormatting sqref="W28:AA29">
    <cfRule type="cellIs" dxfId="386" priority="387" operator="lessThan">
      <formula>10</formula>
    </cfRule>
    <cfRule type="cellIs" dxfId="385" priority="388" operator="greaterThanOrEqual">
      <formula>10</formula>
    </cfRule>
    <cfRule type="cellIs" dxfId="384" priority="386" operator="lessThan">
      <formula>0.1</formula>
    </cfRule>
    <cfRule type="cellIs" dxfId="383" priority="384" stopIfTrue="1" operator="equal">
      <formula>0</formula>
    </cfRule>
    <cfRule type="containsBlanks" dxfId="382" priority="385" stopIfTrue="1">
      <formula>LEN(TRIM(W28))=0</formula>
    </cfRule>
  </conditionalFormatting>
  <conditionalFormatting sqref="W33:AA34">
    <cfRule type="cellIs" dxfId="381" priority="231" operator="lessThan">
      <formula>0.1</formula>
    </cfRule>
    <cfRule type="cellIs" dxfId="380" priority="232" operator="lessThan">
      <formula>10</formula>
    </cfRule>
    <cfRule type="cellIs" dxfId="379" priority="233" operator="greaterThanOrEqual">
      <formula>10</formula>
    </cfRule>
    <cfRule type="cellIs" dxfId="378" priority="234" operator="lessThan">
      <formula>$F33</formula>
    </cfRule>
    <cfRule type="cellIs" dxfId="377" priority="235" operator="greaterThanOrEqual">
      <formula>$F33</formula>
    </cfRule>
    <cfRule type="cellIs" dxfId="376" priority="229" stopIfTrue="1" operator="equal">
      <formula>0</formula>
    </cfRule>
    <cfRule type="containsBlanks" dxfId="375" priority="230" stopIfTrue="1">
      <formula>LEN(TRIM(W33))=0</formula>
    </cfRule>
  </conditionalFormatting>
  <conditionalFormatting sqref="Y28:Y29">
    <cfRule type="cellIs" dxfId="374" priority="370" operator="lessThan">
      <formula>0.1</formula>
    </cfRule>
    <cfRule type="cellIs" dxfId="373" priority="371" operator="lessThan">
      <formula>10</formula>
    </cfRule>
    <cfRule type="cellIs" dxfId="372" priority="372" operator="greaterThanOrEqual">
      <formula>10</formula>
    </cfRule>
    <cfRule type="cellIs" dxfId="371" priority="368" stopIfTrue="1" operator="equal">
      <formula>0</formula>
    </cfRule>
    <cfRule type="containsBlanks" dxfId="370" priority="369" stopIfTrue="1">
      <formula>LEN(TRIM(Y28))=0</formula>
    </cfRule>
  </conditionalFormatting>
  <conditionalFormatting sqref="Y28:AA28">
    <cfRule type="cellIs" dxfId="369" priority="312" operator="greaterThanOrEqual">
      <formula>10</formula>
    </cfRule>
    <cfRule type="cellIs" dxfId="368" priority="311" operator="lessThan">
      <formula>10</formula>
    </cfRule>
    <cfRule type="cellIs" dxfId="367" priority="310" operator="lessThan">
      <formula>0.1</formula>
    </cfRule>
    <cfRule type="containsBlanks" dxfId="366" priority="309" stopIfTrue="1">
      <formula>LEN(TRIM(Y28))=0</formula>
    </cfRule>
    <cfRule type="cellIs" dxfId="365" priority="308" stopIfTrue="1" operator="equal">
      <formula>0</formula>
    </cfRule>
  </conditionalFormatting>
  <conditionalFormatting sqref="Y28:AA29">
    <cfRule type="cellIs" dxfId="364" priority="301" stopIfTrue="1" operator="equal">
      <formula>0</formula>
    </cfRule>
    <cfRule type="containsBlanks" dxfId="363" priority="302" stopIfTrue="1">
      <formula>LEN(TRIM(Y28))=0</formula>
    </cfRule>
    <cfRule type="cellIs" dxfId="362" priority="303" operator="lessThan">
      <formula>0.1</formula>
    </cfRule>
    <cfRule type="cellIs" dxfId="361" priority="304" operator="lessThan">
      <formula>10</formula>
    </cfRule>
    <cfRule type="cellIs" dxfId="360" priority="305" operator="greaterThanOrEqual">
      <formula>10</formula>
    </cfRule>
  </conditionalFormatting>
  <conditionalFormatting sqref="Z18:Z20 Z23:Z24 Z28:Z29">
    <cfRule type="cellIs" dxfId="359" priority="418" operator="greaterThanOrEqual">
      <formula>$N18</formula>
    </cfRule>
    <cfRule type="cellIs" dxfId="358" priority="419" operator="lessThan">
      <formula>$N18</formula>
    </cfRule>
  </conditionalFormatting>
  <conditionalFormatting sqref="AA18:AA20 AA23:AA24">
    <cfRule type="cellIs" dxfId="357" priority="407" operator="lessThan">
      <formula>$F18</formula>
    </cfRule>
    <cfRule type="cellIs" dxfId="356" priority="406" operator="greaterThanOrEqual">
      <formula>$F18</formula>
    </cfRule>
  </conditionalFormatting>
  <conditionalFormatting sqref="AA28">
    <cfRule type="cellIs" dxfId="355" priority="314" operator="lessThan">
      <formula>$F28</formula>
    </cfRule>
    <cfRule type="cellIs" dxfId="354" priority="313" operator="greaterThanOrEqual">
      <formula>$F28</formula>
    </cfRule>
  </conditionalFormatting>
  <conditionalFormatting sqref="AA28:AA29">
    <cfRule type="cellIs" dxfId="353" priority="390" operator="lessThan">
      <formula>$F28</formula>
    </cfRule>
    <cfRule type="cellIs" dxfId="352" priority="307" operator="lessThan">
      <formula>$F28</formula>
    </cfRule>
    <cfRule type="cellIs" dxfId="351" priority="389" operator="greaterThanOrEqual">
      <formula>$F28</formula>
    </cfRule>
    <cfRule type="cellIs" dxfId="350" priority="306" operator="greaterThanOrEqual">
      <formula>$F28</formula>
    </cfRule>
  </conditionalFormatting>
  <dataValidations count="1">
    <dataValidation allowBlank="1" showErrorMessage="1" sqref="F14:H14 C8 K8 C12 S8 E12" xr:uid="{00000000-0002-0000-0200-000005000000}"/>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44E4887F-EC09-4DD3-A7BB-3FED90528BBA}">
          <x14:formula1>
            <xm:f>'List Values'!$D$23:$D$25</xm:f>
          </x14:formula1>
          <xm:sqref>G4</xm:sqref>
        </x14:dataValidation>
        <x14:dataValidation type="list" allowBlank="1" showInputMessage="1" showErrorMessage="1" xr:uid="{7A257FB3-03C7-4DEF-9441-F0399894DF14}">
          <x14:formula1>
            <xm:f>'List Values'!$B$2:$B$20</xm:f>
          </x14:formula1>
          <xm:sqref>C4</xm:sqref>
        </x14:dataValidation>
        <x14:dataValidation type="list" allowBlank="1" showInputMessage="1" showErrorMessage="1" xr:uid="{B0688B23-6125-49FA-9B9F-BE3A00B4E2DD}">
          <x14:formula1>
            <xm:f>'List Values'!$D$15:$D$20</xm:f>
          </x14:formula1>
          <xm:sqref>F4</xm:sqref>
        </x14:dataValidation>
        <x14:dataValidation type="list" allowBlank="1" showInputMessage="1" showErrorMessage="1" xr:uid="{3D820074-6605-408F-8FB7-476692367AAF}">
          <x14:formula1>
            <xm:f>'List Values'!D6:D7</xm:f>
          </x14:formula1>
          <xm:sqref>H4</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0AD8A6-1677-465E-88B2-1343E7284108}">
  <sheetPr codeName="Sheet3">
    <tabColor rgb="FF92D050"/>
  </sheetPr>
  <dimension ref="A1:Z56"/>
  <sheetViews>
    <sheetView topLeftCell="C1" workbookViewId="0">
      <selection activeCell="C1" sqref="C1"/>
    </sheetView>
  </sheetViews>
  <sheetFormatPr defaultColWidth="8.81640625" defaultRowHeight="13" x14ac:dyDescent="0.35"/>
  <cols>
    <col min="1" max="1" width="2.1796875" style="12" customWidth="1"/>
    <col min="2" max="2" width="8.453125" style="9" hidden="1" customWidth="1"/>
    <col min="3" max="3" width="17.1796875" style="10" customWidth="1"/>
    <col min="4" max="4" width="13.54296875" style="11" customWidth="1"/>
    <col min="5" max="5" width="15.81640625" style="10" customWidth="1"/>
    <col min="6" max="6" width="13.453125" style="10" customWidth="1"/>
    <col min="7" max="7" width="2.1796875" style="12" customWidth="1"/>
    <col min="8" max="8" width="15" style="12" customWidth="1"/>
    <col min="9" max="9" width="23" style="12" customWidth="1"/>
    <col min="10" max="10" width="17.453125" style="12" customWidth="1"/>
    <col min="11" max="11" width="15.54296875" style="12" customWidth="1"/>
    <col min="12" max="14" width="21.54296875" style="12" customWidth="1"/>
    <col min="15" max="15" width="10.1796875" style="12" bestFit="1" customWidth="1"/>
    <col min="16" max="16" width="11.1796875" style="12" bestFit="1" customWidth="1"/>
    <col min="17" max="17" width="2.81640625" style="12" customWidth="1"/>
    <col min="18" max="18" width="23.1796875" style="12" customWidth="1"/>
    <col min="19" max="19" width="18.1796875" style="12" customWidth="1"/>
    <col min="20" max="20" width="21.1796875" style="12" customWidth="1"/>
    <col min="21" max="23" width="23.1796875" style="12" customWidth="1"/>
    <col min="24" max="24" width="17" style="12" customWidth="1"/>
    <col min="25" max="25" width="13.1796875" style="12" customWidth="1"/>
    <col min="26" max="16384" width="8.81640625" style="12"/>
  </cols>
  <sheetData>
    <row r="1" spans="2:26" ht="13.5" thickBot="1" x14ac:dyDescent="0.4">
      <c r="C1" s="680"/>
      <c r="D1" s="9"/>
      <c r="E1" s="12"/>
      <c r="F1" s="12"/>
    </row>
    <row r="2" spans="2:26" ht="29.15" customHeight="1" thickBot="1" x14ac:dyDescent="0.4">
      <c r="C2" s="92" t="s">
        <v>64</v>
      </c>
      <c r="D2" s="545" t="s">
        <v>65</v>
      </c>
      <c r="E2" s="546"/>
      <c r="F2" s="13" t="s">
        <v>67</v>
      </c>
      <c r="J2" s="14"/>
      <c r="K2" s="14"/>
      <c r="U2" s="14"/>
    </row>
    <row r="3" spans="2:26" ht="52" x14ac:dyDescent="0.35">
      <c r="C3" s="93" t="s">
        <v>68</v>
      </c>
      <c r="D3" s="498" t="s">
        <v>69</v>
      </c>
      <c r="E3" s="516"/>
      <c r="F3" s="96" t="s">
        <v>72</v>
      </c>
      <c r="J3" s="14"/>
    </row>
    <row r="4" spans="2:26" ht="23.25" customHeight="1" thickBot="1" x14ac:dyDescent="0.4">
      <c r="C4" s="18" t="s">
        <v>141</v>
      </c>
      <c r="D4" s="514" t="str">
        <f>_xlfn.XLOOKUP($C$4,Inhalation_Exp[OES],Inhalation_Exp[Data Type])</f>
        <v>Monitoring Data</v>
      </c>
      <c r="E4" s="515"/>
      <c r="F4" s="99" t="s">
        <v>94</v>
      </c>
      <c r="J4" s="14"/>
    </row>
    <row r="5" spans="2:26" ht="24.75" customHeight="1" x14ac:dyDescent="0.35">
      <c r="I5" s="14"/>
      <c r="J5" s="14"/>
      <c r="K5" s="16"/>
      <c r="L5" s="16"/>
      <c r="M5" s="16"/>
      <c r="N5" s="20"/>
    </row>
    <row r="6" spans="2:26" ht="15.5" x14ac:dyDescent="0.35">
      <c r="I6" s="200" t="s">
        <v>142</v>
      </c>
      <c r="J6" s="22"/>
      <c r="K6" s="14"/>
      <c r="L6" s="16"/>
      <c r="M6" s="16"/>
      <c r="N6" s="14"/>
      <c r="R6" s="200" t="s">
        <v>67</v>
      </c>
      <c r="U6" s="10"/>
      <c r="V6" s="16"/>
      <c r="W6" s="14"/>
    </row>
    <row r="7" spans="2:26" ht="15.75" customHeight="1" thickBot="1" x14ac:dyDescent="0.4">
      <c r="I7" s="201" t="s">
        <v>77</v>
      </c>
      <c r="J7" s="9"/>
      <c r="N7" s="16"/>
      <c r="R7" s="201" t="s">
        <v>77</v>
      </c>
      <c r="T7" s="10"/>
      <c r="U7" s="16"/>
    </row>
    <row r="8" spans="2:26" ht="23.25" customHeight="1" x14ac:dyDescent="0.35">
      <c r="I8" s="520" t="s">
        <v>78</v>
      </c>
      <c r="J8" s="491" t="s">
        <v>79</v>
      </c>
      <c r="K8" s="456" t="s">
        <v>143</v>
      </c>
      <c r="L8" s="456" t="s">
        <v>81</v>
      </c>
      <c r="M8" s="456" t="s">
        <v>144</v>
      </c>
      <c r="N8" s="19" t="s">
        <v>145</v>
      </c>
      <c r="R8" s="520" t="s">
        <v>78</v>
      </c>
      <c r="S8" s="491" t="s">
        <v>79</v>
      </c>
      <c r="T8" s="456" t="s">
        <v>146</v>
      </c>
      <c r="U8" s="456" t="s">
        <v>81</v>
      </c>
      <c r="V8" s="456" t="s">
        <v>147</v>
      </c>
      <c r="W8" s="19" t="s">
        <v>148</v>
      </c>
    </row>
    <row r="9" spans="2:26" ht="27" customHeight="1" x14ac:dyDescent="0.35">
      <c r="H9" s="9"/>
      <c r="I9" s="521"/>
      <c r="J9" s="507"/>
      <c r="K9" s="457" t="s">
        <v>85</v>
      </c>
      <c r="L9" s="457" t="s">
        <v>86</v>
      </c>
      <c r="M9" s="457" t="s">
        <v>87</v>
      </c>
      <c r="N9" s="24" t="s">
        <v>88</v>
      </c>
      <c r="R9" s="521"/>
      <c r="S9" s="507"/>
      <c r="T9" s="457" t="s">
        <v>149</v>
      </c>
      <c r="U9" s="457" t="s">
        <v>86</v>
      </c>
      <c r="V9" s="457" t="s">
        <v>150</v>
      </c>
      <c r="W9" s="24" t="s">
        <v>151</v>
      </c>
    </row>
    <row r="10" spans="2:26" ht="12.75" customHeight="1" x14ac:dyDescent="0.35">
      <c r="H10" s="9"/>
      <c r="I10" s="526" t="str">
        <f>$F$4</f>
        <v>ONU</v>
      </c>
      <c r="J10" s="339" t="s">
        <v>92</v>
      </c>
      <c r="K10" s="340">
        <f>SUMIFS(Inhalation_Exp[24hr_High-End],Inhalation_Exp[OES],$C$4,Inhalation_Exp[Worker Type],$I10,Inhalation_Exp[Data Type],$D$4)</f>
        <v>8.9249999999999996E-2</v>
      </c>
      <c r="L10" s="340">
        <f>SUMIFS(Inhalation_Exp[Int_High-End],Inhalation_Exp[OES],$C$4,Inhalation_Exp[Worker Type],$I10,Inhalation_Exp[Data Type],$D$4)</f>
        <v>6.5449999999999994E-2</v>
      </c>
      <c r="M10" s="340">
        <f>SUMIFS(Inhalation_Exp[ADD_High-End],Inhalation_Exp[OES],$C$4,Inhalation_Exp[Worker Type],$I10,Inhalation_Exp[Data Type],$D$4)</f>
        <v>6.1130136986301369E-2</v>
      </c>
      <c r="N10" s="341">
        <f>SUMIFS(Inhalation_Exp[LADD_High-End],Inhalation_Exp[OES],$C$4,Inhalation_Exp[Worker Type],$I10,Inhalation_Exp[Data Type],$D$4)</f>
        <v>3.1348788198103265E-2</v>
      </c>
      <c r="R10" s="526" t="str">
        <f>$F$4</f>
        <v>ONU</v>
      </c>
      <c r="S10" s="339" t="s">
        <v>92</v>
      </c>
      <c r="T10" s="340">
        <f>SUMIFS(Dermal_Exp[High-End AD (mg/kg-day)],Dermal_Exp[Worker Type],$R$10,Dermal_Exp[OES],$C$4)</f>
        <v>2.9828399999999996E-3</v>
      </c>
      <c r="U10" s="340">
        <f>SUMIFS(Dermal_Exp[High-End IADD (mg/kg-day)],Dermal_Exp[Worker Type],$R$10,Dermal_Exp[OES],$C$4)</f>
        <v>2.1874159999999998E-3</v>
      </c>
      <c r="V10" s="340">
        <f>SUMIFS(Dermal_Exp[High-End ADD (mg/kg-day)],Dermal_Exp[Worker Type],$R$10,Dermal_Exp[OES],$C$4)</f>
        <v>2.0430410958904104E-3</v>
      </c>
      <c r="W10" s="341">
        <f>SUMIFS(Dermal_Exp[High-End LADD (mg/kg-day)],Dermal_Exp[Worker Type],$R$10,Dermal_Exp[OES],$C$4)</f>
        <v>1.047713382507903E-3</v>
      </c>
      <c r="Z10" s="255"/>
    </row>
    <row r="11" spans="2:26" x14ac:dyDescent="0.35">
      <c r="H11" s="9"/>
      <c r="I11" s="527"/>
      <c r="J11" s="342" t="s">
        <v>93</v>
      </c>
      <c r="K11" s="343">
        <f>SUMIFS(Inhalation_Exp[24hr_Central Tendency],Inhalation_Exp[OES],$C$4,Inhalation_Exp[Worker Type],$I10,Inhalation_Exp[Data Type],$D$4)</f>
        <v>8.9249999999999996E-2</v>
      </c>
      <c r="L11" s="343">
        <f>SUMIFS(Inhalation_Exp[Int_Central Tendency],Inhalation_Exp[OES],$C$4,Inhalation_Exp[Worker Type],$I10,Inhalation_Exp[Data Type],$D$4)</f>
        <v>6.5449999999999994E-2</v>
      </c>
      <c r="M11" s="343">
        <f>SUMIFS(Inhalation_Exp[ADD_Central Tendency],Inhalation_Exp[OES],$C$4,Inhalation_Exp[Worker Type],$I10,Inhalation_Exp[Data Type],$D$4)</f>
        <v>5.4528082191780819E-2</v>
      </c>
      <c r="N11" s="344">
        <f>SUMIFS(Inhalation_Exp[LADD_Central Tendency],Inhalation_Exp[OES],$C$4,Inhalation_Exp[Worker Type],$I10,Inhalation_Exp[Data Type],$D$4)</f>
        <v>2.1671417281348786E-2</v>
      </c>
      <c r="R11" s="527"/>
      <c r="S11" s="342" t="s">
        <v>93</v>
      </c>
      <c r="T11" s="343">
        <f>SUMIFS(Dermal_Exp[Central Tendency AD (mg/kg-day)],Dermal_Exp[Worker Type],$R$10,Dermal_Exp[OES],$C$4)</f>
        <v>2.9828399999999996E-3</v>
      </c>
      <c r="U11" s="343">
        <f>SUMIFS(Dermal_Exp[Central Tendency IADD (mg/kg-day)],Dermal_Exp[Worker Type],$R$10,Dermal_Exp[OES],$C$4)</f>
        <v>2.1874159999999998E-3</v>
      </c>
      <c r="V11" s="343">
        <f>SUMIFS(Dermal_Exp[Central Tendency ADD (mg/kg-day)],Dermal_Exp[Worker Type],$R$10,Dermal_Exp[OES],$C$4)</f>
        <v>1.8223926575342464E-3</v>
      </c>
      <c r="W11" s="344">
        <f>SUMIFS(Dermal_Exp[Central Tendency LADD (mg/kg-day)],Dermal_Exp[Worker Type],$R$10,Dermal_Exp[OES],$C$4)</f>
        <v>7.2428426132771333E-4</v>
      </c>
      <c r="Z11" s="255"/>
    </row>
    <row r="12" spans="2:26" ht="12.75" customHeight="1" x14ac:dyDescent="0.35">
      <c r="H12" s="9"/>
      <c r="R12" s="559"/>
      <c r="S12" s="256"/>
      <c r="T12" s="228"/>
      <c r="U12" s="228"/>
      <c r="V12" s="228"/>
      <c r="W12" s="228"/>
      <c r="Z12" s="255"/>
    </row>
    <row r="13" spans="2:26" ht="15.75" customHeight="1" x14ac:dyDescent="0.35">
      <c r="H13" s="9"/>
      <c r="I13" s="9"/>
      <c r="J13" s="10"/>
      <c r="K13" s="228"/>
      <c r="L13" s="228"/>
      <c r="M13" s="228"/>
      <c r="N13" s="228"/>
      <c r="R13" s="560"/>
      <c r="S13" s="256"/>
      <c r="T13" s="228"/>
      <c r="U13" s="228"/>
      <c r="V13" s="228"/>
      <c r="W13" s="228"/>
    </row>
    <row r="14" spans="2:26" s="14" customFormat="1" x14ac:dyDescent="0.35">
      <c r="B14" s="22"/>
      <c r="C14" s="28"/>
      <c r="D14" s="28"/>
      <c r="E14" s="28"/>
      <c r="F14" s="28"/>
      <c r="G14" s="28"/>
      <c r="H14" s="29"/>
      <c r="I14" s="16"/>
      <c r="K14" s="29"/>
      <c r="L14" s="29"/>
      <c r="M14" s="29"/>
      <c r="N14" s="29"/>
      <c r="O14" s="29"/>
      <c r="P14" s="29"/>
      <c r="R14" s="28"/>
      <c r="S14" s="29"/>
      <c r="T14" s="16"/>
      <c r="V14" s="29"/>
    </row>
    <row r="15" spans="2:26" s="14" customFormat="1" ht="15.5" thickBot="1" x14ac:dyDescent="0.4">
      <c r="B15" s="22"/>
      <c r="C15" s="16"/>
      <c r="D15" s="30"/>
      <c r="E15" s="30"/>
      <c r="F15" s="30"/>
      <c r="G15" s="31"/>
      <c r="H15" s="202" t="s">
        <v>152</v>
      </c>
      <c r="I15" s="16"/>
      <c r="K15" s="29"/>
      <c r="L15" s="558"/>
      <c r="M15" s="558"/>
      <c r="N15" s="460"/>
      <c r="O15" s="460"/>
      <c r="R15" s="203" t="s">
        <v>153</v>
      </c>
      <c r="S15" s="32"/>
      <c r="T15" s="32"/>
    </row>
    <row r="16" spans="2:26" s="14" customFormat="1" ht="12.75" customHeight="1" x14ac:dyDescent="0.35">
      <c r="B16" s="22"/>
      <c r="C16" s="552" t="s">
        <v>154</v>
      </c>
      <c r="D16" s="552" t="s">
        <v>155</v>
      </c>
      <c r="E16" s="552"/>
      <c r="F16" s="549" t="s">
        <v>156</v>
      </c>
      <c r="G16" s="33"/>
      <c r="H16" s="530" t="s">
        <v>157</v>
      </c>
      <c r="I16" s="491" t="s">
        <v>79</v>
      </c>
      <c r="J16" s="498" t="s">
        <v>100</v>
      </c>
      <c r="K16" s="498" t="str">
        <f>_xlfn.CONCAT("Exposure Estimates: ",$F$4," MOE")</f>
        <v>Exposure Estimates: ONU MOE</v>
      </c>
      <c r="L16" s="556"/>
      <c r="M16" s="556"/>
      <c r="N16" s="556"/>
      <c r="O16" s="556"/>
      <c r="P16" s="516"/>
      <c r="Q16" s="33"/>
      <c r="R16" s="530" t="s">
        <v>99</v>
      </c>
      <c r="S16" s="491" t="s">
        <v>79</v>
      </c>
      <c r="T16" s="489" t="s">
        <v>100</v>
      </c>
      <c r="U16" s="555" t="str">
        <f>_xlfn.CONCAT("Exposure Estimates: ",$F$4," MOE")</f>
        <v>Exposure Estimates: ONU MOE</v>
      </c>
      <c r="V16" s="556"/>
      <c r="W16" s="556"/>
      <c r="X16" s="516"/>
    </row>
    <row r="17" spans="1:24" s="14" customFormat="1" ht="12.75" customHeight="1" x14ac:dyDescent="0.35">
      <c r="B17" s="22"/>
      <c r="C17" s="553"/>
      <c r="D17" s="553"/>
      <c r="E17" s="553"/>
      <c r="F17" s="550"/>
      <c r="G17" s="34"/>
      <c r="H17" s="503"/>
      <c r="I17" s="507"/>
      <c r="J17" s="557"/>
      <c r="K17" s="459"/>
      <c r="L17" s="564" t="s">
        <v>158</v>
      </c>
      <c r="M17" s="565"/>
      <c r="N17" s="565"/>
      <c r="O17" s="565"/>
      <c r="P17" s="566"/>
      <c r="Q17" s="34"/>
      <c r="R17" s="503"/>
      <c r="S17" s="507"/>
      <c r="T17" s="508"/>
      <c r="U17" s="561" t="s">
        <v>159</v>
      </c>
      <c r="V17" s="563" t="s">
        <v>160</v>
      </c>
      <c r="W17" s="563"/>
      <c r="X17" s="563"/>
    </row>
    <row r="18" spans="1:24" s="14" customFormat="1" x14ac:dyDescent="0.35">
      <c r="B18" s="22"/>
      <c r="C18" s="553"/>
      <c r="D18" s="554"/>
      <c r="E18" s="554"/>
      <c r="F18" s="550"/>
      <c r="G18" s="34"/>
      <c r="H18" s="551"/>
      <c r="I18" s="507"/>
      <c r="J18" s="511"/>
      <c r="K18" s="457" t="s">
        <v>161</v>
      </c>
      <c r="L18" s="457">
        <f>'List Values'!$D$15</f>
        <v>5</v>
      </c>
      <c r="M18" s="457">
        <f>'List Values'!$D$17</f>
        <v>25</v>
      </c>
      <c r="N18" s="457">
        <f>'List Values'!$D$18</f>
        <v>50</v>
      </c>
      <c r="O18" s="457">
        <f>'List Values'!$D$19</f>
        <v>1000</v>
      </c>
      <c r="P18" s="24">
        <f>'List Values'!$D$20</f>
        <v>10000</v>
      </c>
      <c r="Q18" s="34"/>
      <c r="R18" s="531"/>
      <c r="S18" s="507"/>
      <c r="T18" s="508"/>
      <c r="U18" s="562"/>
      <c r="V18" s="212">
        <f>'List Values'!D23</f>
        <v>5</v>
      </c>
      <c r="W18" s="212">
        <f>'List Values'!$D$24</f>
        <v>10</v>
      </c>
      <c r="X18" s="263">
        <f>'List Values'!$D$25</f>
        <v>20</v>
      </c>
    </row>
    <row r="19" spans="1:24" s="14" customFormat="1" ht="19.5" customHeight="1" x14ac:dyDescent="0.35">
      <c r="B19" s="20" t="s">
        <v>108</v>
      </c>
      <c r="C19" s="541" t="s">
        <v>162</v>
      </c>
      <c r="D19" s="543" t="str">
        <f>_xlfn.XLOOKUP($B19,Tox_Table[Code],Tox_Table[Health Effect])</f>
        <v>Phthalate syndrome-related effects</v>
      </c>
      <c r="E19" s="543">
        <f>_xlfn.XLOOKUP($B19,Tox_Table[Code],Tox_Table[Endpoint])</f>
        <v>0</v>
      </c>
      <c r="F19" s="547">
        <f>_xlfn.XLOOKUP($B19,Tox_Table[Code],Tox_Table[Study])</f>
        <v>0</v>
      </c>
      <c r="G19" s="36"/>
      <c r="H19" s="571">
        <f>_xlfn.XLOOKUP($B19, Tox_Table[Code],Tox_Table[HED / POD (mg/kg/day)], FALSE)</f>
        <v>12</v>
      </c>
      <c r="I19" s="258" t="s">
        <v>92</v>
      </c>
      <c r="J19" s="464">
        <f>_xlfn.XLOOKUP($B19,Tox_Table[Code],Tox_Table[Benchmark MOE])</f>
        <v>30</v>
      </c>
      <c r="K19" s="44">
        <f>IFERROR($H19/$K10, "")</f>
        <v>134.45378151260505</v>
      </c>
      <c r="L19" s="44">
        <f t="shared" ref="L19:P20" si="0">IFERROR($H$19/($K10/L$18), "")</f>
        <v>672.26890756302532</v>
      </c>
      <c r="M19" s="44">
        <f t="shared" si="0"/>
        <v>3361.3445378151264</v>
      </c>
      <c r="N19" s="44">
        <f t="shared" si="0"/>
        <v>6722.6890756302528</v>
      </c>
      <c r="O19" s="44">
        <f t="shared" si="0"/>
        <v>134453.78151260503</v>
      </c>
      <c r="P19" s="45">
        <f t="shared" si="0"/>
        <v>1344537.8151260505</v>
      </c>
      <c r="Q19" s="36"/>
      <c r="R19" s="569">
        <f>_xlfn.XLOOKUP($B19, Tox_Table[Code],Tox_Table[HED / POD (mg/kg/day)], FALSE)</f>
        <v>12</v>
      </c>
      <c r="S19" s="43" t="s">
        <v>92</v>
      </c>
      <c r="T19" s="464">
        <f>_xlfn.XLOOKUP($B19,Tox_Table[Code],Tox_Table[Benchmark MOE])</f>
        <v>30</v>
      </c>
      <c r="U19" s="37">
        <f>IFERROR(($R$19/$T10), "")</f>
        <v>4023.0116265036013</v>
      </c>
      <c r="V19" s="44">
        <f>IFERROR(($R$19/($T10/$V$18)), "")</f>
        <v>20115.058132518006</v>
      </c>
      <c r="W19" s="44">
        <f>IFERROR(($R$19/($T10/$W$18)), "")</f>
        <v>40230.116265036013</v>
      </c>
      <c r="X19" s="45">
        <f>IFERROR(($R$19/($T10/$X$18)), "")</f>
        <v>80460.232530072026</v>
      </c>
    </row>
    <row r="20" spans="1:24" s="14" customFormat="1" ht="19.5" customHeight="1" x14ac:dyDescent="0.35">
      <c r="B20" s="20" t="s">
        <v>108</v>
      </c>
      <c r="C20" s="542"/>
      <c r="D20" s="544"/>
      <c r="E20" s="544"/>
      <c r="F20" s="548"/>
      <c r="G20" s="36"/>
      <c r="H20" s="572"/>
      <c r="I20" s="259" t="s">
        <v>93</v>
      </c>
      <c r="J20" s="466">
        <f>_xlfn.XLOOKUP($B20,Tox_Table[Code],Tox_Table[Benchmark MOE])</f>
        <v>30</v>
      </c>
      <c r="K20" s="40">
        <f>IFERROR($H19/$K$11, "")</f>
        <v>134.45378151260505</v>
      </c>
      <c r="L20" s="234">
        <f t="shared" si="0"/>
        <v>672.26890756302532</v>
      </c>
      <c r="M20" s="234">
        <f t="shared" si="0"/>
        <v>3361.3445378151264</v>
      </c>
      <c r="N20" s="234">
        <f t="shared" si="0"/>
        <v>6722.6890756302528</v>
      </c>
      <c r="O20" s="234">
        <f t="shared" si="0"/>
        <v>134453.78151260503</v>
      </c>
      <c r="P20" s="239">
        <f t="shared" si="0"/>
        <v>1344537.8151260505</v>
      </c>
      <c r="Q20" s="36"/>
      <c r="R20" s="570"/>
      <c r="S20" s="39" t="s">
        <v>93</v>
      </c>
      <c r="T20" s="466">
        <f>_xlfn.XLOOKUP($B20,Tox_Table[Code],Tox_Table[Benchmark MOE])</f>
        <v>30</v>
      </c>
      <c r="U20" s="234">
        <f>IFERROR(($R$19/$T11), "")</f>
        <v>4023.0116265036013</v>
      </c>
      <c r="V20" s="234">
        <f>IFERROR(($R$19/($T11/$V$18)), "")</f>
        <v>20115.058132518006</v>
      </c>
      <c r="W20" s="234">
        <f>IFERROR(($R$19/($T11/$W$18)), "")</f>
        <v>40230.116265036013</v>
      </c>
      <c r="X20" s="239">
        <f>IFERROR(($R$19/($T11/$X$18)), "")</f>
        <v>80460.232530072026</v>
      </c>
    </row>
    <row r="21" spans="1:24" s="14" customFormat="1" ht="19.5" customHeight="1" x14ac:dyDescent="0.35">
      <c r="B21" s="20" t="s">
        <v>113</v>
      </c>
      <c r="C21" s="541" t="s">
        <v>163</v>
      </c>
      <c r="D21" s="543" t="str">
        <f>_xlfn.XLOOKUP($B21,Tox_Table[Code],Tox_Table[Health Effect])</f>
        <v>Phthalate syndrome-related effects</v>
      </c>
      <c r="E21" s="543">
        <f>_xlfn.XLOOKUP($B21,Tox_Table[Code],Tox_Table[Endpoint])</f>
        <v>0</v>
      </c>
      <c r="F21" s="547">
        <f>_xlfn.XLOOKUP($B21,Tox_Table[Code],Tox_Table[Study])</f>
        <v>0</v>
      </c>
      <c r="G21" s="36"/>
      <c r="H21" s="571">
        <f>_xlfn.XLOOKUP($B21, Tox_Table[Code],Tox_Table[HED / POD (mg/kg/day)], FALSE)</f>
        <v>12</v>
      </c>
      <c r="I21" s="258" t="s">
        <v>92</v>
      </c>
      <c r="J21" s="464">
        <f>_xlfn.XLOOKUP($B21,Tox_Table[Code],Tox_Table[Benchmark MOE])</f>
        <v>30</v>
      </c>
      <c r="K21" s="44">
        <f>IFERROR($H21/$L10, "")</f>
        <v>183.34606569900689</v>
      </c>
      <c r="L21" s="44">
        <f t="shared" ref="L21:P22" si="1">IFERROR($H$21/($L10/L$18), "")</f>
        <v>916.73032849503443</v>
      </c>
      <c r="M21" s="44">
        <f t="shared" si="1"/>
        <v>4583.6516424751726</v>
      </c>
      <c r="N21" s="44">
        <f t="shared" si="1"/>
        <v>9167.3032849503452</v>
      </c>
      <c r="O21" s="44">
        <f t="shared" si="1"/>
        <v>183346.0656990069</v>
      </c>
      <c r="P21" s="45">
        <f t="shared" si="1"/>
        <v>1833460.656990069</v>
      </c>
      <c r="Q21" s="36"/>
      <c r="R21" s="569">
        <f>_xlfn.XLOOKUP($B21, Tox_Table[Code],Tox_Table[HED / POD (mg/kg/day)], FALSE)</f>
        <v>12</v>
      </c>
      <c r="S21" s="43" t="s">
        <v>92</v>
      </c>
      <c r="T21" s="464">
        <f>_xlfn.XLOOKUP($B21,Tox_Table[Code],Tox_Table[Benchmark MOE])</f>
        <v>30</v>
      </c>
      <c r="U21" s="44">
        <f>IFERROR(($R$21/$U10), "")</f>
        <v>5485.9249452321828</v>
      </c>
      <c r="V21" s="44">
        <f t="shared" ref="V21:X22" si="2">IFERROR(($R$21/($U10/V$18)), "")</f>
        <v>27429.624726160913</v>
      </c>
      <c r="W21" s="44">
        <f t="shared" si="2"/>
        <v>54859.249452321827</v>
      </c>
      <c r="X21" s="45">
        <f t="shared" si="2"/>
        <v>109718.49890464365</v>
      </c>
    </row>
    <row r="22" spans="1:24" s="14" customFormat="1" ht="19.5" customHeight="1" thickBot="1" x14ac:dyDescent="0.4">
      <c r="B22" s="20" t="s">
        <v>113</v>
      </c>
      <c r="C22" s="542"/>
      <c r="D22" s="544"/>
      <c r="E22" s="544"/>
      <c r="F22" s="548"/>
      <c r="G22" s="36"/>
      <c r="H22" s="572"/>
      <c r="I22" s="259" t="s">
        <v>93</v>
      </c>
      <c r="J22" s="466">
        <f>_xlfn.XLOOKUP($B22,Tox_Table[Code],Tox_Table[Benchmark MOE])</f>
        <v>30</v>
      </c>
      <c r="K22" s="234">
        <f>IFERROR($H21/$L11, "")</f>
        <v>183.34606569900689</v>
      </c>
      <c r="L22" s="234">
        <f t="shared" si="1"/>
        <v>916.73032849503443</v>
      </c>
      <c r="M22" s="234">
        <f t="shared" si="1"/>
        <v>4583.6516424751726</v>
      </c>
      <c r="N22" s="234">
        <f t="shared" si="1"/>
        <v>9167.3032849503452</v>
      </c>
      <c r="O22" s="234">
        <f t="shared" si="1"/>
        <v>183346.0656990069</v>
      </c>
      <c r="P22" s="239">
        <f t="shared" si="1"/>
        <v>1833460.656990069</v>
      </c>
      <c r="Q22" s="36"/>
      <c r="R22" s="570"/>
      <c r="S22" s="39" t="s">
        <v>93</v>
      </c>
      <c r="T22" s="466">
        <f>_xlfn.XLOOKUP($B22,Tox_Table[Code],Tox_Table[Benchmark MOE])</f>
        <v>30</v>
      </c>
      <c r="U22" s="234">
        <f>IFERROR(($R$21/$U11), "")</f>
        <v>5485.9249452321828</v>
      </c>
      <c r="V22" s="234">
        <f t="shared" si="2"/>
        <v>27429.624726160913</v>
      </c>
      <c r="W22" s="234">
        <f t="shared" si="2"/>
        <v>54859.249452321827</v>
      </c>
      <c r="X22" s="239">
        <f t="shared" si="2"/>
        <v>109718.49890464365</v>
      </c>
    </row>
    <row r="23" spans="1:24" s="14" customFormat="1" ht="19.5" customHeight="1" x14ac:dyDescent="0.35">
      <c r="B23" s="20" t="s">
        <v>119</v>
      </c>
      <c r="C23" s="541" t="s">
        <v>164</v>
      </c>
      <c r="D23" s="543" t="str">
        <f>_xlfn.XLOOKUP($B23,Tox_Table[Code],Tox_Table[Health Effect])</f>
        <v>Phthalate syndrome-related effects</v>
      </c>
      <c r="E23" s="543">
        <f>_xlfn.XLOOKUP($B23,Tox_Table[Code],Tox_Table[Endpoint])</f>
        <v>0</v>
      </c>
      <c r="F23" s="547">
        <f>_xlfn.XLOOKUP($B23,Tox_Table[Code],Tox_Table[Study])</f>
        <v>0</v>
      </c>
      <c r="G23" s="42"/>
      <c r="H23" s="571">
        <f>_xlfn.XLOOKUP($B23, Tox_Table[Code],Tox_Table[HED / POD (mg/kg/day)], FALSE)</f>
        <v>12</v>
      </c>
      <c r="I23" s="258" t="s">
        <v>92</v>
      </c>
      <c r="J23" s="464">
        <f>_xlfn.XLOOKUP($B23,Tox_Table[Code],Tox_Table[Benchmark MOE])</f>
        <v>30</v>
      </c>
      <c r="K23" s="44">
        <f>IFERROR($H23/$M10, "")</f>
        <v>196.30252100840337</v>
      </c>
      <c r="L23" s="44">
        <f t="shared" ref="L23:P24" si="3">IFERROR($H$23/($M10/L$18), "")</f>
        <v>981.51260504201684</v>
      </c>
      <c r="M23" s="44">
        <f t="shared" si="3"/>
        <v>4907.5630252100846</v>
      </c>
      <c r="N23" s="44">
        <f t="shared" si="3"/>
        <v>9815.1260504201691</v>
      </c>
      <c r="O23" s="44">
        <f t="shared" si="3"/>
        <v>196302.52100840339</v>
      </c>
      <c r="P23" s="45">
        <f t="shared" si="3"/>
        <v>1963025.2100840337</v>
      </c>
      <c r="Q23" s="42"/>
      <c r="R23" s="569">
        <f>_xlfn.XLOOKUP($B23, Tox_Table[Code],Tox_Table[HED / POD (mg/kg/day)], FALSE)</f>
        <v>12</v>
      </c>
      <c r="S23" s="43" t="s">
        <v>92</v>
      </c>
      <c r="T23" s="464">
        <f>_xlfn.XLOOKUP($B23,Tox_Table[Code],Tox_Table[Benchmark MOE])</f>
        <v>30</v>
      </c>
      <c r="U23" s="44">
        <f>IFERROR(($R$23/$V10), "")</f>
        <v>5873.5969746952587</v>
      </c>
      <c r="V23" s="44">
        <f t="shared" ref="V23:X24" si="4">IFERROR(($R$23/($V10/V$18)), "")</f>
        <v>29367.984873476293</v>
      </c>
      <c r="W23" s="44">
        <f t="shared" si="4"/>
        <v>58735.969746952585</v>
      </c>
      <c r="X23" s="45">
        <f t="shared" si="4"/>
        <v>117471.93949390517</v>
      </c>
    </row>
    <row r="24" spans="1:24" s="14" customFormat="1" ht="19.5" customHeight="1" thickBot="1" x14ac:dyDescent="0.4">
      <c r="B24" s="20" t="s">
        <v>119</v>
      </c>
      <c r="C24" s="542"/>
      <c r="D24" s="544"/>
      <c r="E24" s="544"/>
      <c r="F24" s="548"/>
      <c r="G24" s="42"/>
      <c r="H24" s="572"/>
      <c r="I24" s="260" t="s">
        <v>93</v>
      </c>
      <c r="J24" s="257">
        <f>_xlfn.XLOOKUP($B24,Tox_Table[Code],Tox_Table[Benchmark MOE])</f>
        <v>30</v>
      </c>
      <c r="K24" s="234">
        <f>IFERROR($H23/$M11, "")</f>
        <v>220.07009081659569</v>
      </c>
      <c r="L24" s="234">
        <f t="shared" si="3"/>
        <v>1100.3504540829786</v>
      </c>
      <c r="M24" s="234">
        <f t="shared" si="3"/>
        <v>5501.7522704148923</v>
      </c>
      <c r="N24" s="234">
        <f t="shared" si="3"/>
        <v>11003.504540829785</v>
      </c>
      <c r="O24" s="234">
        <f t="shared" si="3"/>
        <v>220070.09081659571</v>
      </c>
      <c r="P24" s="239">
        <f t="shared" si="3"/>
        <v>2200700.9081659573</v>
      </c>
      <c r="Q24" s="42"/>
      <c r="R24" s="570"/>
      <c r="S24" s="46" t="s">
        <v>93</v>
      </c>
      <c r="T24" s="466">
        <f>_xlfn.XLOOKUP($B24,Tox_Table[Code],Tox_Table[Benchmark MOE])</f>
        <v>30</v>
      </c>
      <c r="U24" s="234">
        <f>IFERROR(($R$23/$V11), "")</f>
        <v>6584.7499716314542</v>
      </c>
      <c r="V24" s="234">
        <f t="shared" si="4"/>
        <v>32923.749858157273</v>
      </c>
      <c r="W24" s="234">
        <f t="shared" si="4"/>
        <v>65847.499716314545</v>
      </c>
      <c r="X24" s="239">
        <f t="shared" si="4"/>
        <v>131694.99943262909</v>
      </c>
    </row>
    <row r="25" spans="1:24" s="22" customFormat="1" ht="19.5" customHeight="1" x14ac:dyDescent="0.35">
      <c r="B25" s="20" t="s">
        <v>131</v>
      </c>
      <c r="C25" s="541" t="s">
        <v>165</v>
      </c>
      <c r="D25" s="543">
        <f>_xlfn.XLOOKUP($B25,Tox_Table[Code],Tox_Table[Health Effect])</f>
        <v>0</v>
      </c>
      <c r="E25" s="543">
        <f>_xlfn.XLOOKUP($B25,Tox_Table[Code],Tox_Table[Endpoint])</f>
        <v>0</v>
      </c>
      <c r="F25" s="547">
        <f>_xlfn.XLOOKUP($B25,Tox_Table[Code],Tox_Table[Study])</f>
        <v>0</v>
      </c>
      <c r="G25" s="36"/>
      <c r="H25" s="571">
        <f>_xlfn.XLOOKUP($B25, Tox_Table[Code],Tox_Table[CSF (mg/kg-day-1)], FALSE)</f>
        <v>0</v>
      </c>
      <c r="I25" s="261" t="s">
        <v>92</v>
      </c>
      <c r="J25" s="463">
        <v>1E-4</v>
      </c>
      <c r="K25" s="44">
        <f>IFERROR($H25*$N10, "")</f>
        <v>0</v>
      </c>
      <c r="L25" s="44">
        <f t="shared" ref="L25:P26" si="5">IFERROR($H$25*($N10/L$18), "")</f>
        <v>0</v>
      </c>
      <c r="M25" s="44">
        <f t="shared" si="5"/>
        <v>0</v>
      </c>
      <c r="N25" s="44">
        <f t="shared" si="5"/>
        <v>0</v>
      </c>
      <c r="O25" s="44">
        <f t="shared" si="5"/>
        <v>0</v>
      </c>
      <c r="P25" s="45">
        <f t="shared" si="5"/>
        <v>0</v>
      </c>
      <c r="Q25" s="36"/>
      <c r="R25" s="569">
        <f>_xlfn.XLOOKUP($B25, Tox_Table[Code],Tox_Table[CSF (mg/kg-day-1)], FALSE)</f>
        <v>0</v>
      </c>
      <c r="S25" s="23" t="s">
        <v>92</v>
      </c>
      <c r="T25" s="463">
        <v>1E-4</v>
      </c>
      <c r="U25" s="44">
        <f>IFERROR(($R25*$W10), "")</f>
        <v>0</v>
      </c>
      <c r="V25" s="44">
        <f t="shared" ref="V25:X26" si="6">IFERROR(($R$25*($W10/V$18)), "")</f>
        <v>0</v>
      </c>
      <c r="W25" s="44">
        <f t="shared" si="6"/>
        <v>0</v>
      </c>
      <c r="X25" s="45">
        <f t="shared" si="6"/>
        <v>0</v>
      </c>
    </row>
    <row r="26" spans="1:24" s="22" customFormat="1" ht="19.5" customHeight="1" thickBot="1" x14ac:dyDescent="0.4">
      <c r="B26" s="20" t="s">
        <v>131</v>
      </c>
      <c r="C26" s="567"/>
      <c r="D26" s="568"/>
      <c r="E26" s="568"/>
      <c r="F26" s="573"/>
      <c r="G26" s="47"/>
      <c r="H26" s="572"/>
      <c r="I26" s="262" t="s">
        <v>93</v>
      </c>
      <c r="J26" s="462">
        <v>1E-4</v>
      </c>
      <c r="K26" s="234">
        <f>IFERROR($H25*$N11, "")</f>
        <v>0</v>
      </c>
      <c r="L26" s="234">
        <f t="shared" si="5"/>
        <v>0</v>
      </c>
      <c r="M26" s="234">
        <f t="shared" si="5"/>
        <v>0</v>
      </c>
      <c r="N26" s="234">
        <f t="shared" si="5"/>
        <v>0</v>
      </c>
      <c r="O26" s="234">
        <f t="shared" si="5"/>
        <v>0</v>
      </c>
      <c r="P26" s="239">
        <f t="shared" si="5"/>
        <v>0</v>
      </c>
      <c r="Q26" s="47"/>
      <c r="R26" s="570"/>
      <c r="S26" s="27" t="s">
        <v>93</v>
      </c>
      <c r="T26" s="462">
        <v>1E-4</v>
      </c>
      <c r="U26" s="234">
        <f>IFERROR(($R25*$W11), "")</f>
        <v>0</v>
      </c>
      <c r="V26" s="234">
        <f t="shared" si="6"/>
        <v>0</v>
      </c>
      <c r="W26" s="234">
        <f t="shared" si="6"/>
        <v>0</v>
      </c>
      <c r="X26" s="239">
        <f t="shared" si="6"/>
        <v>0</v>
      </c>
    </row>
    <row r="27" spans="1:24" s="14" customFormat="1" x14ac:dyDescent="0.35">
      <c r="B27" s="9"/>
      <c r="C27" s="10"/>
      <c r="D27" s="11"/>
      <c r="E27" s="10"/>
      <c r="F27" s="10"/>
      <c r="G27" s="12"/>
      <c r="H27" s="12"/>
      <c r="I27" s="12"/>
      <c r="J27" s="12"/>
      <c r="K27" s="12"/>
      <c r="L27" s="12"/>
      <c r="M27" s="12"/>
      <c r="O27" s="12"/>
      <c r="P27" s="12"/>
      <c r="R27" s="12"/>
    </row>
    <row r="28" spans="1:24" s="14" customFormat="1" x14ac:dyDescent="0.35">
      <c r="B28" s="9"/>
      <c r="C28" s="10"/>
      <c r="D28" s="11"/>
      <c r="E28" s="10"/>
      <c r="F28" s="10"/>
      <c r="G28" s="12"/>
      <c r="H28" s="12"/>
      <c r="I28" s="12"/>
      <c r="J28" s="12"/>
      <c r="K28" s="12"/>
      <c r="L28" s="12"/>
      <c r="M28" s="12"/>
      <c r="N28" s="12"/>
      <c r="O28" s="12"/>
      <c r="P28" s="12"/>
      <c r="R28" s="12"/>
    </row>
    <row r="29" spans="1:24" s="14" customFormat="1" x14ac:dyDescent="0.35">
      <c r="B29" s="9"/>
      <c r="C29" s="10"/>
      <c r="D29" s="11"/>
      <c r="E29" s="10"/>
      <c r="F29" s="10"/>
      <c r="G29" s="12"/>
      <c r="H29" s="12"/>
      <c r="I29" s="12"/>
      <c r="J29" s="12"/>
      <c r="K29" s="12"/>
      <c r="L29" s="12"/>
      <c r="M29" s="12"/>
      <c r="N29" s="12"/>
      <c r="O29" s="12"/>
      <c r="P29" s="12"/>
      <c r="R29" s="12"/>
      <c r="S29" s="12"/>
    </row>
    <row r="30" spans="1:24" s="14" customFormat="1" x14ac:dyDescent="0.35">
      <c r="A30" s="12"/>
      <c r="B30" s="9"/>
      <c r="C30" s="10"/>
      <c r="D30" s="11"/>
      <c r="E30" s="10"/>
      <c r="F30" s="10"/>
      <c r="G30" s="12"/>
      <c r="H30" s="12"/>
      <c r="I30" s="12"/>
      <c r="J30" s="12"/>
      <c r="K30" s="12"/>
      <c r="L30" s="12"/>
      <c r="M30" s="12"/>
      <c r="N30" s="12"/>
      <c r="O30" s="12"/>
      <c r="P30" s="12"/>
      <c r="R30" s="12"/>
      <c r="S30" s="12"/>
    </row>
    <row r="35" spans="1:19" x14ac:dyDescent="0.35">
      <c r="I35" s="14"/>
      <c r="J35" s="14"/>
      <c r="K35" s="14"/>
      <c r="L35" s="14"/>
      <c r="M35" s="14"/>
    </row>
    <row r="40" spans="1:19" x14ac:dyDescent="0.35">
      <c r="O40" s="14"/>
      <c r="P40" s="14"/>
    </row>
    <row r="41" spans="1:19" x14ac:dyDescent="0.35">
      <c r="C41" s="16"/>
      <c r="D41" s="29"/>
      <c r="E41" s="16"/>
      <c r="F41" s="16"/>
      <c r="G41" s="14"/>
      <c r="H41" s="14"/>
    </row>
    <row r="42" spans="1:19" x14ac:dyDescent="0.35">
      <c r="R42" s="14"/>
    </row>
    <row r="43" spans="1:19" x14ac:dyDescent="0.35">
      <c r="B43" s="22"/>
    </row>
    <row r="44" spans="1:19" x14ac:dyDescent="0.35">
      <c r="B44" s="48"/>
    </row>
    <row r="45" spans="1:19" x14ac:dyDescent="0.35">
      <c r="B45" s="48"/>
      <c r="I45" s="49"/>
      <c r="J45" s="49"/>
      <c r="K45" s="49"/>
      <c r="L45" s="49"/>
      <c r="M45" s="49"/>
      <c r="N45" s="14"/>
    </row>
    <row r="46" spans="1:19" x14ac:dyDescent="0.35">
      <c r="B46" s="48"/>
      <c r="I46" s="49"/>
      <c r="J46" s="49"/>
      <c r="K46" s="49"/>
      <c r="L46" s="49"/>
      <c r="M46" s="49"/>
      <c r="S46" s="14"/>
    </row>
    <row r="47" spans="1:19" x14ac:dyDescent="0.35">
      <c r="B47" s="48"/>
      <c r="C47" s="50"/>
      <c r="D47" s="51"/>
      <c r="E47" s="50"/>
      <c r="I47" s="49"/>
      <c r="J47" s="49"/>
      <c r="K47" s="49"/>
      <c r="L47" s="49"/>
      <c r="M47" s="49"/>
    </row>
    <row r="48" spans="1:19" s="14" customFormat="1" x14ac:dyDescent="0.35">
      <c r="A48" s="12"/>
      <c r="B48" s="48"/>
      <c r="C48" s="10"/>
      <c r="D48" s="11"/>
      <c r="E48" s="50"/>
      <c r="F48" s="10"/>
      <c r="G48" s="12"/>
      <c r="H48" s="12"/>
      <c r="I48" s="49"/>
      <c r="J48" s="49"/>
      <c r="K48" s="49"/>
      <c r="L48" s="49"/>
      <c r="M48" s="49"/>
      <c r="N48" s="12"/>
      <c r="O48" s="12"/>
      <c r="P48" s="12"/>
      <c r="R48" s="12"/>
      <c r="S48" s="12"/>
    </row>
    <row r="49" spans="1:20" x14ac:dyDescent="0.35">
      <c r="R49" s="52"/>
      <c r="S49" s="52"/>
      <c r="T49" s="52"/>
    </row>
    <row r="50" spans="1:20" x14ac:dyDescent="0.35">
      <c r="F50" s="49"/>
      <c r="G50" s="52"/>
      <c r="H50" s="229"/>
      <c r="I50" s="230"/>
      <c r="J50" s="230"/>
      <c r="R50" s="229"/>
      <c r="S50" s="230"/>
      <c r="T50" s="230"/>
    </row>
    <row r="51" spans="1:20" x14ac:dyDescent="0.35">
      <c r="H51" s="28"/>
      <c r="I51" s="226"/>
      <c r="J51" s="226"/>
      <c r="R51" s="231"/>
      <c r="S51" s="228"/>
      <c r="T51" s="228"/>
    </row>
    <row r="52" spans="1:20" x14ac:dyDescent="0.35">
      <c r="A52" s="12" t="s">
        <v>166</v>
      </c>
      <c r="H52" s="28"/>
      <c r="I52" s="226"/>
      <c r="J52" s="226"/>
      <c r="R52" s="231"/>
      <c r="S52" s="226"/>
      <c r="T52" s="226"/>
    </row>
    <row r="53" spans="1:20" x14ac:dyDescent="0.35">
      <c r="H53" s="28"/>
      <c r="I53" s="226"/>
      <c r="J53" s="226"/>
      <c r="R53" s="231"/>
      <c r="S53" s="226"/>
      <c r="T53" s="226"/>
    </row>
    <row r="54" spans="1:20" x14ac:dyDescent="0.35">
      <c r="H54" s="28"/>
      <c r="I54" s="226"/>
      <c r="J54" s="226"/>
      <c r="R54" s="231"/>
      <c r="S54" s="226"/>
      <c r="T54" s="226"/>
    </row>
    <row r="55" spans="1:20" x14ac:dyDescent="0.35">
      <c r="H55" s="28"/>
      <c r="I55" s="226"/>
      <c r="J55" s="226"/>
      <c r="R55" s="231"/>
      <c r="S55" s="226"/>
      <c r="T55" s="226"/>
    </row>
    <row r="56" spans="1:20" x14ac:dyDescent="0.35">
      <c r="H56" s="28"/>
      <c r="I56" s="226"/>
      <c r="J56" s="226"/>
      <c r="T56" s="228"/>
    </row>
  </sheetData>
  <sheetProtection sheet="1" objects="1" scenarios="1" formatCells="0" formatColumns="0" formatRows="0"/>
  <dataConsolidate link="1"/>
  <mergeCells count="49">
    <mergeCell ref="R25:R26"/>
    <mergeCell ref="R19:R20"/>
    <mergeCell ref="R23:R24"/>
    <mergeCell ref="R21:R22"/>
    <mergeCell ref="F23:F24"/>
    <mergeCell ref="H23:H24"/>
    <mergeCell ref="H19:H20"/>
    <mergeCell ref="F21:F22"/>
    <mergeCell ref="H21:H22"/>
    <mergeCell ref="F25:F26"/>
    <mergeCell ref="H25:H26"/>
    <mergeCell ref="C25:C26"/>
    <mergeCell ref="C23:C24"/>
    <mergeCell ref="E25:E26"/>
    <mergeCell ref="D25:D26"/>
    <mergeCell ref="D23:D24"/>
    <mergeCell ref="E23:E24"/>
    <mergeCell ref="U16:X16"/>
    <mergeCell ref="S8:S9"/>
    <mergeCell ref="R8:R9"/>
    <mergeCell ref="J16:J18"/>
    <mergeCell ref="K16:P16"/>
    <mergeCell ref="T16:T18"/>
    <mergeCell ref="R16:R18"/>
    <mergeCell ref="S16:S18"/>
    <mergeCell ref="L15:M15"/>
    <mergeCell ref="R12:R13"/>
    <mergeCell ref="U17:U18"/>
    <mergeCell ref="V17:X17"/>
    <mergeCell ref="L17:P17"/>
    <mergeCell ref="J8:J9"/>
    <mergeCell ref="R10:R11"/>
    <mergeCell ref="C21:C22"/>
    <mergeCell ref="D21:D22"/>
    <mergeCell ref="E21:E22"/>
    <mergeCell ref="C16:C18"/>
    <mergeCell ref="D16:E18"/>
    <mergeCell ref="E19:E20"/>
    <mergeCell ref="I10:I11"/>
    <mergeCell ref="I8:I9"/>
    <mergeCell ref="C19:C20"/>
    <mergeCell ref="D19:D20"/>
    <mergeCell ref="D2:E2"/>
    <mergeCell ref="D3:E3"/>
    <mergeCell ref="D4:E4"/>
    <mergeCell ref="I16:I18"/>
    <mergeCell ref="F19:F20"/>
    <mergeCell ref="F16:F18"/>
    <mergeCell ref="H16:H18"/>
  </mergeCells>
  <phoneticPr fontId="2" type="noConversion"/>
  <conditionalFormatting sqref="D19:F26">
    <cfRule type="cellIs" priority="1" operator="equal">
      <formula>0</formula>
    </cfRule>
  </conditionalFormatting>
  <conditionalFormatting sqref="F4">
    <cfRule type="cellIs" dxfId="349" priority="22" operator="lessThan">
      <formula>0.1</formula>
    </cfRule>
    <cfRule type="cellIs" dxfId="348" priority="20" stopIfTrue="1" operator="equal">
      <formula>0</formula>
    </cfRule>
    <cfRule type="containsBlanks" dxfId="347" priority="21" stopIfTrue="1">
      <formula>LEN(TRIM(F4))=0</formula>
    </cfRule>
  </conditionalFormatting>
  <conditionalFormatting sqref="H19 H23 H25">
    <cfRule type="containsBlanks" dxfId="346" priority="115" stopIfTrue="1">
      <formula>LEN(TRIM(H19))=0</formula>
    </cfRule>
    <cfRule type="cellIs" dxfId="345" priority="114" stopIfTrue="1" operator="equal">
      <formula>0</formula>
    </cfRule>
    <cfRule type="cellIs" dxfId="344" priority="118" operator="greaterThanOrEqual">
      <formula>10</formula>
    </cfRule>
    <cfRule type="cellIs" dxfId="343" priority="117" operator="lessThan">
      <formula>10</formula>
    </cfRule>
    <cfRule type="cellIs" dxfId="342" priority="116" operator="lessThan">
      <formula>0.1</formula>
    </cfRule>
  </conditionalFormatting>
  <conditionalFormatting sqref="H21">
    <cfRule type="cellIs" dxfId="341" priority="77" operator="greaterThanOrEqual">
      <formula>10</formula>
    </cfRule>
    <cfRule type="cellIs" dxfId="340" priority="76" operator="lessThan">
      <formula>10</formula>
    </cfRule>
    <cfRule type="cellIs" dxfId="339" priority="75" operator="lessThan">
      <formula>0.1</formula>
    </cfRule>
    <cfRule type="containsBlanks" dxfId="338" priority="74" stopIfTrue="1">
      <formula>LEN(TRIM(H21))=0</formula>
    </cfRule>
    <cfRule type="cellIs" dxfId="337" priority="73" stopIfTrue="1" operator="equal">
      <formula>0</formula>
    </cfRule>
  </conditionalFormatting>
  <conditionalFormatting sqref="K10:N11">
    <cfRule type="cellIs" dxfId="336" priority="3" operator="greaterThan">
      <formula>10000</formula>
    </cfRule>
    <cfRule type="cellIs" dxfId="335" priority="4" operator="between">
      <formula>10</formula>
      <formula>9999.999</formula>
    </cfRule>
    <cfRule type="cellIs" dxfId="334" priority="5" operator="between">
      <formula>1</formula>
      <formula>9.999</formula>
    </cfRule>
    <cfRule type="cellIs" dxfId="333" priority="6" operator="between">
      <formula>0.1</formula>
      <formula>0.999</formula>
    </cfRule>
    <cfRule type="cellIs" dxfId="332" priority="7" operator="equal">
      <formula>0</formula>
    </cfRule>
    <cfRule type="cellIs" dxfId="331" priority="170" operator="lessThan">
      <formula>0.1</formula>
    </cfRule>
  </conditionalFormatting>
  <conditionalFormatting sqref="K13:N13">
    <cfRule type="cellIs" dxfId="330" priority="60" operator="greaterThan">
      <formula>10000</formula>
    </cfRule>
    <cfRule type="cellIs" dxfId="329" priority="61" operator="between">
      <formula>10</formula>
      <formula>9999.999</formula>
    </cfRule>
    <cfRule type="cellIs" dxfId="328" priority="62" operator="between">
      <formula>1</formula>
      <formula>9.999</formula>
    </cfRule>
    <cfRule type="cellIs" dxfId="327" priority="64" operator="lessThan">
      <formula>0.1</formula>
    </cfRule>
    <cfRule type="cellIs" dxfId="326" priority="59" operator="equal">
      <formula>0</formula>
    </cfRule>
    <cfRule type="cellIs" dxfId="325" priority="63" operator="between">
      <formula>0.1</formula>
      <formula>0.999</formula>
    </cfRule>
  </conditionalFormatting>
  <conditionalFormatting sqref="K19:P24">
    <cfRule type="cellIs" dxfId="324" priority="138" operator="lessThan">
      <formula>$J19</formula>
    </cfRule>
    <cfRule type="cellIs" dxfId="323" priority="139" operator="greaterThanOrEqual">
      <formula>$J19</formula>
    </cfRule>
  </conditionalFormatting>
  <conditionalFormatting sqref="K19:P26 U19:X26">
    <cfRule type="cellIs" dxfId="322" priority="47" stopIfTrue="1" operator="equal">
      <formula>0</formula>
    </cfRule>
    <cfRule type="cellIs" dxfId="321" priority="142" operator="lessThan">
      <formula>0.1</formula>
    </cfRule>
    <cfRule type="cellIs" dxfId="320" priority="143" operator="lessThan">
      <formula>10</formula>
    </cfRule>
    <cfRule type="cellIs" dxfId="319" priority="144" operator="greaterThanOrEqual">
      <formula>10</formula>
    </cfRule>
  </conditionalFormatting>
  <conditionalFormatting sqref="K25:P26">
    <cfRule type="cellIs" dxfId="318" priority="159" operator="greaterThan">
      <formula>0.0001</formula>
    </cfRule>
    <cfRule type="cellIs" dxfId="317" priority="169" operator="lessThanOrEqual">
      <formula>0.0001</formula>
    </cfRule>
  </conditionalFormatting>
  <conditionalFormatting sqref="L8:L9">
    <cfRule type="cellIs" dxfId="316" priority="98" operator="lessThan">
      <formula>0.1</formula>
    </cfRule>
    <cfRule type="cellIs" dxfId="315" priority="96" stopIfTrue="1" operator="equal">
      <formula>0</formula>
    </cfRule>
    <cfRule type="containsBlanks" dxfId="314" priority="97" stopIfTrue="1">
      <formula>LEN(TRIM(L8))=0</formula>
    </cfRule>
  </conditionalFormatting>
  <conditionalFormatting sqref="R19 R23 R25">
    <cfRule type="cellIs" dxfId="313" priority="108" operator="greaterThanOrEqual">
      <formula>10</formula>
    </cfRule>
    <cfRule type="cellIs" dxfId="312" priority="107" operator="lessThan">
      <formula>10</formula>
    </cfRule>
    <cfRule type="cellIs" dxfId="311" priority="106" operator="lessThan">
      <formula>0.1</formula>
    </cfRule>
    <cfRule type="containsBlanks" dxfId="310" priority="105" stopIfTrue="1">
      <formula>LEN(TRIM(R19))=0</formula>
    </cfRule>
    <cfRule type="cellIs" dxfId="309" priority="104" stopIfTrue="1" operator="equal">
      <formula>0</formula>
    </cfRule>
  </conditionalFormatting>
  <conditionalFormatting sqref="R21">
    <cfRule type="cellIs" dxfId="308" priority="68" stopIfTrue="1" operator="equal">
      <formula>0</formula>
    </cfRule>
    <cfRule type="cellIs" dxfId="307" priority="72" operator="greaterThanOrEqual">
      <formula>10</formula>
    </cfRule>
    <cfRule type="cellIs" dxfId="306" priority="71" operator="lessThan">
      <formula>10</formula>
    </cfRule>
    <cfRule type="cellIs" dxfId="305" priority="70" operator="lessThan">
      <formula>0.1</formula>
    </cfRule>
    <cfRule type="containsBlanks" dxfId="304" priority="69" stopIfTrue="1">
      <formula>LEN(TRIM(R21))=0</formula>
    </cfRule>
  </conditionalFormatting>
  <conditionalFormatting sqref="T10:W11">
    <cfRule type="cellIs" dxfId="303" priority="8" operator="equal">
      <formula>0</formula>
    </cfRule>
  </conditionalFormatting>
  <conditionalFormatting sqref="T10:W13">
    <cfRule type="cellIs" dxfId="302" priority="13" operator="lessThan">
      <formula>0.1</formula>
    </cfRule>
    <cfRule type="cellIs" dxfId="301" priority="12" operator="between">
      <formula>0.1</formula>
      <formula>0.999</formula>
    </cfRule>
    <cfRule type="cellIs" dxfId="300" priority="11" operator="between">
      <formula>1</formula>
      <formula>9.999</formula>
    </cfRule>
    <cfRule type="cellIs" dxfId="299" priority="10" operator="between">
      <formula>10</formula>
      <formula>9999.999</formula>
    </cfRule>
    <cfRule type="cellIs" dxfId="298" priority="9" operator="greaterThan">
      <formula>10000</formula>
    </cfRule>
  </conditionalFormatting>
  <conditionalFormatting sqref="U8:U9">
    <cfRule type="cellIs" dxfId="297" priority="80" operator="lessThan">
      <formula>0.1</formula>
    </cfRule>
    <cfRule type="containsBlanks" dxfId="296" priority="79" stopIfTrue="1">
      <formula>LEN(TRIM(U8))=0</formula>
    </cfRule>
    <cfRule type="cellIs" dxfId="295" priority="78" stopIfTrue="1" operator="equal">
      <formula>0</formula>
    </cfRule>
  </conditionalFormatting>
  <conditionalFormatting sqref="U19:X24">
    <cfRule type="cellIs" dxfId="294" priority="45" operator="greaterThanOrEqual">
      <formula>$J19</formula>
    </cfRule>
    <cfRule type="cellIs" dxfId="293" priority="44" operator="lessThan">
      <formula>$J19</formula>
    </cfRule>
  </conditionalFormatting>
  <conditionalFormatting sqref="U19:X26 K19:P26">
    <cfRule type="containsBlanks" dxfId="292" priority="46" stopIfTrue="1">
      <formula>LEN(TRIM(K19))=0</formula>
    </cfRule>
  </conditionalFormatting>
  <conditionalFormatting sqref="U25:X26">
    <cfRule type="cellIs" dxfId="291" priority="141" operator="lessThanOrEqual">
      <formula>0.0001</formula>
    </cfRule>
    <cfRule type="cellIs" dxfId="290" priority="140" operator="greaterThan">
      <formula>0.0001</formula>
    </cfRule>
  </conditionalFormatting>
  <dataValidations count="1">
    <dataValidation allowBlank="1" showErrorMessage="1" sqref="I13 I8 R8" xr:uid="{B6FDB558-C6DA-450F-B0A7-6A9F371395FE}"/>
  </dataValidations>
  <pageMargins left="0.7" right="0.7" top="0.75" bottom="0.75" header="0.3" footer="0.3"/>
  <pageSetup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52F1E36-23C0-46BD-94ED-210B8C9D18DC}">
          <x14:formula1>
            <xm:f>'List Values'!$D$6:$D$8</xm:f>
          </x14:formula1>
          <xm:sqref>F4</xm:sqref>
        </x14:dataValidation>
        <x14:dataValidation type="list" allowBlank="1" showInputMessage="1" showErrorMessage="1" xr:uid="{EEB43209-65D0-4ECD-98C8-2D730F6098A1}">
          <x14:formula1>
            <xm:f>'List Values'!$B$2:$B$20</xm:f>
          </x14:formula1>
          <xm:sqref>C4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43F8EF-0238-48DF-B0F9-9BD2EA206E1A}">
  <sheetPr codeName="Sheet11">
    <tabColor rgb="FF92D050"/>
  </sheetPr>
  <dimension ref="A1:V79"/>
  <sheetViews>
    <sheetView workbookViewId="0"/>
  </sheetViews>
  <sheetFormatPr defaultColWidth="8.81640625" defaultRowHeight="13" x14ac:dyDescent="0.35"/>
  <cols>
    <col min="1" max="1" width="2.1796875" style="12" customWidth="1"/>
    <col min="2" max="2" width="8.453125" style="9" customWidth="1"/>
    <col min="3" max="3" width="20.81640625" style="10" customWidth="1"/>
    <col min="4" max="4" width="15.453125" style="11" customWidth="1"/>
    <col min="5" max="5" width="11.453125" style="10" customWidth="1"/>
    <col min="6" max="6" width="11.54296875" style="10" customWidth="1"/>
    <col min="7" max="7" width="2.26953125" style="12" customWidth="1"/>
    <col min="8" max="8" width="10.453125" style="12" customWidth="1"/>
    <col min="9" max="9" width="9.81640625" style="10" customWidth="1"/>
    <col min="10" max="10" width="10.1796875" style="12" bestFit="1" customWidth="1"/>
    <col min="11" max="11" width="14.453125" style="12" customWidth="1"/>
    <col min="12" max="12" width="22.54296875" style="12" customWidth="1"/>
    <col min="13" max="13" width="18.1796875" style="12" customWidth="1"/>
    <col min="14" max="14" width="18.81640625" style="12" customWidth="1"/>
    <col min="15" max="15" width="21.1796875" style="12" customWidth="1"/>
    <col min="16" max="17" width="18.81640625" style="12" customWidth="1"/>
    <col min="18" max="18" width="23.1796875" style="12" customWidth="1"/>
    <col min="19" max="19" width="18.1796875" style="12" customWidth="1"/>
    <col min="20" max="20" width="21.1796875" style="12" customWidth="1"/>
    <col min="21" max="21" width="17.1796875" style="12" customWidth="1"/>
    <col min="22" max="22" width="17.54296875" style="12" customWidth="1"/>
    <col min="23" max="23" width="16.81640625" style="12" customWidth="1"/>
    <col min="24" max="24" width="17" style="12" customWidth="1"/>
    <col min="25" max="25" width="13.1796875" style="12" customWidth="1"/>
    <col min="26" max="16384" width="8.81640625" style="12"/>
  </cols>
  <sheetData>
    <row r="1" spans="1:22" ht="13.5" thickBot="1" x14ac:dyDescent="0.4">
      <c r="A1" s="680"/>
    </row>
    <row r="2" spans="1:22" ht="27.75" customHeight="1" thickBot="1" x14ac:dyDescent="0.4">
      <c r="C2" s="92" t="s">
        <v>64</v>
      </c>
      <c r="D2" s="545" t="s">
        <v>65</v>
      </c>
      <c r="E2" s="546"/>
      <c r="F2" s="13" t="s">
        <v>67</v>
      </c>
      <c r="L2" s="200" t="s">
        <v>142</v>
      </c>
      <c r="M2" s="200"/>
      <c r="N2" s="22"/>
      <c r="O2" s="14"/>
      <c r="P2" s="16"/>
      <c r="Q2" s="16"/>
      <c r="S2" s="10"/>
      <c r="T2" s="16"/>
      <c r="U2" s="14"/>
      <c r="V2" s="14"/>
    </row>
    <row r="3" spans="1:22" ht="39.5" thickBot="1" x14ac:dyDescent="0.4">
      <c r="C3" s="93" t="s">
        <v>68</v>
      </c>
      <c r="D3" s="498" t="s">
        <v>69</v>
      </c>
      <c r="E3" s="516"/>
      <c r="F3" s="96" t="s">
        <v>72</v>
      </c>
      <c r="G3" s="10"/>
      <c r="I3" s="12"/>
      <c r="K3" s="201"/>
      <c r="L3" s="201" t="s">
        <v>77</v>
      </c>
    </row>
    <row r="4" spans="1:22" ht="39" x14ac:dyDescent="0.35">
      <c r="C4" s="18" t="s">
        <v>167</v>
      </c>
      <c r="D4" s="514" t="str">
        <f>_xlfn.XLOOKUP($C$4,Inhalation_Exp[OES],Inhalation_Exp[Data Type])</f>
        <v>Monitoring Data</v>
      </c>
      <c r="E4" s="611"/>
      <c r="F4" s="99" t="s">
        <v>74</v>
      </c>
      <c r="G4" s="10"/>
      <c r="H4" s="10"/>
      <c r="L4" s="520" t="s">
        <v>168</v>
      </c>
      <c r="M4" s="491" t="s">
        <v>79</v>
      </c>
      <c r="N4" s="456" t="s">
        <v>143</v>
      </c>
      <c r="O4" s="456" t="s">
        <v>81</v>
      </c>
      <c r="P4" s="456" t="s">
        <v>144</v>
      </c>
      <c r="Q4" s="19" t="s">
        <v>145</v>
      </c>
    </row>
    <row r="5" spans="1:22" ht="26.5" thickBot="1" x14ac:dyDescent="0.4">
      <c r="G5" s="16"/>
      <c r="H5" s="16"/>
      <c r="I5" s="16"/>
      <c r="J5" s="14"/>
      <c r="L5" s="521"/>
      <c r="M5" s="507"/>
      <c r="N5" s="457" t="s">
        <v>169</v>
      </c>
      <c r="O5" s="457" t="s">
        <v>86</v>
      </c>
      <c r="P5" s="457" t="s">
        <v>170</v>
      </c>
      <c r="Q5" s="24" t="s">
        <v>171</v>
      </c>
    </row>
    <row r="6" spans="1:22" ht="18" customHeight="1" x14ac:dyDescent="0.35">
      <c r="L6" s="526" t="str">
        <f>$F$4</f>
        <v>Female of Reproductive Age</v>
      </c>
      <c r="M6" s="207" t="s">
        <v>92</v>
      </c>
      <c r="N6" s="237">
        <f>SUMIFS(Inhalation_Exp[24hr_High-End],Inhalation_Exp[OES],$C$4,Inhalation_Exp[Worker Type],$L6,Inhalation_Exp[Data Type],$D$4)</f>
        <v>6.9036934760096649E-4</v>
      </c>
      <c r="O6" s="237">
        <f>SUMIFS(Inhalation_Exp[Int_High-End],Inhalation_Exp[OES],$C$4,Inhalation_Exp[Worker Type],$L6,Inhalation_Exp[Data Type],$D$4)</f>
        <v>9.2049246346795528E-5</v>
      </c>
      <c r="P6" s="237">
        <f>SUMIFS(Inhalation_Exp[ADD_High-End],Inhalation_Exp[OES],$C$4,Inhalation_Exp[Worker Type],$L6,Inhalation_Exp[Data Type],$D$4)</f>
        <v>7.5656914805585368E-6</v>
      </c>
      <c r="Q6" s="235">
        <f>SUMIFS(Inhalation_Exp[LADD_High-End],Inhalation_Exp[OES],$C$4,Inhalation_Exp[Worker Type],$L6,Inhalation_Exp[Data Type],$D$4)</f>
        <v>3.8798417849018136E-6</v>
      </c>
    </row>
    <row r="7" spans="1:22" ht="15" customHeight="1" thickBot="1" x14ac:dyDescent="0.4">
      <c r="L7" s="527"/>
      <c r="M7" s="208" t="s">
        <v>93</v>
      </c>
      <c r="N7" s="238">
        <f>SUMIFS(Inhalation_Exp[24hr_Central Tendency],Inhalation_Exp[OES],$C$4,Inhalation_Exp[Worker Type],$L6,Inhalation_Exp[Data Type],$D$4)</f>
        <v>3.4518467380048324E-4</v>
      </c>
      <c r="O7" s="238">
        <f>SUMIFS(Inhalation_Exp[Int_Central Tendency],Inhalation_Exp[OES],$C$4,Inhalation_Exp[Worker Type],$L6,Inhalation_Exp[Data Type],$D$4)</f>
        <v>2.3012311586698882E-5</v>
      </c>
      <c r="P7" s="238">
        <f>SUMIFS(Inhalation_Exp[ADD_Central Tendency],Inhalation_Exp[OES],$C$4,Inhalation_Exp[Worker Type],$L6,Inhalation_Exp[Data Type],$D$4)</f>
        <v>1.8914228701396344E-6</v>
      </c>
      <c r="Q7" s="236">
        <f>SUMIFS(Inhalation_Exp[LADD_Central Tendency],Inhalation_Exp[OES],$C$4,Inhalation_Exp[Worker Type],$L6,Inhalation_Exp[Data Type],$D$4)</f>
        <v>7.5171934582472646E-7</v>
      </c>
    </row>
    <row r="8" spans="1:22" ht="15.5" x14ac:dyDescent="0.35">
      <c r="C8" s="12"/>
      <c r="D8" s="12"/>
      <c r="E8" s="12"/>
      <c r="F8" s="12"/>
      <c r="L8" s="200" t="s">
        <v>67</v>
      </c>
    </row>
    <row r="9" spans="1:22" ht="25.5" customHeight="1" thickBot="1" x14ac:dyDescent="0.4">
      <c r="C9" s="12"/>
      <c r="D9" s="12"/>
      <c r="E9" s="12"/>
      <c r="H9" s="9"/>
      <c r="L9" s="201" t="s">
        <v>77</v>
      </c>
    </row>
    <row r="10" spans="1:22" ht="26" x14ac:dyDescent="0.35">
      <c r="C10" s="12"/>
      <c r="D10" s="12"/>
      <c r="E10" s="12"/>
      <c r="H10" s="9"/>
      <c r="L10" s="520" t="s">
        <v>168</v>
      </c>
      <c r="M10" s="491" t="s">
        <v>79</v>
      </c>
      <c r="N10" s="456" t="s">
        <v>146</v>
      </c>
      <c r="O10" s="456" t="s">
        <v>81</v>
      </c>
      <c r="P10" s="456" t="s">
        <v>147</v>
      </c>
      <c r="Q10" s="19" t="s">
        <v>148</v>
      </c>
    </row>
    <row r="11" spans="1:22" ht="13.5" thickBot="1" x14ac:dyDescent="0.4">
      <c r="H11" s="9"/>
      <c r="L11" s="521"/>
      <c r="M11" s="507"/>
      <c r="N11" s="457" t="s">
        <v>149</v>
      </c>
      <c r="O11" s="457" t="s">
        <v>86</v>
      </c>
      <c r="P11" s="457" t="s">
        <v>150</v>
      </c>
      <c r="Q11" s="24" t="s">
        <v>151</v>
      </c>
    </row>
    <row r="12" spans="1:22" ht="12.75" customHeight="1" thickBot="1" x14ac:dyDescent="0.4">
      <c r="H12" s="9"/>
      <c r="L12" s="526" t="str">
        <f>$F$4</f>
        <v>Female of Reproductive Age</v>
      </c>
      <c r="M12" s="207" t="s">
        <v>92</v>
      </c>
      <c r="N12" s="246">
        <f>SUMIFS(Dermal_Exp[High-End AD (mg/kg-day)],Dermal_Exp[Worker Type],$L$12,Dermal_Exp[OES],$C$4)</f>
        <v>6.0972375690607726E-2</v>
      </c>
      <c r="O12" s="246">
        <f>SUMIFS(Dermal_Exp[High-End IADD (mg/kg-day)],Dermal_Exp[Worker Type],$L$12,Dermal_Exp[OES],$C$4)</f>
        <v>8.1296500920810307E-3</v>
      </c>
      <c r="P12" s="246">
        <f>SUMIFS(Dermal_Exp[High-End ADD (mg/kg-day)],Dermal_Exp[Worker Type],$L$12,Dermal_Exp[OES],$C$4)</f>
        <v>6.6819041852720794E-4</v>
      </c>
      <c r="Q12" s="247">
        <f>SUMIFS(Dermal_Exp[High-End LADD (mg/kg-day)],Dermal_Exp[Worker Type],$L$12,Dermal_Exp[OES],$C$4)</f>
        <v>3.4266175309087587E-4</v>
      </c>
    </row>
    <row r="13" spans="1:22" ht="15.75" customHeight="1" thickBot="1" x14ac:dyDescent="0.4">
      <c r="H13" s="9"/>
      <c r="L13" s="527"/>
      <c r="M13" s="208" t="s">
        <v>93</v>
      </c>
      <c r="N13" s="332">
        <f>SUMIFS(Dermal_Exp[Central Tendency AD (mg/kg-day)],Dermal_Exp[Worker Type],$L$12,Dermal_Exp[OES],$C$4)</f>
        <v>3.0486187845303863E-2</v>
      </c>
      <c r="O13" s="251">
        <f>SUMIFS(Dermal_Exp[Central Tendency IADD (mg/kg-day)],Dermal_Exp[Worker Type],$L$12,Dermal_Exp[OES],$C$4)</f>
        <v>2.0324125230202577E-3</v>
      </c>
      <c r="P13" s="251">
        <f>SUMIFS(Dermal_Exp[Central Tendency ADD (mg/kg-day)],Dermal_Exp[Worker Type],$L$12,Dermal_Exp[OES],$C$4)</f>
        <v>1.6704760463180198E-4</v>
      </c>
      <c r="Q13" s="252">
        <f>SUMIFS(Dermal_Exp[Central Tendency LADD (mg/kg-day)],Dermal_Exp[Worker Type],$L$12,Dermal_Exp[OES],$C$4)</f>
        <v>6.6390714661357199E-5</v>
      </c>
    </row>
    <row r="14" spans="1:22" s="14" customFormat="1" ht="15.5" thickBot="1" x14ac:dyDescent="0.4">
      <c r="B14" s="22"/>
      <c r="C14" s="16"/>
      <c r="D14" s="30"/>
      <c r="E14" s="30"/>
      <c r="F14" s="30"/>
      <c r="G14" s="31"/>
      <c r="H14" s="202" t="s">
        <v>172</v>
      </c>
      <c r="I14" s="16"/>
      <c r="J14" s="16"/>
      <c r="L14" s="29"/>
      <c r="M14" s="558"/>
      <c r="N14" s="558"/>
      <c r="O14" s="460"/>
      <c r="P14" s="460"/>
      <c r="S14" s="255"/>
    </row>
    <row r="15" spans="1:22" s="14" customFormat="1" ht="12.75" customHeight="1" x14ac:dyDescent="0.35">
      <c r="B15" s="22"/>
      <c r="C15" s="552" t="s">
        <v>154</v>
      </c>
      <c r="D15" s="552" t="s">
        <v>155</v>
      </c>
      <c r="E15" s="552"/>
      <c r="F15" s="549" t="s">
        <v>156</v>
      </c>
      <c r="G15" s="33"/>
      <c r="H15" s="530" t="s">
        <v>99</v>
      </c>
      <c r="I15" s="489" t="s">
        <v>79</v>
      </c>
      <c r="J15" s="497" t="s">
        <v>100</v>
      </c>
      <c r="K15" s="612" t="str">
        <f>_xlfn.CONCAT("Exposure Estimates: ",$F$4," MOE")</f>
        <v>Exposure Estimates: Female of Reproductive Age MOE</v>
      </c>
      <c r="L15" s="612"/>
      <c r="M15" s="612"/>
      <c r="N15" s="612"/>
      <c r="O15" s="612"/>
      <c r="P15" s="612"/>
      <c r="Q15" s="612"/>
      <c r="R15" s="613"/>
      <c r="S15" s="255"/>
    </row>
    <row r="16" spans="1:22" s="14" customFormat="1" ht="12.75" customHeight="1" x14ac:dyDescent="0.35">
      <c r="B16" s="22"/>
      <c r="C16" s="553"/>
      <c r="D16" s="553"/>
      <c r="E16" s="553"/>
      <c r="F16" s="550"/>
      <c r="G16" s="34"/>
      <c r="H16" s="609"/>
      <c r="I16" s="508"/>
      <c r="J16" s="508"/>
      <c r="K16" s="605" t="s">
        <v>173</v>
      </c>
      <c r="L16" s="599" t="s">
        <v>161</v>
      </c>
      <c r="M16" s="606" t="s">
        <v>174</v>
      </c>
      <c r="N16" s="607"/>
      <c r="O16" s="607"/>
      <c r="P16" s="607"/>
      <c r="Q16" s="607"/>
      <c r="R16" s="608"/>
      <c r="S16" s="255"/>
    </row>
    <row r="17" spans="2:18" s="14" customFormat="1" ht="13.5" thickBot="1" x14ac:dyDescent="0.4">
      <c r="B17" s="22"/>
      <c r="C17" s="553"/>
      <c r="D17" s="553"/>
      <c r="E17" s="553"/>
      <c r="F17" s="550"/>
      <c r="G17" s="34"/>
      <c r="H17" s="610"/>
      <c r="I17" s="490"/>
      <c r="J17" s="598"/>
      <c r="K17" s="600"/>
      <c r="L17" s="600"/>
      <c r="M17" s="465">
        <f>'List Values'!$D$15</f>
        <v>5</v>
      </c>
      <c r="N17" s="465">
        <f>'List Values'!$D$16</f>
        <v>10</v>
      </c>
      <c r="O17" s="465">
        <f>'List Values'!$D$17</f>
        <v>25</v>
      </c>
      <c r="P17" s="465">
        <f>'List Values'!$D$18</f>
        <v>50</v>
      </c>
      <c r="Q17" s="21">
        <f>'List Values'!$D$19</f>
        <v>1000</v>
      </c>
      <c r="R17" s="21">
        <f>'List Values'!$D$20</f>
        <v>10000</v>
      </c>
    </row>
    <row r="18" spans="2:18" s="14" customFormat="1" x14ac:dyDescent="0.35">
      <c r="B18" s="577" t="s">
        <v>108</v>
      </c>
      <c r="C18" s="541" t="s">
        <v>162</v>
      </c>
      <c r="D18" s="578" t="str">
        <f>_xlfn.XLOOKUP($B18,Tox_Table[Code],Tox_Table[Health Effect])</f>
        <v>Phthalate syndrome-related effects</v>
      </c>
      <c r="E18" s="578">
        <f>_xlfn.XLOOKUP($B18,Tox_Table[Code],Tox_Table[Endpoint])</f>
        <v>0</v>
      </c>
      <c r="F18" s="574">
        <f>_xlfn.XLOOKUP($B18,Tox_Table[Code],Tox_Table[Study])</f>
        <v>0</v>
      </c>
      <c r="G18" s="36"/>
      <c r="H18" s="581">
        <f>_xlfn.XLOOKUP($B18, Tox_Table[Code],Tox_Table[HED / POD (mg/kg/day)], FALSE)</f>
        <v>12</v>
      </c>
      <c r="I18" s="595" t="s">
        <v>92</v>
      </c>
      <c r="J18" s="601">
        <f>_xlfn.XLOOKUP($B18,Tox_Table[Code],Tox_Table[Benchmark MOE])</f>
        <v>30</v>
      </c>
      <c r="K18" s="210" t="s">
        <v>159</v>
      </c>
      <c r="L18" s="37">
        <f>IFERROR($H$18/($N$6+$N$12),"")</f>
        <v>194.60697042540554</v>
      </c>
      <c r="M18" s="37">
        <f t="shared" ref="M18:R18" si="0">IFERROR($H$18/(($N$6/M$17)+$N$12),"")</f>
        <v>196.36576209757604</v>
      </c>
      <c r="N18" s="37">
        <f t="shared" si="0"/>
        <v>196.58784886988337</v>
      </c>
      <c r="O18" s="37">
        <f t="shared" si="0"/>
        <v>196.72134222678761</v>
      </c>
      <c r="P18" s="37">
        <f t="shared" si="0"/>
        <v>196.76588030995299</v>
      </c>
      <c r="Q18" s="38">
        <f t="shared" si="0"/>
        <v>196.80821017267363</v>
      </c>
      <c r="R18" s="38">
        <f t="shared" si="0"/>
        <v>196.81021572322419</v>
      </c>
    </row>
    <row r="19" spans="2:18" s="14" customFormat="1" x14ac:dyDescent="0.35">
      <c r="B19" s="577"/>
      <c r="C19" s="542"/>
      <c r="D19" s="579"/>
      <c r="E19" s="579"/>
      <c r="F19" s="575"/>
      <c r="G19" s="36"/>
      <c r="H19" s="582"/>
      <c r="I19" s="588"/>
      <c r="J19" s="601"/>
      <c r="K19" s="206">
        <f>'List Values'!$D$23</f>
        <v>5</v>
      </c>
      <c r="L19" s="205">
        <f>IFERROR($H$18/($N$6+$N$12/K19),"")</f>
        <v>931.32672367889313</v>
      </c>
      <c r="M19" s="205">
        <f t="shared" ref="M19:R21" si="1">IFERROR($H$18/(($N$6/M$17)+$N$12/$K19),"")</f>
        <v>973.03485212702765</v>
      </c>
      <c r="N19" s="205">
        <f t="shared" si="1"/>
        <v>978.51251164302698</v>
      </c>
      <c r="O19" s="205">
        <f t="shared" si="1"/>
        <v>981.82881048788022</v>
      </c>
      <c r="P19" s="205">
        <f t="shared" si="1"/>
        <v>982.93924434941675</v>
      </c>
      <c r="Q19" s="209">
        <f t="shared" si="1"/>
        <v>983.9964855458818</v>
      </c>
      <c r="R19" s="209">
        <f t="shared" si="1"/>
        <v>984.04662181188849</v>
      </c>
    </row>
    <row r="20" spans="2:18" s="14" customFormat="1" x14ac:dyDescent="0.35">
      <c r="B20" s="577"/>
      <c r="C20" s="542"/>
      <c r="D20" s="579"/>
      <c r="E20" s="579"/>
      <c r="F20" s="575"/>
      <c r="G20" s="36"/>
      <c r="H20" s="582"/>
      <c r="I20" s="588"/>
      <c r="J20" s="601"/>
      <c r="K20" s="206">
        <f>'List Values'!$D$24</f>
        <v>10</v>
      </c>
      <c r="L20" s="205">
        <f>IFERROR($H$18/($N$6+$N$12/K20),"")</f>
        <v>1767.9279527138269</v>
      </c>
      <c r="M20" s="205">
        <f t="shared" si="1"/>
        <v>1924.5229557821353</v>
      </c>
      <c r="N20" s="205">
        <f t="shared" si="1"/>
        <v>1946.0697042540553</v>
      </c>
      <c r="O20" s="205">
        <f t="shared" si="1"/>
        <v>1959.2309051798709</v>
      </c>
      <c r="P20" s="205">
        <f t="shared" si="1"/>
        <v>1963.6576209757604</v>
      </c>
      <c r="Q20" s="209">
        <f t="shared" si="1"/>
        <v>1967.8815691502139</v>
      </c>
      <c r="R20" s="209">
        <f t="shared" si="1"/>
        <v>1968.082101726736</v>
      </c>
    </row>
    <row r="21" spans="2:18" s="14" customFormat="1" x14ac:dyDescent="0.35">
      <c r="B21" s="577"/>
      <c r="C21" s="542"/>
      <c r="D21" s="579"/>
      <c r="E21" s="579"/>
      <c r="F21" s="575"/>
      <c r="G21" s="36"/>
      <c r="H21" s="582"/>
      <c r="I21" s="588"/>
      <c r="J21" s="602"/>
      <c r="K21" s="206">
        <f>'List Values'!$D$25</f>
        <v>20</v>
      </c>
      <c r="L21" s="205">
        <f>IFERROR($H$18/($N$6+$N$12/K21),"")</f>
        <v>3209.4244688494327</v>
      </c>
      <c r="M21" s="205">
        <f t="shared" si="1"/>
        <v>3765.6596674759007</v>
      </c>
      <c r="N21" s="205">
        <f t="shared" si="1"/>
        <v>3849.0459115642707</v>
      </c>
      <c r="O21" s="205">
        <f t="shared" si="1"/>
        <v>3900.8741605780779</v>
      </c>
      <c r="P21" s="205">
        <f t="shared" si="1"/>
        <v>3918.4618103597418</v>
      </c>
      <c r="Q21" s="209">
        <f t="shared" si="1"/>
        <v>3935.3176061990594</v>
      </c>
      <c r="R21" s="209">
        <f t="shared" si="1"/>
        <v>3936.1196366222266</v>
      </c>
    </row>
    <row r="22" spans="2:18" s="14" customFormat="1" x14ac:dyDescent="0.35">
      <c r="B22" s="577" t="s">
        <v>108</v>
      </c>
      <c r="C22" s="542"/>
      <c r="D22" s="579"/>
      <c r="E22" s="579"/>
      <c r="F22" s="575"/>
      <c r="G22" s="36"/>
      <c r="H22" s="582">
        <f>_xlfn.XLOOKUP(B22, Tox_Table[Code],Tox_Table[HED / POD (mg/kg/day)], FALSE)</f>
        <v>12</v>
      </c>
      <c r="I22" s="588" t="s">
        <v>93</v>
      </c>
      <c r="J22" s="590">
        <f>_xlfn.XLOOKUP($B22,Tox_Table[Code],Tox_Table[Benchmark MOE])</f>
        <v>30</v>
      </c>
      <c r="K22" s="206" t="s">
        <v>159</v>
      </c>
      <c r="L22" s="205">
        <f>IFERROR($H$22/($N$7+$N$13),"")</f>
        <v>389.21394085081107</v>
      </c>
      <c r="M22" s="205">
        <f t="shared" ref="M22:R22" si="2">IFERROR($H$22/(($N$7/M$17)+$N$13),"")</f>
        <v>392.73152419515208</v>
      </c>
      <c r="N22" s="205">
        <f t="shared" si="2"/>
        <v>393.17569773976675</v>
      </c>
      <c r="O22" s="205">
        <f t="shared" si="2"/>
        <v>393.44268445357523</v>
      </c>
      <c r="P22" s="205">
        <f t="shared" si="2"/>
        <v>393.53176061990598</v>
      </c>
      <c r="Q22" s="209">
        <f t="shared" si="2"/>
        <v>393.61642034534725</v>
      </c>
      <c r="R22" s="209">
        <f t="shared" si="2"/>
        <v>393.62043144644838</v>
      </c>
    </row>
    <row r="23" spans="2:18" s="14" customFormat="1" x14ac:dyDescent="0.35">
      <c r="B23" s="577"/>
      <c r="C23" s="542"/>
      <c r="D23" s="579"/>
      <c r="E23" s="579"/>
      <c r="F23" s="575"/>
      <c r="G23" s="36"/>
      <c r="H23" s="582"/>
      <c r="I23" s="588"/>
      <c r="J23" s="590"/>
      <c r="K23" s="206">
        <f>'List Values'!$D$23</f>
        <v>5</v>
      </c>
      <c r="L23" s="205">
        <f>IFERROR($H$22/($N$7+$N$13/K23),"")</f>
        <v>1862.6534473577863</v>
      </c>
      <c r="M23" s="205">
        <f t="shared" ref="M23:R25" si="3">IFERROR($H$22/(($N$7/M$17)+$N$13/$K23),"")</f>
        <v>1946.0697042540553</v>
      </c>
      <c r="N23" s="205">
        <f t="shared" si="3"/>
        <v>1957.025023286054</v>
      </c>
      <c r="O23" s="205">
        <f t="shared" si="3"/>
        <v>1963.6576209757604</v>
      </c>
      <c r="P23" s="205">
        <f t="shared" si="3"/>
        <v>1965.8784886988335</v>
      </c>
      <c r="Q23" s="209">
        <f t="shared" si="3"/>
        <v>1967.9929710917636</v>
      </c>
      <c r="R23" s="209">
        <f t="shared" si="3"/>
        <v>1968.093243623777</v>
      </c>
    </row>
    <row r="24" spans="2:18" s="14" customFormat="1" x14ac:dyDescent="0.35">
      <c r="B24" s="577"/>
      <c r="C24" s="542"/>
      <c r="D24" s="579"/>
      <c r="E24" s="579"/>
      <c r="F24" s="575"/>
      <c r="G24" s="36"/>
      <c r="H24" s="582"/>
      <c r="I24" s="588"/>
      <c r="J24" s="590"/>
      <c r="K24" s="206">
        <f>'List Values'!$D$24</f>
        <v>10</v>
      </c>
      <c r="L24" s="205">
        <f>IFERROR($H$22/($N$7+$N$13/K24),"")</f>
        <v>3535.8559054276539</v>
      </c>
      <c r="M24" s="205">
        <f t="shared" si="3"/>
        <v>3849.0459115642707</v>
      </c>
      <c r="N24" s="205">
        <f t="shared" si="3"/>
        <v>3892.1394085081106</v>
      </c>
      <c r="O24" s="205">
        <f t="shared" si="3"/>
        <v>3918.4618103597418</v>
      </c>
      <c r="P24" s="205">
        <f t="shared" si="3"/>
        <v>3927.3152419515209</v>
      </c>
      <c r="Q24" s="209">
        <f t="shared" si="3"/>
        <v>3935.7631383004277</v>
      </c>
      <c r="R24" s="209">
        <f t="shared" si="3"/>
        <v>3936.1642034534721</v>
      </c>
    </row>
    <row r="25" spans="2:18" s="14" customFormat="1" ht="13.5" thickBot="1" x14ac:dyDescent="0.4">
      <c r="B25" s="577"/>
      <c r="C25" s="567"/>
      <c r="D25" s="580"/>
      <c r="E25" s="580"/>
      <c r="F25" s="576"/>
      <c r="G25" s="36"/>
      <c r="H25" s="587"/>
      <c r="I25" s="603"/>
      <c r="J25" s="604"/>
      <c r="K25" s="206">
        <f>'List Values'!$D$25</f>
        <v>20</v>
      </c>
      <c r="L25" s="40">
        <f>IFERROR($H$22/($N$7+$N$13/K25),"")</f>
        <v>6418.8489376988655</v>
      </c>
      <c r="M25" s="40">
        <f t="shared" si="3"/>
        <v>7531.3193349518015</v>
      </c>
      <c r="N25" s="40">
        <f t="shared" si="3"/>
        <v>7698.0918231285414</v>
      </c>
      <c r="O25" s="40">
        <f t="shared" si="3"/>
        <v>7801.7483211561557</v>
      </c>
      <c r="P25" s="40">
        <f t="shared" si="3"/>
        <v>7836.9236207194836</v>
      </c>
      <c r="Q25" s="41">
        <f t="shared" si="3"/>
        <v>7870.6352123981187</v>
      </c>
      <c r="R25" s="41">
        <f t="shared" si="3"/>
        <v>7872.2392732444532</v>
      </c>
    </row>
    <row r="26" spans="2:18" s="14" customFormat="1" x14ac:dyDescent="0.35">
      <c r="B26" s="577" t="s">
        <v>113</v>
      </c>
      <c r="C26" s="542" t="s">
        <v>163</v>
      </c>
      <c r="D26" s="579" t="str">
        <f>_xlfn.XLOOKUP($B26,Tox_Table[Code],Tox_Table[Health Effect])</f>
        <v>Phthalate syndrome-related effects</v>
      </c>
      <c r="E26" s="579">
        <f>_xlfn.XLOOKUP($B26,Tox_Table[Code],Tox_Table[Endpoint])</f>
        <v>0</v>
      </c>
      <c r="F26" s="575">
        <f>_xlfn.XLOOKUP($B26,Tox_Table[Code],Tox_Table[Study])</f>
        <v>0</v>
      </c>
      <c r="G26" s="36"/>
      <c r="H26" s="594">
        <f>_xlfn.XLOOKUP($B26, Tox_Table[Code],Tox_Table[HED / POD (mg/kg/day)], FALSE)</f>
        <v>12</v>
      </c>
      <c r="I26" s="597" t="s">
        <v>92</v>
      </c>
      <c r="J26" s="602">
        <f>_xlfn.XLOOKUP($B26,Tox_Table[Code],Tox_Table[Benchmark MOE])</f>
        <v>30</v>
      </c>
      <c r="K26" s="210" t="s">
        <v>159</v>
      </c>
      <c r="L26" s="37">
        <f>IFERROR($H$26/($O$6+$O$12),"")</f>
        <v>1459.5522781905413</v>
      </c>
      <c r="M26" s="37">
        <f t="shared" ref="M26:R26" si="4">IFERROR($H$26/(($O$6/M$17)+$O$12),"")</f>
        <v>1472.7432157318203</v>
      </c>
      <c r="N26" s="37">
        <f t="shared" si="4"/>
        <v>1474.408866524125</v>
      </c>
      <c r="O26" s="37">
        <f t="shared" si="4"/>
        <v>1475.4100667009072</v>
      </c>
      <c r="P26" s="37">
        <f t="shared" si="4"/>
        <v>1475.744102324647</v>
      </c>
      <c r="Q26" s="38">
        <f t="shared" si="4"/>
        <v>1476.061576295052</v>
      </c>
      <c r="R26" s="38">
        <f t="shared" si="4"/>
        <v>1476.0766179241812</v>
      </c>
    </row>
    <row r="27" spans="2:18" s="14" customFormat="1" x14ac:dyDescent="0.35">
      <c r="B27" s="577" t="s">
        <v>113</v>
      </c>
      <c r="C27" s="542"/>
      <c r="D27" s="579"/>
      <c r="E27" s="579"/>
      <c r="F27" s="575"/>
      <c r="G27" s="36"/>
      <c r="H27" s="582"/>
      <c r="I27" s="588"/>
      <c r="J27" s="590"/>
      <c r="K27" s="206">
        <f>'List Values'!$D$23</f>
        <v>5</v>
      </c>
      <c r="L27" s="205">
        <f>IFERROR($H$26/($O$6+$O$12/K27),"")</f>
        <v>6984.9504275916988</v>
      </c>
      <c r="M27" s="205">
        <f t="shared" ref="M27:R29" si="5">IFERROR($H$26/(($O$6/M$17)+$O$12/$K27),"")</f>
        <v>7297.7613909527063</v>
      </c>
      <c r="N27" s="205">
        <f t="shared" si="5"/>
        <v>7338.8438373227018</v>
      </c>
      <c r="O27" s="205">
        <f t="shared" si="5"/>
        <v>7363.7160786591012</v>
      </c>
      <c r="P27" s="205">
        <f t="shared" si="5"/>
        <v>7372.0443326206259</v>
      </c>
      <c r="Q27" s="209">
        <f t="shared" si="5"/>
        <v>7379.9736415941134</v>
      </c>
      <c r="R27" s="209">
        <f t="shared" si="5"/>
        <v>7380.3496635891643</v>
      </c>
    </row>
    <row r="28" spans="2:18" s="14" customFormat="1" x14ac:dyDescent="0.35">
      <c r="B28" s="577"/>
      <c r="C28" s="542"/>
      <c r="D28" s="579"/>
      <c r="E28" s="579"/>
      <c r="F28" s="575"/>
      <c r="G28" s="36"/>
      <c r="H28" s="582"/>
      <c r="I28" s="588"/>
      <c r="J28" s="590"/>
      <c r="K28" s="206">
        <f>'List Values'!$D$24</f>
        <v>10</v>
      </c>
      <c r="L28" s="205">
        <f>IFERROR($H$26/($O$6+$O$12/K28),"")</f>
        <v>13259.459645353701</v>
      </c>
      <c r="M28" s="205">
        <f t="shared" si="5"/>
        <v>14433.922168366016</v>
      </c>
      <c r="N28" s="205">
        <f t="shared" si="5"/>
        <v>14595.522781905413</v>
      </c>
      <c r="O28" s="205">
        <f t="shared" si="5"/>
        <v>14694.231788849031</v>
      </c>
      <c r="P28" s="205">
        <f t="shared" si="5"/>
        <v>14727.432157318202</v>
      </c>
      <c r="Q28" s="209">
        <f t="shared" si="5"/>
        <v>14759.111768626604</v>
      </c>
      <c r="R28" s="209">
        <f t="shared" si="5"/>
        <v>14760.61576295052</v>
      </c>
    </row>
    <row r="29" spans="2:18" s="14" customFormat="1" x14ac:dyDescent="0.35">
      <c r="B29" s="577"/>
      <c r="C29" s="542"/>
      <c r="D29" s="579"/>
      <c r="E29" s="579"/>
      <c r="F29" s="575"/>
      <c r="G29" s="36"/>
      <c r="H29" s="582"/>
      <c r="I29" s="588"/>
      <c r="J29" s="590"/>
      <c r="K29" s="206">
        <f>'List Values'!$D$25</f>
        <v>20</v>
      </c>
      <c r="L29" s="205">
        <f>IFERROR($H$26/($O$6+$O$12/K29),"")</f>
        <v>24070.683516370747</v>
      </c>
      <c r="M29" s="205">
        <f t="shared" si="5"/>
        <v>28242.447506069253</v>
      </c>
      <c r="N29" s="205">
        <f t="shared" si="5"/>
        <v>28867.844336732032</v>
      </c>
      <c r="O29" s="205">
        <f t="shared" si="5"/>
        <v>29256.556204335582</v>
      </c>
      <c r="P29" s="205">
        <f t="shared" si="5"/>
        <v>29388.463577698061</v>
      </c>
      <c r="Q29" s="209">
        <f t="shared" si="5"/>
        <v>29514.882046492945</v>
      </c>
      <c r="R29" s="209">
        <f t="shared" si="5"/>
        <v>29520.897274666699</v>
      </c>
    </row>
    <row r="30" spans="2:18" s="14" customFormat="1" x14ac:dyDescent="0.35">
      <c r="B30" s="577" t="s">
        <v>113</v>
      </c>
      <c r="C30" s="542"/>
      <c r="D30" s="579"/>
      <c r="E30" s="579"/>
      <c r="F30" s="575"/>
      <c r="G30" s="36"/>
      <c r="H30" s="582">
        <f>_xlfn.XLOOKUP(B30, Tox_Table[Code],Tox_Table[HED / POD (mg/kg/day)], FALSE)</f>
        <v>12</v>
      </c>
      <c r="I30" s="588" t="s">
        <v>93</v>
      </c>
      <c r="J30" s="590">
        <f>_xlfn.XLOOKUP($B30,Tox_Table[Code],Tox_Table[Benchmark MOE])</f>
        <v>30</v>
      </c>
      <c r="K30" s="206" t="s">
        <v>159</v>
      </c>
      <c r="L30" s="205">
        <f>IFERROR($H$30/($O$7+$O$13),"")</f>
        <v>5838.2091127621652</v>
      </c>
      <c r="M30" s="205">
        <f t="shared" ref="M30:R30" si="6">IFERROR($H$30/(($O$7/M$17)+$O$13),"")</f>
        <v>5890.9728629272813</v>
      </c>
      <c r="N30" s="205">
        <f t="shared" si="6"/>
        <v>5897.6354660964998</v>
      </c>
      <c r="O30" s="205">
        <f t="shared" si="6"/>
        <v>5901.6402668036289</v>
      </c>
      <c r="P30" s="205">
        <f t="shared" si="6"/>
        <v>5902.9764092985879</v>
      </c>
      <c r="Q30" s="209">
        <f t="shared" si="6"/>
        <v>5904.2463051802079</v>
      </c>
      <c r="R30" s="209">
        <f t="shared" si="6"/>
        <v>5904.3064716967247</v>
      </c>
    </row>
    <row r="31" spans="2:18" s="14" customFormat="1" x14ac:dyDescent="0.35">
      <c r="B31" s="577" t="s">
        <v>113</v>
      </c>
      <c r="C31" s="542"/>
      <c r="D31" s="579"/>
      <c r="E31" s="579"/>
      <c r="F31" s="575"/>
      <c r="G31" s="36"/>
      <c r="H31" s="582"/>
      <c r="I31" s="588"/>
      <c r="J31" s="590"/>
      <c r="K31" s="206">
        <f>'List Values'!$D$23</f>
        <v>5</v>
      </c>
      <c r="L31" s="205">
        <f>IFERROR($H$30/($O$7+$O$13/K31),"")</f>
        <v>27939.801710366795</v>
      </c>
      <c r="M31" s="205">
        <f t="shared" ref="M31:R33" si="7">IFERROR($H$30/(($O$7/M$17)+$O$13/$K31),"")</f>
        <v>29191.045563810825</v>
      </c>
      <c r="N31" s="205">
        <f t="shared" si="7"/>
        <v>29355.375349290807</v>
      </c>
      <c r="O31" s="205">
        <f t="shared" si="7"/>
        <v>29454.864314636405</v>
      </c>
      <c r="P31" s="205">
        <f t="shared" si="7"/>
        <v>29488.177330482504</v>
      </c>
      <c r="Q31" s="209">
        <f t="shared" si="7"/>
        <v>29519.894566376453</v>
      </c>
      <c r="R31" s="209">
        <f t="shared" si="7"/>
        <v>29521.398654356657</v>
      </c>
    </row>
    <row r="32" spans="2:18" s="14" customFormat="1" x14ac:dyDescent="0.35">
      <c r="B32" s="577"/>
      <c r="C32" s="542"/>
      <c r="D32" s="579"/>
      <c r="E32" s="579"/>
      <c r="F32" s="575"/>
      <c r="G32" s="36"/>
      <c r="H32" s="582"/>
      <c r="I32" s="588"/>
      <c r="J32" s="590"/>
      <c r="K32" s="206">
        <f>'List Values'!$D$24</f>
        <v>10</v>
      </c>
      <c r="L32" s="205">
        <f>IFERROR($H$30/($O$7+$O$13/K32),"")</f>
        <v>53037.838581414806</v>
      </c>
      <c r="M32" s="205">
        <f t="shared" si="7"/>
        <v>57735.688673464065</v>
      </c>
      <c r="N32" s="205">
        <f t="shared" si="7"/>
        <v>58382.09112762165</v>
      </c>
      <c r="O32" s="205">
        <f t="shared" si="7"/>
        <v>58776.927155396123</v>
      </c>
      <c r="P32" s="205">
        <f t="shared" si="7"/>
        <v>58909.728629272809</v>
      </c>
      <c r="Q32" s="209">
        <f t="shared" si="7"/>
        <v>59036.447074506417</v>
      </c>
      <c r="R32" s="209">
        <f t="shared" si="7"/>
        <v>59042.463051802079</v>
      </c>
    </row>
    <row r="33" spans="2:18" s="14" customFormat="1" ht="13.5" customHeight="1" thickBot="1" x14ac:dyDescent="0.4">
      <c r="B33" s="577"/>
      <c r="C33" s="542"/>
      <c r="D33" s="579"/>
      <c r="E33" s="579"/>
      <c r="F33" s="575"/>
      <c r="G33" s="36"/>
      <c r="H33" s="587"/>
      <c r="I33" s="589"/>
      <c r="J33" s="591"/>
      <c r="K33" s="206">
        <f>'List Values'!$D$25</f>
        <v>20</v>
      </c>
      <c r="L33" s="213">
        <f>IFERROR($H$30/($O$7+$O$13/K33),"")</f>
        <v>96282.73406548299</v>
      </c>
      <c r="M33" s="213">
        <f t="shared" si="7"/>
        <v>112969.79002427701</v>
      </c>
      <c r="N33" s="213">
        <f t="shared" si="7"/>
        <v>115471.37734692813</v>
      </c>
      <c r="O33" s="213">
        <f t="shared" si="7"/>
        <v>117026.22481734233</v>
      </c>
      <c r="P33" s="213">
        <f t="shared" si="7"/>
        <v>117553.85431079225</v>
      </c>
      <c r="Q33" s="214">
        <f t="shared" si="7"/>
        <v>118059.52818597178</v>
      </c>
      <c r="R33" s="214">
        <f t="shared" si="7"/>
        <v>118083.58909866679</v>
      </c>
    </row>
    <row r="34" spans="2:18" s="14" customFormat="1" x14ac:dyDescent="0.35">
      <c r="B34" s="577" t="s">
        <v>119</v>
      </c>
      <c r="C34" s="541" t="s">
        <v>164</v>
      </c>
      <c r="D34" s="578" t="str">
        <f>_xlfn.XLOOKUP($B34,Tox_Table[Code],Tox_Table[Health Effect])</f>
        <v>Phthalate syndrome-related effects</v>
      </c>
      <c r="E34" s="578">
        <f>_xlfn.XLOOKUP($B34,Tox_Table[Code],Tox_Table[Endpoint])</f>
        <v>0</v>
      </c>
      <c r="F34" s="574">
        <f>_xlfn.XLOOKUP($B34,Tox_Table[Code],Tox_Table[Study])</f>
        <v>0</v>
      </c>
      <c r="G34" s="42"/>
      <c r="H34" s="594">
        <f>_xlfn.XLOOKUP($B34, Tox_Table[Code],Tox_Table[HED / POD (mg/kg/day)], FALSE)</f>
        <v>12</v>
      </c>
      <c r="I34" s="595" t="s">
        <v>92</v>
      </c>
      <c r="J34" s="596">
        <f>_xlfn.XLOOKUP($B34,Tox_Table[Code],Tox_Table[Benchmark MOE])</f>
        <v>30</v>
      </c>
      <c r="K34" s="211" t="s">
        <v>159</v>
      </c>
      <c r="L34" s="44">
        <f>IFERROR($H$34/($P$6+$P$12),"")</f>
        <v>17757.886051318255</v>
      </c>
      <c r="M34" s="44">
        <f t="shared" ref="M34:R34" si="8">IFERROR($H$34/(($P$6/M$17)+$P$12),"")</f>
        <v>17918.375791403814</v>
      </c>
      <c r="N34" s="44">
        <f t="shared" si="8"/>
        <v>17938.641209376859</v>
      </c>
      <c r="O34" s="44">
        <f t="shared" si="8"/>
        <v>17950.822478194372</v>
      </c>
      <c r="P34" s="44">
        <f t="shared" si="8"/>
        <v>17954.886578283211</v>
      </c>
      <c r="Q34" s="45">
        <f t="shared" si="8"/>
        <v>17958.749178256468</v>
      </c>
      <c r="R34" s="45">
        <f t="shared" si="8"/>
        <v>17958.932184744208</v>
      </c>
    </row>
    <row r="35" spans="2:18" s="14" customFormat="1" x14ac:dyDescent="0.35">
      <c r="B35" s="577" t="s">
        <v>119</v>
      </c>
      <c r="C35" s="542"/>
      <c r="D35" s="579"/>
      <c r="E35" s="579"/>
      <c r="F35" s="575"/>
      <c r="G35" s="42"/>
      <c r="H35" s="582"/>
      <c r="I35" s="588"/>
      <c r="J35" s="590"/>
      <c r="K35" s="206">
        <f>'List Values'!$D$23</f>
        <v>5</v>
      </c>
      <c r="L35" s="205">
        <f>IFERROR($H$34/($P$6+$P$12/K35),"")</f>
        <v>84983.56353569901</v>
      </c>
      <c r="M35" s="205">
        <f>IFERROR($H$34/(($P$6/M$17)+$P$12/$K35),"")</f>
        <v>88789.43025659128</v>
      </c>
      <c r="N35" s="205">
        <f t="shared" ref="M35:R37" si="9">IFERROR($H$34/(($P$6/N$17)+$P$12/$K35),"")</f>
        <v>89289.266687426221</v>
      </c>
      <c r="O35" s="205">
        <f t="shared" si="9"/>
        <v>89591.878957019071</v>
      </c>
      <c r="P35" s="205">
        <f t="shared" si="9"/>
        <v>89693.206046884297</v>
      </c>
      <c r="Q35" s="209">
        <f t="shared" si="9"/>
        <v>89789.67930606172</v>
      </c>
      <c r="R35" s="209">
        <f t="shared" si="9"/>
        <v>89794.25424033482</v>
      </c>
    </row>
    <row r="36" spans="2:18" s="14" customFormat="1" x14ac:dyDescent="0.35">
      <c r="B36" s="577"/>
      <c r="C36" s="542"/>
      <c r="D36" s="579"/>
      <c r="E36" s="579"/>
      <c r="F36" s="575"/>
      <c r="G36" s="42"/>
      <c r="H36" s="582"/>
      <c r="I36" s="588"/>
      <c r="J36" s="590"/>
      <c r="K36" s="206">
        <f>'List Values'!$D$24</f>
        <v>10</v>
      </c>
      <c r="L36" s="205">
        <f>IFERROR($H$34/($P$6+$P$12/K36),"")</f>
        <v>161323.42568513672</v>
      </c>
      <c r="M36" s="205">
        <f t="shared" si="9"/>
        <v>175612.71971511989</v>
      </c>
      <c r="N36" s="205">
        <f t="shared" si="9"/>
        <v>177578.86051318256</v>
      </c>
      <c r="O36" s="205">
        <f t="shared" si="9"/>
        <v>178779.82009766324</v>
      </c>
      <c r="P36" s="205">
        <f t="shared" si="9"/>
        <v>179183.75791403814</v>
      </c>
      <c r="Q36" s="209">
        <f t="shared" si="9"/>
        <v>179569.19318495705</v>
      </c>
      <c r="R36" s="209">
        <f t="shared" si="9"/>
        <v>179587.49178256467</v>
      </c>
    </row>
    <row r="37" spans="2:18" s="14" customFormat="1" x14ac:dyDescent="0.35">
      <c r="B37" s="577"/>
      <c r="C37" s="542"/>
      <c r="D37" s="579"/>
      <c r="E37" s="579"/>
      <c r="F37" s="575"/>
      <c r="G37" s="42"/>
      <c r="H37" s="582"/>
      <c r="I37" s="588"/>
      <c r="J37" s="590"/>
      <c r="K37" s="206">
        <f>'List Values'!$D$25</f>
        <v>20</v>
      </c>
      <c r="L37" s="205">
        <f>IFERROR($H$34/($P$6+$P$12/K37),"")</f>
        <v>292859.98278251075</v>
      </c>
      <c r="M37" s="205">
        <f t="shared" si="9"/>
        <v>343616.44465717592</v>
      </c>
      <c r="N37" s="205">
        <f t="shared" si="9"/>
        <v>351225.43943023978</v>
      </c>
      <c r="O37" s="205">
        <f t="shared" si="9"/>
        <v>355954.76715274958</v>
      </c>
      <c r="P37" s="205">
        <f t="shared" si="9"/>
        <v>357559.64019532647</v>
      </c>
      <c r="Q37" s="209">
        <f t="shared" si="9"/>
        <v>359097.73156566417</v>
      </c>
      <c r="R37" s="209">
        <f t="shared" si="9"/>
        <v>359170.91684177821</v>
      </c>
    </row>
    <row r="38" spans="2:18" s="14" customFormat="1" x14ac:dyDescent="0.35">
      <c r="B38" s="577" t="s">
        <v>119</v>
      </c>
      <c r="C38" s="542"/>
      <c r="D38" s="579"/>
      <c r="E38" s="579"/>
      <c r="F38" s="575"/>
      <c r="G38" s="42"/>
      <c r="H38" s="582">
        <f>_xlfn.XLOOKUP(B38, Tox_Table[Code],Tox_Table[HED / POD (mg/kg/day)], FALSE)</f>
        <v>12</v>
      </c>
      <c r="I38" s="588" t="s">
        <v>93</v>
      </c>
      <c r="J38" s="590">
        <f>_xlfn.XLOOKUP($B38,Tox_Table[Code],Tox_Table[Benchmark MOE])</f>
        <v>30</v>
      </c>
      <c r="K38" s="206" t="s">
        <v>159</v>
      </c>
      <c r="L38" s="205">
        <f>IFERROR($H$38/($P$7+$P$13),"")</f>
        <v>71031.544205273021</v>
      </c>
      <c r="M38" s="205">
        <f t="shared" ref="M38:R38" si="10">IFERROR($H$38/(($P$7/M$17)+$P$13),"")</f>
        <v>71673.503165615257</v>
      </c>
      <c r="N38" s="205">
        <f t="shared" si="10"/>
        <v>71754.564837507438</v>
      </c>
      <c r="O38" s="205">
        <f t="shared" si="10"/>
        <v>71803.289912777487</v>
      </c>
      <c r="P38" s="205">
        <f t="shared" si="10"/>
        <v>71819.546313132843</v>
      </c>
      <c r="Q38" s="209">
        <f t="shared" si="10"/>
        <v>71834.996713025874</v>
      </c>
      <c r="R38" s="209">
        <f t="shared" si="10"/>
        <v>71835.728738976832</v>
      </c>
    </row>
    <row r="39" spans="2:18" s="14" customFormat="1" x14ac:dyDescent="0.35">
      <c r="B39" s="577" t="s">
        <v>119</v>
      </c>
      <c r="C39" s="542"/>
      <c r="D39" s="579"/>
      <c r="E39" s="579"/>
      <c r="F39" s="575"/>
      <c r="G39" s="42"/>
      <c r="H39" s="582"/>
      <c r="I39" s="588"/>
      <c r="J39" s="590"/>
      <c r="K39" s="206">
        <f>'List Values'!$D$23</f>
        <v>5</v>
      </c>
      <c r="L39" s="205">
        <f>IFERROR($H$38/($P$7+$P$13/K39),"")</f>
        <v>339934.25414279604</v>
      </c>
      <c r="M39" s="205">
        <f t="shared" ref="M39:R41" si="11">IFERROR($H$38/(($P$7/M$17)+$P$13/$K39),"")</f>
        <v>355157.72102636512</v>
      </c>
      <c r="N39" s="205">
        <f t="shared" si="11"/>
        <v>357157.06674970489</v>
      </c>
      <c r="O39" s="205">
        <f t="shared" si="11"/>
        <v>358367.51582807628</v>
      </c>
      <c r="P39" s="205">
        <f t="shared" si="11"/>
        <v>358772.82418753719</v>
      </c>
      <c r="Q39" s="209">
        <f t="shared" si="11"/>
        <v>359158.71722424688</v>
      </c>
      <c r="R39" s="209">
        <f t="shared" si="11"/>
        <v>359177.01696133928</v>
      </c>
    </row>
    <row r="40" spans="2:18" s="14" customFormat="1" x14ac:dyDescent="0.35">
      <c r="B40" s="577"/>
      <c r="C40" s="542"/>
      <c r="D40" s="579"/>
      <c r="E40" s="579"/>
      <c r="F40" s="575"/>
      <c r="G40" s="42"/>
      <c r="H40" s="582"/>
      <c r="I40" s="588"/>
      <c r="J40" s="590"/>
      <c r="K40" s="206">
        <f>'List Values'!$D$24</f>
        <v>10</v>
      </c>
      <c r="L40" s="205">
        <f>IFERROR($H$38/($P$7+$P$13/K40),"")</f>
        <v>645293.7027405469</v>
      </c>
      <c r="M40" s="205">
        <f t="shared" si="11"/>
        <v>702450.87886047957</v>
      </c>
      <c r="N40" s="205">
        <f t="shared" si="11"/>
        <v>710315.44205273024</v>
      </c>
      <c r="O40" s="205">
        <f t="shared" si="11"/>
        <v>715119.28039065294</v>
      </c>
      <c r="P40" s="205">
        <f t="shared" si="11"/>
        <v>716735.03165615257</v>
      </c>
      <c r="Q40" s="209">
        <f t="shared" si="11"/>
        <v>718276.77273982821</v>
      </c>
      <c r="R40" s="209">
        <f t="shared" si="11"/>
        <v>718349.96713025868</v>
      </c>
    </row>
    <row r="41" spans="2:18" s="14" customFormat="1" ht="13.5" customHeight="1" thickBot="1" x14ac:dyDescent="0.4">
      <c r="B41" s="577"/>
      <c r="C41" s="542"/>
      <c r="D41" s="579"/>
      <c r="E41" s="579"/>
      <c r="F41" s="575"/>
      <c r="G41" s="42"/>
      <c r="H41" s="587"/>
      <c r="I41" s="589"/>
      <c r="J41" s="591"/>
      <c r="K41" s="212">
        <f>'List Values'!$D$25</f>
        <v>20</v>
      </c>
      <c r="L41" s="213">
        <f>IFERROR($H$38/($P$7+$P$13/K41),"")</f>
        <v>1171439.931130043</v>
      </c>
      <c r="M41" s="213">
        <f t="shared" si="11"/>
        <v>1374465.7786287037</v>
      </c>
      <c r="N41" s="213">
        <f t="shared" si="11"/>
        <v>1404901.7577209591</v>
      </c>
      <c r="O41" s="213">
        <f t="shared" si="11"/>
        <v>1423819.0686109983</v>
      </c>
      <c r="P41" s="213">
        <f t="shared" si="11"/>
        <v>1430238.5607813059</v>
      </c>
      <c r="Q41" s="214">
        <f t="shared" si="11"/>
        <v>1436390.9262626567</v>
      </c>
      <c r="R41" s="214">
        <f t="shared" si="11"/>
        <v>1436683.6673671128</v>
      </c>
    </row>
    <row r="42" spans="2:18" s="22" customFormat="1" x14ac:dyDescent="0.35">
      <c r="B42" s="577" t="s">
        <v>131</v>
      </c>
      <c r="C42" s="541" t="s">
        <v>165</v>
      </c>
      <c r="D42" s="578">
        <f>_xlfn.XLOOKUP($B42,Tox_Table[Code],Tox_Table[Health Effect])</f>
        <v>0</v>
      </c>
      <c r="E42" s="578">
        <f>_xlfn.XLOOKUP($B42,Tox_Table[Code],Tox_Table[Endpoint])</f>
        <v>0</v>
      </c>
      <c r="F42" s="574">
        <f>_xlfn.XLOOKUP($B42,Tox_Table[Code],Tox_Table[Study])</f>
        <v>0</v>
      </c>
      <c r="G42" s="290"/>
      <c r="H42" s="581">
        <f>_xlfn.XLOOKUP($B42, Tox_Table[Code],Tox_Table[CSF (mg/kg-day-1)], FALSE)</f>
        <v>0</v>
      </c>
      <c r="I42" s="592" t="s">
        <v>92</v>
      </c>
      <c r="J42" s="593">
        <v>1E-4</v>
      </c>
      <c r="K42" s="211" t="s">
        <v>159</v>
      </c>
      <c r="L42" s="44">
        <f>IFERROR($H$42*($Q$6+$Q$12),"")</f>
        <v>0</v>
      </c>
      <c r="M42" s="44">
        <f t="shared" ref="M42:R42" si="12">IFERROR($H$42*(($Q$6/M$17)+$Q$12),"")</f>
        <v>0</v>
      </c>
      <c r="N42" s="44">
        <f t="shared" si="12"/>
        <v>0</v>
      </c>
      <c r="O42" s="44">
        <f t="shared" si="12"/>
        <v>0</v>
      </c>
      <c r="P42" s="44">
        <f t="shared" si="12"/>
        <v>0</v>
      </c>
      <c r="Q42" s="45">
        <f t="shared" si="12"/>
        <v>0</v>
      </c>
      <c r="R42" s="45">
        <f t="shared" si="12"/>
        <v>0</v>
      </c>
    </row>
    <row r="43" spans="2:18" s="22" customFormat="1" x14ac:dyDescent="0.35">
      <c r="B43" s="577" t="s">
        <v>131</v>
      </c>
      <c r="C43" s="542"/>
      <c r="D43" s="579"/>
      <c r="E43" s="579"/>
      <c r="F43" s="575"/>
      <c r="G43" s="36"/>
      <c r="H43" s="582"/>
      <c r="I43" s="583"/>
      <c r="J43" s="585"/>
      <c r="K43" s="206">
        <f>'List Values'!$D$23</f>
        <v>5</v>
      </c>
      <c r="L43" s="205">
        <f>IFERROR($H$42*($Q$6+$Q$12/K43),"")</f>
        <v>0</v>
      </c>
      <c r="M43" s="205">
        <f>IFERROR($H$42*(($Q$6/M$17)+$Q$12/$K43),"")</f>
        <v>0</v>
      </c>
      <c r="N43" s="205">
        <f t="shared" ref="M43:R45" si="13">IFERROR($H$42*(($Q$6/N$17)+$Q$12/$K43),"")</f>
        <v>0</v>
      </c>
      <c r="O43" s="205">
        <f t="shared" si="13"/>
        <v>0</v>
      </c>
      <c r="P43" s="205">
        <f t="shared" si="13"/>
        <v>0</v>
      </c>
      <c r="Q43" s="209">
        <f t="shared" si="13"/>
        <v>0</v>
      </c>
      <c r="R43" s="209">
        <f t="shared" si="13"/>
        <v>0</v>
      </c>
    </row>
    <row r="44" spans="2:18" s="22" customFormat="1" x14ac:dyDescent="0.35">
      <c r="B44" s="577"/>
      <c r="C44" s="542"/>
      <c r="D44" s="579"/>
      <c r="E44" s="579"/>
      <c r="F44" s="575"/>
      <c r="G44" s="36"/>
      <c r="H44" s="582"/>
      <c r="I44" s="583"/>
      <c r="J44" s="585"/>
      <c r="K44" s="206">
        <f>'List Values'!$D$24</f>
        <v>10</v>
      </c>
      <c r="L44" s="205">
        <f>IFERROR($H$42*($Q$6+$Q$12/K44),"")</f>
        <v>0</v>
      </c>
      <c r="M44" s="205">
        <f t="shared" si="13"/>
        <v>0</v>
      </c>
      <c r="N44" s="205">
        <f t="shared" si="13"/>
        <v>0</v>
      </c>
      <c r="O44" s="205">
        <f t="shared" si="13"/>
        <v>0</v>
      </c>
      <c r="P44" s="205">
        <f t="shared" si="13"/>
        <v>0</v>
      </c>
      <c r="Q44" s="209">
        <f t="shared" si="13"/>
        <v>0</v>
      </c>
      <c r="R44" s="209">
        <f t="shared" si="13"/>
        <v>0</v>
      </c>
    </row>
    <row r="45" spans="2:18" s="22" customFormat="1" ht="13.5" thickBot="1" x14ac:dyDescent="0.4">
      <c r="B45" s="577"/>
      <c r="C45" s="542"/>
      <c r="D45" s="579"/>
      <c r="E45" s="579"/>
      <c r="F45" s="575"/>
      <c r="G45" s="36"/>
      <c r="H45" s="582"/>
      <c r="I45" s="583"/>
      <c r="J45" s="585"/>
      <c r="K45" s="206">
        <f>'List Values'!$D$25</f>
        <v>20</v>
      </c>
      <c r="L45" s="205">
        <f>IFERROR($H$42*($Q$6+$Q$12/K45),"")</f>
        <v>0</v>
      </c>
      <c r="M45" s="205">
        <f t="shared" si="13"/>
        <v>0</v>
      </c>
      <c r="N45" s="205">
        <f t="shared" si="13"/>
        <v>0</v>
      </c>
      <c r="O45" s="205">
        <f t="shared" si="13"/>
        <v>0</v>
      </c>
      <c r="P45" s="205">
        <f t="shared" si="13"/>
        <v>0</v>
      </c>
      <c r="Q45" s="209">
        <f t="shared" si="13"/>
        <v>0</v>
      </c>
      <c r="R45" s="209">
        <f t="shared" si="13"/>
        <v>0</v>
      </c>
    </row>
    <row r="46" spans="2:18" s="22" customFormat="1" x14ac:dyDescent="0.35">
      <c r="B46" s="577" t="s">
        <v>131</v>
      </c>
      <c r="C46" s="542"/>
      <c r="D46" s="579"/>
      <c r="E46" s="579"/>
      <c r="F46" s="575"/>
      <c r="G46" s="36"/>
      <c r="H46" s="581">
        <f>_xlfn.XLOOKUP($B46, Tox_Table[Code],Tox_Table[CSF (mg/kg-day-1)], FALSE)</f>
        <v>0</v>
      </c>
      <c r="I46" s="583" t="s">
        <v>93</v>
      </c>
      <c r="J46" s="585">
        <v>1E-4</v>
      </c>
      <c r="K46" s="206" t="s">
        <v>159</v>
      </c>
      <c r="L46" s="205">
        <f>IFERROR($H$46*($Q$7+$Q$13),"")</f>
        <v>0</v>
      </c>
      <c r="M46" s="205">
        <f t="shared" ref="M46:R46" si="14">IFERROR($H$46*(($Q$7/M$17)+$Q$13),"")</f>
        <v>0</v>
      </c>
      <c r="N46" s="205">
        <f t="shared" si="14"/>
        <v>0</v>
      </c>
      <c r="O46" s="205">
        <f t="shared" si="14"/>
        <v>0</v>
      </c>
      <c r="P46" s="205">
        <f t="shared" si="14"/>
        <v>0</v>
      </c>
      <c r="Q46" s="209">
        <f t="shared" si="14"/>
        <v>0</v>
      </c>
      <c r="R46" s="209">
        <f t="shared" si="14"/>
        <v>0</v>
      </c>
    </row>
    <row r="47" spans="2:18" s="22" customFormat="1" x14ac:dyDescent="0.35">
      <c r="B47" s="577" t="s">
        <v>131</v>
      </c>
      <c r="C47" s="542"/>
      <c r="D47" s="579"/>
      <c r="E47" s="579"/>
      <c r="F47" s="575"/>
      <c r="G47" s="36"/>
      <c r="H47" s="582"/>
      <c r="I47" s="583"/>
      <c r="J47" s="585"/>
      <c r="K47" s="206">
        <f>'List Values'!$D$23</f>
        <v>5</v>
      </c>
      <c r="L47" s="205">
        <f>IFERROR($H$46*($Q$7+$Q$13/K47),"")</f>
        <v>0</v>
      </c>
      <c r="M47" s="205">
        <f t="shared" ref="M47:R49" si="15">IFERROR($H$46*(($Q$7/M$17)+$Q$13/$K47),"")</f>
        <v>0</v>
      </c>
      <c r="N47" s="205">
        <f t="shared" si="15"/>
        <v>0</v>
      </c>
      <c r="O47" s="205">
        <f t="shared" si="15"/>
        <v>0</v>
      </c>
      <c r="P47" s="205">
        <f t="shared" si="15"/>
        <v>0</v>
      </c>
      <c r="Q47" s="209">
        <f t="shared" si="15"/>
        <v>0</v>
      </c>
      <c r="R47" s="209">
        <f t="shared" si="15"/>
        <v>0</v>
      </c>
    </row>
    <row r="48" spans="2:18" s="22" customFormat="1" x14ac:dyDescent="0.35">
      <c r="B48" s="577"/>
      <c r="C48" s="542"/>
      <c r="D48" s="579"/>
      <c r="E48" s="579"/>
      <c r="F48" s="575"/>
      <c r="G48" s="36"/>
      <c r="H48" s="582"/>
      <c r="I48" s="583"/>
      <c r="J48" s="585"/>
      <c r="K48" s="206">
        <f>'List Values'!$D$24</f>
        <v>10</v>
      </c>
      <c r="L48" s="205">
        <f>IFERROR($H$46*($Q$7+$Q$13/K48),"")</f>
        <v>0</v>
      </c>
      <c r="M48" s="205">
        <f t="shared" si="15"/>
        <v>0</v>
      </c>
      <c r="N48" s="205">
        <f t="shared" si="15"/>
        <v>0</v>
      </c>
      <c r="O48" s="205">
        <f t="shared" si="15"/>
        <v>0</v>
      </c>
      <c r="P48" s="205">
        <f t="shared" si="15"/>
        <v>0</v>
      </c>
      <c r="Q48" s="209">
        <f t="shared" si="15"/>
        <v>0</v>
      </c>
      <c r="R48" s="209">
        <f t="shared" si="15"/>
        <v>0</v>
      </c>
    </row>
    <row r="49" spans="1:18" s="22" customFormat="1" ht="13.5" thickBot="1" x14ac:dyDescent="0.4">
      <c r="B49" s="577"/>
      <c r="C49" s="567"/>
      <c r="D49" s="580"/>
      <c r="E49" s="580"/>
      <c r="F49" s="576"/>
      <c r="G49" s="47"/>
      <c r="H49" s="582"/>
      <c r="I49" s="584"/>
      <c r="J49" s="586"/>
      <c r="K49" s="35">
        <f>'List Values'!$D$25</f>
        <v>20</v>
      </c>
      <c r="L49" s="40">
        <f>IFERROR($H$46*($Q$7+$Q$13/K49),"")</f>
        <v>0</v>
      </c>
      <c r="M49" s="40">
        <f t="shared" si="15"/>
        <v>0</v>
      </c>
      <c r="N49" s="40">
        <f t="shared" si="15"/>
        <v>0</v>
      </c>
      <c r="O49" s="40">
        <f t="shared" si="15"/>
        <v>0</v>
      </c>
      <c r="P49" s="40">
        <f t="shared" si="15"/>
        <v>0</v>
      </c>
      <c r="Q49" s="41">
        <f t="shared" si="15"/>
        <v>0</v>
      </c>
      <c r="R49" s="41">
        <f t="shared" si="15"/>
        <v>0</v>
      </c>
    </row>
    <row r="50" spans="1:18" s="14" customFormat="1" x14ac:dyDescent="0.35">
      <c r="B50" s="9"/>
      <c r="C50" s="10"/>
      <c r="D50" s="11"/>
      <c r="E50" s="10"/>
      <c r="F50" s="10"/>
      <c r="G50" s="12"/>
      <c r="H50" s="12"/>
      <c r="I50" s="10"/>
      <c r="J50" s="12"/>
      <c r="K50" s="12"/>
      <c r="L50" s="12"/>
      <c r="M50" s="12"/>
      <c r="N50" s="12"/>
      <c r="P50" s="12"/>
      <c r="Q50" s="12"/>
    </row>
    <row r="51" spans="1:18" s="14" customFormat="1" x14ac:dyDescent="0.35">
      <c r="B51" s="9"/>
      <c r="C51" s="10"/>
      <c r="D51" s="11"/>
      <c r="E51" s="10"/>
      <c r="F51" s="10"/>
      <c r="G51" s="12"/>
      <c r="H51" s="12"/>
      <c r="I51" s="10"/>
      <c r="J51" s="12"/>
      <c r="K51" s="12"/>
      <c r="L51" s="12"/>
      <c r="M51" s="12"/>
      <c r="N51" s="12"/>
      <c r="O51" s="12"/>
      <c r="P51" s="12"/>
      <c r="Q51" s="12"/>
    </row>
    <row r="52" spans="1:18" s="14" customFormat="1" x14ac:dyDescent="0.35">
      <c r="B52" s="9"/>
      <c r="C52" s="10"/>
      <c r="D52" s="11"/>
      <c r="E52" s="10"/>
      <c r="F52" s="10"/>
      <c r="G52" s="12"/>
      <c r="H52" s="12"/>
      <c r="I52" s="10"/>
      <c r="J52" s="12"/>
      <c r="K52" s="12"/>
      <c r="L52" s="12"/>
      <c r="M52" s="12"/>
      <c r="N52" s="12"/>
      <c r="O52" s="12"/>
      <c r="P52" s="12"/>
      <c r="Q52" s="12"/>
    </row>
    <row r="53" spans="1:18" s="14" customFormat="1" x14ac:dyDescent="0.35">
      <c r="A53" s="12"/>
      <c r="B53" s="9"/>
      <c r="C53" s="10"/>
      <c r="D53" s="11"/>
      <c r="E53" s="10"/>
      <c r="F53" s="10"/>
      <c r="G53" s="12"/>
      <c r="H53" s="12"/>
      <c r="I53" s="10"/>
      <c r="J53" s="12"/>
      <c r="K53" s="12"/>
      <c r="L53" s="12"/>
      <c r="M53" s="12"/>
      <c r="N53" s="12"/>
      <c r="O53" s="12"/>
      <c r="P53" s="12"/>
      <c r="Q53" s="12"/>
    </row>
    <row r="58" spans="1:18" x14ac:dyDescent="0.35">
      <c r="I58" s="16"/>
      <c r="J58" s="14"/>
      <c r="K58" s="14"/>
      <c r="L58" s="14"/>
      <c r="M58" s="14"/>
      <c r="N58" s="14"/>
    </row>
    <row r="63" spans="1:18" x14ac:dyDescent="0.35">
      <c r="P63" s="14"/>
      <c r="Q63" s="14"/>
    </row>
    <row r="64" spans="1:18" x14ac:dyDescent="0.35">
      <c r="C64" s="16"/>
      <c r="D64" s="29"/>
      <c r="E64" s="16"/>
      <c r="F64" s="16"/>
      <c r="G64" s="14"/>
      <c r="H64" s="14"/>
    </row>
    <row r="66" spans="1:17" x14ac:dyDescent="0.35">
      <c r="B66" s="22"/>
    </row>
    <row r="67" spans="1:17" x14ac:dyDescent="0.35">
      <c r="B67" s="48"/>
    </row>
    <row r="68" spans="1:17" x14ac:dyDescent="0.35">
      <c r="B68" s="48"/>
      <c r="I68" s="49"/>
      <c r="J68" s="49"/>
      <c r="K68" s="49"/>
      <c r="L68" s="49"/>
      <c r="M68" s="49"/>
      <c r="N68" s="49"/>
      <c r="O68" s="14"/>
    </row>
    <row r="69" spans="1:17" x14ac:dyDescent="0.35">
      <c r="B69" s="48"/>
      <c r="I69" s="49"/>
      <c r="J69" s="49"/>
      <c r="K69" s="49"/>
      <c r="L69" s="49"/>
      <c r="M69" s="49"/>
      <c r="N69" s="49"/>
    </row>
    <row r="70" spans="1:17" x14ac:dyDescent="0.35">
      <c r="B70" s="48"/>
      <c r="C70" s="50"/>
      <c r="D70" s="51"/>
      <c r="E70" s="50"/>
      <c r="I70" s="49"/>
      <c r="J70" s="49"/>
      <c r="K70" s="49"/>
      <c r="L70" s="49"/>
      <c r="M70" s="49"/>
      <c r="N70" s="49"/>
    </row>
    <row r="71" spans="1:17" s="14" customFormat="1" x14ac:dyDescent="0.35">
      <c r="A71" s="12"/>
      <c r="B71" s="48"/>
      <c r="C71" s="10"/>
      <c r="D71" s="11"/>
      <c r="E71" s="50"/>
      <c r="F71" s="10"/>
      <c r="G71" s="12"/>
      <c r="H71" s="12"/>
      <c r="I71" s="49"/>
      <c r="J71" s="49"/>
      <c r="K71" s="49"/>
      <c r="L71" s="49"/>
      <c r="M71" s="49"/>
      <c r="N71" s="49"/>
      <c r="O71" s="12"/>
      <c r="P71" s="12"/>
      <c r="Q71" s="12"/>
    </row>
    <row r="73" spans="1:17" x14ac:dyDescent="0.35">
      <c r="F73" s="49"/>
      <c r="G73" s="52"/>
      <c r="H73" s="229"/>
      <c r="I73" s="232"/>
      <c r="J73" s="230"/>
      <c r="K73" s="230"/>
    </row>
    <row r="74" spans="1:17" x14ac:dyDescent="0.35">
      <c r="H74" s="28"/>
      <c r="I74" s="233"/>
      <c r="J74" s="226"/>
      <c r="K74" s="226"/>
    </row>
    <row r="75" spans="1:17" x14ac:dyDescent="0.35">
      <c r="A75" s="12" t="s">
        <v>166</v>
      </c>
      <c r="H75" s="28"/>
      <c r="I75" s="233"/>
      <c r="J75" s="226"/>
      <c r="K75" s="226"/>
    </row>
    <row r="76" spans="1:17" x14ac:dyDescent="0.35">
      <c r="H76" s="28"/>
      <c r="I76" s="233"/>
      <c r="J76" s="226"/>
      <c r="K76" s="226"/>
    </row>
    <row r="77" spans="1:17" x14ac:dyDescent="0.35">
      <c r="H77" s="28"/>
      <c r="I77" s="233"/>
      <c r="J77" s="226"/>
      <c r="K77" s="226"/>
    </row>
    <row r="78" spans="1:17" x14ac:dyDescent="0.35">
      <c r="H78" s="28"/>
      <c r="I78" s="233"/>
      <c r="J78" s="226"/>
      <c r="K78" s="226"/>
    </row>
    <row r="79" spans="1:17" x14ac:dyDescent="0.35">
      <c r="H79" s="28"/>
      <c r="I79" s="233"/>
      <c r="J79" s="226"/>
      <c r="K79" s="226"/>
    </row>
  </sheetData>
  <sheetProtection sheet="1" objects="1" scenarios="1" formatCells="0" formatColumns="0" formatRows="0"/>
  <autoFilter ref="A17:Y49" xr:uid="{0343F8EF-0238-48DF-B0F9-9BD2EA206E1A}">
    <filterColumn colId="3" showButton="0"/>
  </autoFilter>
  <dataConsolidate link="1"/>
  <mergeCells count="68">
    <mergeCell ref="D2:E2"/>
    <mergeCell ref="L4:L5"/>
    <mergeCell ref="M4:M5"/>
    <mergeCell ref="C15:C17"/>
    <mergeCell ref="D15:E17"/>
    <mergeCell ref="F15:F17"/>
    <mergeCell ref="H15:H17"/>
    <mergeCell ref="I15:I17"/>
    <mergeCell ref="L10:L11"/>
    <mergeCell ref="M10:M11"/>
    <mergeCell ref="D4:E4"/>
    <mergeCell ref="L6:L7"/>
    <mergeCell ref="L12:L13"/>
    <mergeCell ref="D3:E3"/>
    <mergeCell ref="K15:R15"/>
    <mergeCell ref="H18:H21"/>
    <mergeCell ref="H22:H25"/>
    <mergeCell ref="H26:H29"/>
    <mergeCell ref="I26:I29"/>
    <mergeCell ref="M14:N14"/>
    <mergeCell ref="J15:J17"/>
    <mergeCell ref="L16:L17"/>
    <mergeCell ref="J18:J21"/>
    <mergeCell ref="I18:I21"/>
    <mergeCell ref="I22:I25"/>
    <mergeCell ref="J22:J25"/>
    <mergeCell ref="J26:J29"/>
    <mergeCell ref="K16:K17"/>
    <mergeCell ref="M16:R16"/>
    <mergeCell ref="H30:H33"/>
    <mergeCell ref="I30:I33"/>
    <mergeCell ref="J30:J33"/>
    <mergeCell ref="H34:H37"/>
    <mergeCell ref="B34:B37"/>
    <mergeCell ref="C34:C41"/>
    <mergeCell ref="I34:I37"/>
    <mergeCell ref="J34:J37"/>
    <mergeCell ref="D34:D41"/>
    <mergeCell ref="E34:E41"/>
    <mergeCell ref="F34:F41"/>
    <mergeCell ref="B38:B41"/>
    <mergeCell ref="E26:E33"/>
    <mergeCell ref="F26:F33"/>
    <mergeCell ref="D26:D33"/>
    <mergeCell ref="H46:H49"/>
    <mergeCell ref="I46:I49"/>
    <mergeCell ref="J46:J49"/>
    <mergeCell ref="H38:H41"/>
    <mergeCell ref="I38:I41"/>
    <mergeCell ref="J38:J41"/>
    <mergeCell ref="H42:H45"/>
    <mergeCell ref="I42:I45"/>
    <mergeCell ref="J42:J45"/>
    <mergeCell ref="F42:F49"/>
    <mergeCell ref="B46:B49"/>
    <mergeCell ref="C18:C25"/>
    <mergeCell ref="B18:B21"/>
    <mergeCell ref="B22:B25"/>
    <mergeCell ref="B26:B29"/>
    <mergeCell ref="C26:C33"/>
    <mergeCell ref="B30:B33"/>
    <mergeCell ref="F18:F25"/>
    <mergeCell ref="E18:E25"/>
    <mergeCell ref="D18:D25"/>
    <mergeCell ref="B42:B45"/>
    <mergeCell ref="C42:C49"/>
    <mergeCell ref="D42:D49"/>
    <mergeCell ref="E42:E49"/>
  </mergeCells>
  <phoneticPr fontId="2" type="noConversion"/>
  <conditionalFormatting sqref="F4">
    <cfRule type="cellIs" dxfId="289" priority="71" stopIfTrue="1" operator="equal">
      <formula>0</formula>
    </cfRule>
    <cfRule type="containsBlanks" dxfId="288" priority="72" stopIfTrue="1">
      <formula>LEN(TRIM(F4))=0</formula>
    </cfRule>
    <cfRule type="cellIs" dxfId="287" priority="73" operator="lessThan">
      <formula>0.1</formula>
    </cfRule>
  </conditionalFormatting>
  <conditionalFormatting sqref="H18 H42 H46">
    <cfRule type="cellIs" dxfId="286" priority="189" operator="lessThan">
      <formula>10</formula>
    </cfRule>
    <cfRule type="cellIs" dxfId="285" priority="190" operator="greaterThanOrEqual">
      <formula>10</formula>
    </cfRule>
    <cfRule type="cellIs" dxfId="284" priority="186" stopIfTrue="1" operator="equal">
      <formula>0</formula>
    </cfRule>
    <cfRule type="containsBlanks" dxfId="283" priority="187" stopIfTrue="1">
      <formula>LEN(TRIM(H18))=0</formula>
    </cfRule>
    <cfRule type="cellIs" dxfId="282" priority="188" operator="lessThan">
      <formula>0.1</formula>
    </cfRule>
  </conditionalFormatting>
  <conditionalFormatting sqref="H22">
    <cfRule type="cellIs" dxfId="281" priority="157" operator="greaterThanOrEqual">
      <formula>10</formula>
    </cfRule>
    <cfRule type="cellIs" dxfId="280" priority="156" operator="lessThan">
      <formula>10</formula>
    </cfRule>
    <cfRule type="cellIs" dxfId="279" priority="155" operator="lessThan">
      <formula>0.1</formula>
    </cfRule>
    <cfRule type="containsBlanks" dxfId="278" priority="154" stopIfTrue="1">
      <formula>LEN(TRIM(H22))=0</formula>
    </cfRule>
    <cfRule type="cellIs" dxfId="277" priority="153" stopIfTrue="1" operator="equal">
      <formula>0</formula>
    </cfRule>
  </conditionalFormatting>
  <conditionalFormatting sqref="H26">
    <cfRule type="cellIs" dxfId="276" priority="135" operator="greaterThanOrEqual">
      <formula>10</formula>
    </cfRule>
    <cfRule type="cellIs" dxfId="275" priority="134" operator="lessThan">
      <formula>10</formula>
    </cfRule>
    <cfRule type="cellIs" dxfId="274" priority="133" operator="lessThan">
      <formula>0.1</formula>
    </cfRule>
    <cfRule type="containsBlanks" dxfId="273" priority="132" stopIfTrue="1">
      <formula>LEN(TRIM(H26))=0</formula>
    </cfRule>
    <cfRule type="cellIs" dxfId="272" priority="131" stopIfTrue="1" operator="equal">
      <formula>0</formula>
    </cfRule>
  </conditionalFormatting>
  <conditionalFormatting sqref="H30">
    <cfRule type="cellIs" dxfId="271" priority="24" operator="greaterThanOrEqual">
      <formula>10</formula>
    </cfRule>
    <cfRule type="cellIs" dxfId="270" priority="23" operator="lessThan">
      <formula>10</formula>
    </cfRule>
    <cfRule type="cellIs" dxfId="269" priority="22" operator="lessThan">
      <formula>0.1</formula>
    </cfRule>
    <cfRule type="containsBlanks" dxfId="268" priority="21" stopIfTrue="1">
      <formula>LEN(TRIM(H30))=0</formula>
    </cfRule>
    <cfRule type="cellIs" dxfId="267" priority="20" stopIfTrue="1" operator="equal">
      <formula>0</formula>
    </cfRule>
  </conditionalFormatting>
  <conditionalFormatting sqref="H34">
    <cfRule type="containsBlanks" dxfId="266" priority="16" stopIfTrue="1">
      <formula>LEN(TRIM(H34))=0</formula>
    </cfRule>
    <cfRule type="cellIs" dxfId="265" priority="15" stopIfTrue="1" operator="equal">
      <formula>0</formula>
    </cfRule>
    <cfRule type="cellIs" dxfId="264" priority="18" operator="lessThan">
      <formula>10</formula>
    </cfRule>
    <cfRule type="cellIs" dxfId="263" priority="19" operator="greaterThanOrEqual">
      <formula>10</formula>
    </cfRule>
    <cfRule type="cellIs" dxfId="262" priority="17" operator="lessThan">
      <formula>0.1</formula>
    </cfRule>
  </conditionalFormatting>
  <conditionalFormatting sqref="H38">
    <cfRule type="cellIs" dxfId="261" priority="10" stopIfTrue="1" operator="equal">
      <formula>0</formula>
    </cfRule>
    <cfRule type="cellIs" dxfId="260" priority="14" operator="greaterThanOrEqual">
      <formula>10</formula>
    </cfRule>
    <cfRule type="cellIs" dxfId="259" priority="13" operator="lessThan">
      <formula>10</formula>
    </cfRule>
    <cfRule type="cellIs" dxfId="258" priority="12" operator="lessThan">
      <formula>0.1</formula>
    </cfRule>
    <cfRule type="containsBlanks" dxfId="257" priority="11" stopIfTrue="1">
      <formula>LEN(TRIM(H38))=0</formula>
    </cfRule>
  </conditionalFormatting>
  <conditionalFormatting sqref="L18:R41">
    <cfRule type="cellIs" dxfId="256" priority="9" operator="greaterThanOrEqual">
      <formula>$J$18</formula>
    </cfRule>
    <cfRule type="cellIs" dxfId="255" priority="8" operator="lessThan">
      <formula>$J$18</formula>
    </cfRule>
  </conditionalFormatting>
  <conditionalFormatting sqref="L18:R49">
    <cfRule type="containsBlanks" dxfId="254" priority="1">
      <formula>LEN(TRIM(L18))=0</formula>
    </cfRule>
    <cfRule type="cellIs" dxfId="253" priority="7" operator="greaterThanOrEqual">
      <formula>10</formula>
    </cfRule>
    <cfRule type="cellIs" dxfId="252" priority="6" operator="lessThan">
      <formula>10</formula>
    </cfRule>
    <cfRule type="cellIs" dxfId="251" priority="5" operator="lessThan">
      <formula>0.1</formula>
    </cfRule>
    <cfRule type="cellIs" dxfId="250" priority="2" stopIfTrue="1" operator="equal">
      <formula>0</formula>
    </cfRule>
  </conditionalFormatting>
  <conditionalFormatting sqref="L42:R49">
    <cfRule type="cellIs" dxfId="249" priority="4" operator="greaterThanOrEqual">
      <formula>$J$42</formula>
    </cfRule>
    <cfRule type="cellIs" dxfId="248" priority="3" operator="lessThan">
      <formula>$J$42</formula>
    </cfRule>
  </conditionalFormatting>
  <conditionalFormatting sqref="N6:Q7">
    <cfRule type="cellIs" dxfId="247" priority="70" operator="lessThan">
      <formula>0.1</formula>
    </cfRule>
    <cfRule type="cellIs" dxfId="246" priority="65" operator="equal">
      <formula>0</formula>
    </cfRule>
    <cfRule type="cellIs" dxfId="245" priority="66" operator="greaterThan">
      <formula>10000</formula>
    </cfRule>
    <cfRule type="cellIs" dxfId="244" priority="67" operator="between">
      <formula>10</formula>
      <formula>9999.999</formula>
    </cfRule>
    <cfRule type="cellIs" dxfId="243" priority="68" operator="between">
      <formula>1</formula>
      <formula>9.999</formula>
    </cfRule>
    <cfRule type="cellIs" dxfId="242" priority="69" operator="between">
      <formula>0.1</formula>
      <formula>0.999</formula>
    </cfRule>
  </conditionalFormatting>
  <conditionalFormatting sqref="N12:Q13">
    <cfRule type="cellIs" dxfId="241" priority="30" operator="lessThan">
      <formula>0.1</formula>
    </cfRule>
    <cfRule type="cellIs" dxfId="240" priority="29" operator="between">
      <formula>0.1</formula>
      <formula>0.999</formula>
    </cfRule>
    <cfRule type="cellIs" dxfId="239" priority="28" operator="between">
      <formula>1</formula>
      <formula>9.999</formula>
    </cfRule>
    <cfRule type="cellIs" dxfId="238" priority="27" operator="between">
      <formula>10</formula>
      <formula>9999.999</formula>
    </cfRule>
    <cfRule type="cellIs" dxfId="237" priority="26" operator="greaterThan">
      <formula>10000</formula>
    </cfRule>
    <cfRule type="cellIs" dxfId="236" priority="25" operator="equal">
      <formula>0</formula>
    </cfRule>
  </conditionalFormatting>
  <conditionalFormatting sqref="O4:O5">
    <cfRule type="cellIs" dxfId="235" priority="176" stopIfTrue="1" operator="equal">
      <formula>0</formula>
    </cfRule>
    <cfRule type="containsBlanks" dxfId="234" priority="177" stopIfTrue="1">
      <formula>LEN(TRIM(O4))=0</formula>
    </cfRule>
    <cfRule type="cellIs" dxfId="233" priority="178" operator="lessThan">
      <formula>0.1</formula>
    </cfRule>
  </conditionalFormatting>
  <conditionalFormatting sqref="O10:O11">
    <cfRule type="cellIs" dxfId="232" priority="150" stopIfTrue="1" operator="equal">
      <formula>0</formula>
    </cfRule>
    <cfRule type="cellIs" dxfId="231" priority="152" operator="lessThan">
      <formula>0.1</formula>
    </cfRule>
    <cfRule type="containsBlanks" dxfId="230" priority="151" stopIfTrue="1">
      <formula>LEN(TRIM(O10))=0</formula>
    </cfRule>
  </conditionalFormatting>
  <dataValidations count="1">
    <dataValidation allowBlank="1" showErrorMessage="1" sqref="L4 L10" xr:uid="{0E2F5D05-59E6-4CA8-950E-8C0FEEEF3EDD}"/>
  </dataValidations>
  <pageMargins left="0.7" right="0.7" top="0.75" bottom="0.75" header="0.3" footer="0.3"/>
  <pageSetup orientation="portrait" r:id="rId1"/>
  <ignoredErrors>
    <ignoredError sqref="H22 H26 H34 H30" formula="1"/>
  </ignoredErrors>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58AA2E77-9C7B-4A85-BD17-BFF4F592D56F}">
          <x14:formula1>
            <xm:f>'List Values'!$D$6:$D$8</xm:f>
          </x14:formula1>
          <xm:sqref>F4</xm:sqref>
        </x14:dataValidation>
        <x14:dataValidation type="list" allowBlank="1" showInputMessage="1" showErrorMessage="1" xr:uid="{D5F6A2A8-3149-4118-9B46-756968515682}">
          <x14:formula1>
            <xm:f>'List Values'!$B$2:$B$20</xm:f>
          </x14:formula1>
          <xm:sqref>C4</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3DFA29-5DDB-4018-BDB5-BC28E8281DEA}">
  <sheetPr codeName="Sheet7">
    <tabColor theme="1"/>
  </sheetPr>
  <dimension ref="A1:AA89"/>
  <sheetViews>
    <sheetView tabSelected="1" topLeftCell="B1" zoomScaleNormal="100" workbookViewId="0">
      <selection activeCell="B1" sqref="B1"/>
    </sheetView>
  </sheetViews>
  <sheetFormatPr defaultColWidth="9.1796875" defaultRowHeight="13" x14ac:dyDescent="0.3"/>
  <cols>
    <col min="1" max="1" width="10.1796875" style="1" hidden="1" customWidth="1"/>
    <col min="2" max="2" width="7.453125" style="8" customWidth="1"/>
    <col min="3" max="3" width="76.81640625" style="1" customWidth="1"/>
    <col min="4" max="4" width="23.26953125" style="1" bestFit="1" customWidth="1"/>
    <col min="5" max="5" width="24.26953125" style="8" bestFit="1" customWidth="1"/>
    <col min="6" max="6" width="14.7265625" style="1" bestFit="1" customWidth="1"/>
    <col min="7" max="7" width="21.54296875" style="1" bestFit="1" customWidth="1"/>
    <col min="8" max="9" width="11.54296875" style="1" bestFit="1" customWidth="1"/>
    <col min="10" max="11" width="10.1796875" style="1" bestFit="1" customWidth="1"/>
    <col min="12" max="12" width="10.26953125" style="1" bestFit="1" customWidth="1"/>
    <col min="13" max="13" width="10.1796875" style="1" bestFit="1" customWidth="1"/>
    <col min="14" max="14" width="14.81640625" style="1" bestFit="1" customWidth="1"/>
    <col min="15" max="15" width="11.81640625" style="1" customWidth="1"/>
    <col min="16" max="16" width="12.81640625" style="1" customWidth="1"/>
    <col min="17" max="17" width="17.81640625" style="8" customWidth="1"/>
    <col min="18" max="18" width="15" style="1" customWidth="1"/>
    <col min="19" max="19" width="14" style="1" customWidth="1"/>
    <col min="20" max="21" width="17.81640625" style="8" customWidth="1"/>
    <col min="22" max="23" width="17.81640625" style="8" hidden="1" customWidth="1"/>
    <col min="24" max="24" width="11" style="1" customWidth="1"/>
    <col min="25" max="25" width="11.26953125" style="1" customWidth="1"/>
    <col min="26" max="26" width="38" style="1" customWidth="1"/>
    <col min="27" max="27" width="16.1796875" style="1" customWidth="1"/>
    <col min="28" max="16384" width="9.1796875" style="1"/>
  </cols>
  <sheetData>
    <row r="1" spans="1:27" ht="13.5" thickBot="1" x14ac:dyDescent="0.35">
      <c r="B1" s="681"/>
      <c r="C1" s="3"/>
      <c r="D1" s="3"/>
      <c r="E1" s="2"/>
      <c r="L1" s="406"/>
      <c r="M1" s="406"/>
      <c r="N1" s="406"/>
      <c r="O1" s="406"/>
      <c r="P1" s="3"/>
      <c r="Q1" s="2"/>
      <c r="T1" s="2"/>
      <c r="U1" s="2"/>
      <c r="V1" s="2"/>
      <c r="W1" s="2"/>
      <c r="X1" s="4"/>
      <c r="Y1" s="4"/>
    </row>
    <row r="2" spans="1:27" ht="28.5" customHeight="1" thickBot="1" x14ac:dyDescent="0.35">
      <c r="B2" s="407"/>
      <c r="C2" s="407"/>
      <c r="D2" s="407"/>
      <c r="E2" s="407"/>
      <c r="F2" s="614" t="s">
        <v>175</v>
      </c>
      <c r="G2" s="615"/>
      <c r="H2" s="618" t="s">
        <v>176</v>
      </c>
      <c r="I2" s="618"/>
      <c r="J2" s="618" t="s">
        <v>177</v>
      </c>
      <c r="K2" s="618"/>
      <c r="L2" s="619" t="s">
        <v>178</v>
      </c>
      <c r="M2" s="620"/>
      <c r="N2" s="621" t="s">
        <v>179</v>
      </c>
      <c r="O2" s="622"/>
      <c r="P2" s="630" t="s">
        <v>80</v>
      </c>
      <c r="Q2" s="631"/>
      <c r="R2" s="630" t="s">
        <v>81</v>
      </c>
      <c r="S2" s="631"/>
      <c r="T2" s="627" t="s">
        <v>180</v>
      </c>
      <c r="U2" s="627"/>
      <c r="V2" s="627" t="s">
        <v>181</v>
      </c>
      <c r="W2" s="627"/>
      <c r="X2" s="5"/>
      <c r="Y2" s="5"/>
      <c r="Z2" s="5"/>
      <c r="AA2" s="5"/>
    </row>
    <row r="3" spans="1:27" ht="18" customHeight="1" x14ac:dyDescent="0.3">
      <c r="B3" s="408"/>
      <c r="C3" s="408"/>
      <c r="D3" s="408"/>
      <c r="E3" s="408"/>
      <c r="F3" s="616"/>
      <c r="G3" s="617"/>
      <c r="H3" s="623" t="s">
        <v>182</v>
      </c>
      <c r="I3" s="624"/>
      <c r="J3" s="624"/>
      <c r="K3" s="624"/>
      <c r="L3" s="624"/>
      <c r="M3" s="624"/>
      <c r="N3" s="625"/>
      <c r="O3" s="626"/>
      <c r="P3" s="632" t="s">
        <v>85</v>
      </c>
      <c r="Q3" s="633"/>
      <c r="R3" s="628" t="s">
        <v>183</v>
      </c>
      <c r="S3" s="628"/>
      <c r="T3" s="628" t="s">
        <v>87</v>
      </c>
      <c r="U3" s="629"/>
      <c r="V3" s="628" t="s">
        <v>88</v>
      </c>
      <c r="W3" s="629"/>
      <c r="X3" s="408"/>
      <c r="Y3" s="408"/>
      <c r="Z3" s="408"/>
      <c r="AA3" s="408"/>
    </row>
    <row r="4" spans="1:27" s="409" customFormat="1" ht="12.65" customHeight="1" x14ac:dyDescent="0.3">
      <c r="A4" s="409" t="s">
        <v>184</v>
      </c>
      <c r="B4" s="410" t="s">
        <v>185</v>
      </c>
      <c r="C4" s="410" t="s">
        <v>186</v>
      </c>
      <c r="D4" s="410" t="s">
        <v>168</v>
      </c>
      <c r="E4" s="410" t="s">
        <v>187</v>
      </c>
      <c r="F4" s="411" t="s">
        <v>188</v>
      </c>
      <c r="G4" s="411" t="s">
        <v>189</v>
      </c>
      <c r="H4" s="412" t="s">
        <v>190</v>
      </c>
      <c r="I4" s="412" t="s">
        <v>191</v>
      </c>
      <c r="J4" s="412" t="s">
        <v>192</v>
      </c>
      <c r="K4" s="412" t="s">
        <v>193</v>
      </c>
      <c r="L4" s="412" t="s">
        <v>194</v>
      </c>
      <c r="M4" s="412" t="s">
        <v>195</v>
      </c>
      <c r="N4" s="412" t="s">
        <v>196</v>
      </c>
      <c r="O4" s="412" t="s">
        <v>197</v>
      </c>
      <c r="P4" s="467" t="s">
        <v>198</v>
      </c>
      <c r="Q4" s="467" t="s">
        <v>199</v>
      </c>
      <c r="R4" s="468" t="s">
        <v>200</v>
      </c>
      <c r="S4" s="468" t="s">
        <v>201</v>
      </c>
      <c r="T4" s="467" t="s">
        <v>202</v>
      </c>
      <c r="U4" s="467" t="s">
        <v>203</v>
      </c>
      <c r="V4" s="467" t="s">
        <v>204</v>
      </c>
      <c r="W4" s="467" t="s">
        <v>205</v>
      </c>
      <c r="X4" s="410" t="s">
        <v>206</v>
      </c>
      <c r="Y4" s="410" t="s">
        <v>207</v>
      </c>
      <c r="Z4" s="410" t="s">
        <v>208</v>
      </c>
      <c r="AA4" s="410" t="s">
        <v>209</v>
      </c>
    </row>
    <row r="5" spans="1:27" ht="14.5" x14ac:dyDescent="0.3">
      <c r="B5" s="413">
        <v>1</v>
      </c>
      <c r="C5" s="414" t="s">
        <v>210</v>
      </c>
      <c r="D5" s="415" t="s">
        <v>74</v>
      </c>
      <c r="E5" s="6" t="s">
        <v>211</v>
      </c>
      <c r="F5" s="6">
        <v>250</v>
      </c>
      <c r="G5" s="377">
        <v>208</v>
      </c>
      <c r="H5" s="428">
        <v>0.45750000000000002</v>
      </c>
      <c r="I5" s="428">
        <v>0.1</v>
      </c>
      <c r="J5" s="461"/>
      <c r="K5" s="461"/>
      <c r="L5" s="461"/>
      <c r="M5" s="461"/>
      <c r="N5" s="324">
        <f>SUM(Inhalation_Exp[[#This Row],[Vapor HE]],Inhalation_Exp[[#This Row],[Mist HE]],Inhalation_Exp[[#This Row],[Dust HE]])</f>
        <v>0.45750000000000002</v>
      </c>
      <c r="O5" s="324">
        <f>SUM(Inhalation_Exp[[#This Row],[Vapor CT]],Inhalation_Exp[[#This Row],[Mist CT]],Inhalation_Exp[[#This Row],[Dust CT]])</f>
        <v>0.1</v>
      </c>
      <c r="P5" s="368">
        <f>(((N5)*ED_8)*WorkBreathRate)/IF(Inhalation_Exp[[#This Row],[Worker Type]]="Female of Reproductive Age",BW_F,BW_default)</f>
        <v>6.3168795305488426E-2</v>
      </c>
      <c r="Q5" s="368">
        <f>(((O5)*ED_8)*WorkBreathRate)/IF(Inhalation_Exp[[#This Row],[Worker Type]]="Female of Reproductive Age",BW_F,BW_default)</f>
        <v>1.3807386952019328E-2</v>
      </c>
      <c r="R5" s="301">
        <f>IF(EFID&gt;Inhalation_Exp[[#This Row],[ED_High-End]],Inhalation_Exp[[#This Row],[24hr_High-End]]*Inhalation_Exp[[#This Row],[ED_High-End]]/ID,Inhalation_Exp[[#This Row],[24hr_High-End]]*EFID/ID)</f>
        <v>4.6323783224024848E-2</v>
      </c>
      <c r="S5" s="301">
        <f>IF(EFID&gt;Inhalation_Exp[[#This Row],[ED_Central Tendency]],Inhalation_Exp[[#This Row],[24hr_Central Tendency]]*Inhalation_Exp[[#This Row],[ED_Central Tendency]]/ID,Inhalation_Exp[[#This Row],[24hr_Central Tendency]]*EFID/ID)</f>
        <v>1.0125417098147507E-2</v>
      </c>
      <c r="T5" s="301">
        <f>P5*F5*WY_high/(WY_high*365)</f>
        <v>4.3266298154444126E-2</v>
      </c>
      <c r="U5" s="301">
        <f t="shared" ref="U5:U36" si="0">Q5*G5*WY_mid/(WY_mid*365)</f>
        <v>7.8683191397808765E-3</v>
      </c>
      <c r="V5" s="275">
        <f t="shared" ref="V5:V36" si="1">P5*F5*WY_high/(LT*365)</f>
        <v>2.2187845207407245E-2</v>
      </c>
      <c r="W5" s="275">
        <f t="shared" ref="W5:W36" si="2">Q5*G5*WY_mid/(LT*365)</f>
        <v>3.1271524786308613E-3</v>
      </c>
      <c r="X5" s="276">
        <v>5</v>
      </c>
      <c r="Y5" s="276">
        <v>10</v>
      </c>
      <c r="Z5" s="145" t="s">
        <v>212</v>
      </c>
      <c r="AA5" s="416" t="s">
        <v>213</v>
      </c>
    </row>
    <row r="6" spans="1:27" ht="14.5" x14ac:dyDescent="0.3">
      <c r="A6" s="417"/>
      <c r="B6" s="413">
        <v>1</v>
      </c>
      <c r="C6" s="414" t="s">
        <v>210</v>
      </c>
      <c r="D6" s="415" t="s">
        <v>94</v>
      </c>
      <c r="E6" s="6" t="s">
        <v>211</v>
      </c>
      <c r="F6" s="6">
        <v>250</v>
      </c>
      <c r="G6" s="377">
        <v>208</v>
      </c>
      <c r="H6" s="428">
        <v>0.1</v>
      </c>
      <c r="I6" s="428">
        <v>0.1</v>
      </c>
      <c r="J6" s="461"/>
      <c r="K6" s="461"/>
      <c r="L6" s="461"/>
      <c r="M6" s="461"/>
      <c r="N6" s="324">
        <f>SUM(Inhalation_Exp[[#This Row],[Vapor HE]],Inhalation_Exp[[#This Row],[Mist HE]],Inhalation_Exp[[#This Row],[Dust HE]])</f>
        <v>0.1</v>
      </c>
      <c r="O6" s="324">
        <f>SUM(Inhalation_Exp[[#This Row],[Vapor CT]],Inhalation_Exp[[#This Row],[Mist CT]],Inhalation_Exp[[#This Row],[Dust CT]])</f>
        <v>0.1</v>
      </c>
      <c r="P6" s="368">
        <f>(((N6)*ED_8)*WorkBreathRate)/IF(Inhalation_Exp[[#This Row],[Worker Type]]="Female of Reproductive Age",BW_F,BW_default)</f>
        <v>1.2500000000000001E-2</v>
      </c>
      <c r="Q6" s="368">
        <f>(((O6)*ED_8)*WorkBreathRate)/IF(Inhalation_Exp[[#This Row],[Worker Type]]="Female of Reproductive Age",BW_F,BW_default)</f>
        <v>1.2500000000000001E-2</v>
      </c>
      <c r="R6" s="301">
        <f>IF(EFID&gt;Inhalation_Exp[[#This Row],[ED_High-End]],Inhalation_Exp[[#This Row],[24hr_High-End]]*Inhalation_Exp[[#This Row],[ED_High-End]]/ID,Inhalation_Exp[[#This Row],[24hr_High-End]]*EFID/ID)</f>
        <v>9.1666666666666667E-3</v>
      </c>
      <c r="S6" s="301">
        <f>IF(EFID&gt;Inhalation_Exp[[#This Row],[ED_Central Tendency]],Inhalation_Exp[[#This Row],[24hr_Central Tendency]]*Inhalation_Exp[[#This Row],[ED_Central Tendency]]/ID,Inhalation_Exp[[#This Row],[24hr_Central Tendency]]*EFID/ID)</f>
        <v>9.1666666666666667E-3</v>
      </c>
      <c r="T6" s="301">
        <f t="shared" ref="T6:T36" si="3">P6*F6*WY_high/(WY_high*365)</f>
        <v>8.5616438356164379E-3</v>
      </c>
      <c r="U6" s="301">
        <f t="shared" si="0"/>
        <v>7.1232876712328773E-3</v>
      </c>
      <c r="V6" s="275">
        <f t="shared" si="1"/>
        <v>4.3905865823674044E-3</v>
      </c>
      <c r="W6" s="275">
        <f t="shared" si="2"/>
        <v>2.8310502283105028E-3</v>
      </c>
      <c r="X6" s="276">
        <v>5</v>
      </c>
      <c r="Y6" s="276">
        <v>10</v>
      </c>
      <c r="Z6" s="145" t="s">
        <v>212</v>
      </c>
      <c r="AA6" s="416" t="s">
        <v>213</v>
      </c>
    </row>
    <row r="7" spans="1:27" ht="14.5" x14ac:dyDescent="0.3">
      <c r="A7" s="417"/>
      <c r="B7" s="413">
        <v>1</v>
      </c>
      <c r="C7" s="414" t="s">
        <v>210</v>
      </c>
      <c r="D7" s="415" t="s">
        <v>214</v>
      </c>
      <c r="E7" s="6" t="s">
        <v>211</v>
      </c>
      <c r="F7" s="6">
        <v>250</v>
      </c>
      <c r="G7" s="377">
        <v>208</v>
      </c>
      <c r="H7" s="428">
        <v>0.45750000000000002</v>
      </c>
      <c r="I7" s="428">
        <v>0.1</v>
      </c>
      <c r="J7" s="461"/>
      <c r="K7" s="461"/>
      <c r="L7" s="461"/>
      <c r="M7" s="461"/>
      <c r="N7" s="324">
        <f>SUM(Inhalation_Exp[[#This Row],[Vapor HE]],Inhalation_Exp[[#This Row],[Mist HE]],Inhalation_Exp[[#This Row],[Dust HE]])</f>
        <v>0.45750000000000002</v>
      </c>
      <c r="O7" s="324">
        <f>SUM(Inhalation_Exp[[#This Row],[Vapor CT]],Inhalation_Exp[[#This Row],[Mist CT]],Inhalation_Exp[[#This Row],[Dust CT]])</f>
        <v>0.1</v>
      </c>
      <c r="P7" s="368">
        <f>(((N7)*ED_8)*WorkBreathRate)/IF(Inhalation_Exp[[#This Row],[Worker Type]]="Female of Reproductive Age",BW_F,BW_default)</f>
        <v>5.7187500000000002E-2</v>
      </c>
      <c r="Q7" s="368">
        <f>(((O7)*ED_8)*WorkBreathRate)/IF(Inhalation_Exp[[#This Row],[Worker Type]]="Female of Reproductive Age",BW_F,BW_default)</f>
        <v>1.2500000000000001E-2</v>
      </c>
      <c r="R7" s="301">
        <f>IF(EFID&gt;Inhalation_Exp[[#This Row],[ED_High-End]],Inhalation_Exp[[#This Row],[24hr_High-End]]*Inhalation_Exp[[#This Row],[ED_High-End]]/ID,Inhalation_Exp[[#This Row],[24hr_High-End]]*EFID/ID)</f>
        <v>4.1937500000000003E-2</v>
      </c>
      <c r="S7" s="301">
        <f>IF(EFID&gt;Inhalation_Exp[[#This Row],[ED_Central Tendency]],Inhalation_Exp[[#This Row],[24hr_Central Tendency]]*Inhalation_Exp[[#This Row],[ED_Central Tendency]]/ID,Inhalation_Exp[[#This Row],[24hr_Central Tendency]]*EFID/ID)</f>
        <v>9.1666666666666667E-3</v>
      </c>
      <c r="T7" s="301">
        <f t="shared" si="3"/>
        <v>3.9169520547945202E-2</v>
      </c>
      <c r="U7" s="301">
        <f t="shared" si="0"/>
        <v>7.1232876712328773E-3</v>
      </c>
      <c r="V7" s="275">
        <f t="shared" si="1"/>
        <v>2.0086933614330876E-2</v>
      </c>
      <c r="W7" s="275">
        <f t="shared" si="2"/>
        <v>2.8310502283105028E-3</v>
      </c>
      <c r="X7" s="276">
        <v>5</v>
      </c>
      <c r="Y7" s="276">
        <v>10</v>
      </c>
      <c r="Z7" s="145" t="s">
        <v>212</v>
      </c>
      <c r="AA7" s="416" t="s">
        <v>213</v>
      </c>
    </row>
    <row r="8" spans="1:27" ht="14.5" x14ac:dyDescent="0.3">
      <c r="A8" s="417"/>
      <c r="B8" s="413">
        <v>1</v>
      </c>
      <c r="C8" s="414" t="s">
        <v>215</v>
      </c>
      <c r="D8" s="415" t="s">
        <v>214</v>
      </c>
      <c r="E8" s="6" t="s">
        <v>211</v>
      </c>
      <c r="F8" s="6">
        <v>250</v>
      </c>
      <c r="G8" s="377">
        <v>208</v>
      </c>
      <c r="H8" s="379"/>
      <c r="I8" s="379"/>
      <c r="J8" s="461"/>
      <c r="K8" s="461"/>
      <c r="L8" s="192">
        <v>1.5</v>
      </c>
      <c r="M8" s="192">
        <v>6.6000000000000003E-2</v>
      </c>
      <c r="N8" s="437">
        <f>SUM(Inhalation_Exp[[#This Row],[Vapor HE]],Inhalation_Exp[[#This Row],[Mist HE]],Inhalation_Exp[[#This Row],[Dust HE]])</f>
        <v>1.5</v>
      </c>
      <c r="O8" s="368">
        <f>SUM(Inhalation_Exp[[#This Row],[Vapor CT]],Inhalation_Exp[[#This Row],[Mist CT]],Inhalation_Exp[[#This Row],[Dust CT]])</f>
        <v>6.6000000000000003E-2</v>
      </c>
      <c r="P8" s="324">
        <f>(((N8)*ED_8)*WorkBreathRate)/IF(Inhalation_Exp[[#This Row],[Worker Type]]="Female of Reproductive Age",BW_F,BW_default)</f>
        <v>0.1875</v>
      </c>
      <c r="Q8" s="368">
        <f>(((O8)*ED_8)*WorkBreathRate)/IF(Inhalation_Exp[[#This Row],[Worker Type]]="Female of Reproductive Age",BW_F,BW_default)</f>
        <v>8.2500000000000004E-3</v>
      </c>
      <c r="R8" s="275">
        <f>IF(EFID&gt;Inhalation_Exp[[#This Row],[ED_High-End]],Inhalation_Exp[[#This Row],[24hr_High-End]]*Inhalation_Exp[[#This Row],[ED_High-End]]/ID,Inhalation_Exp[[#This Row],[24hr_High-End]]*EFID/ID)</f>
        <v>0.13750000000000001</v>
      </c>
      <c r="S8" s="301">
        <f>IF(EFID&gt;Inhalation_Exp[[#This Row],[ED_Central Tendency]],Inhalation_Exp[[#This Row],[24hr_Central Tendency]]*Inhalation_Exp[[#This Row],[ED_Central Tendency]]/ID,Inhalation_Exp[[#This Row],[24hr_Central Tendency]]*EFID/ID)</f>
        <v>6.0499999999999998E-3</v>
      </c>
      <c r="T8" s="301">
        <f t="shared" si="3"/>
        <v>0.12842465753424659</v>
      </c>
      <c r="U8" s="301">
        <f t="shared" si="0"/>
        <v>4.7013698630136991E-3</v>
      </c>
      <c r="V8" s="275">
        <f t="shared" si="1"/>
        <v>6.5858798735511065E-2</v>
      </c>
      <c r="W8" s="275">
        <f t="shared" si="2"/>
        <v>1.8684931506849317E-3</v>
      </c>
      <c r="X8" s="276" t="s">
        <v>216</v>
      </c>
      <c r="Y8" s="276" t="s">
        <v>216</v>
      </c>
      <c r="Z8" s="145" t="s">
        <v>217</v>
      </c>
      <c r="AA8" s="416" t="s">
        <v>218</v>
      </c>
    </row>
    <row r="9" spans="1:27" ht="14.5" x14ac:dyDescent="0.3">
      <c r="A9" s="417"/>
      <c r="B9" s="413">
        <v>1</v>
      </c>
      <c r="C9" s="414" t="s">
        <v>215</v>
      </c>
      <c r="D9" s="415" t="s">
        <v>74</v>
      </c>
      <c r="E9" s="6" t="s">
        <v>211</v>
      </c>
      <c r="F9" s="6">
        <v>250</v>
      </c>
      <c r="G9" s="377">
        <v>208</v>
      </c>
      <c r="H9" s="379"/>
      <c r="I9" s="379"/>
      <c r="J9" s="461"/>
      <c r="K9" s="461"/>
      <c r="L9" s="192">
        <v>1.5</v>
      </c>
      <c r="M9" s="192">
        <v>6.6000000000000003E-2</v>
      </c>
      <c r="N9" s="437">
        <f>SUM(Inhalation_Exp[[#This Row],[Vapor HE]],Inhalation_Exp[[#This Row],[Mist HE]],Inhalation_Exp[[#This Row],[Dust HE]])</f>
        <v>1.5</v>
      </c>
      <c r="O9" s="368">
        <f>SUM(Inhalation_Exp[[#This Row],[Vapor CT]],Inhalation_Exp[[#This Row],[Mist CT]],Inhalation_Exp[[#This Row],[Dust CT]])</f>
        <v>6.6000000000000003E-2</v>
      </c>
      <c r="P9" s="324">
        <f>(((N9)*ED_8)*WorkBreathRate)/IF(Inhalation_Exp[[#This Row],[Worker Type]]="Female of Reproductive Age",BW_F,BW_default)</f>
        <v>0.20711080428028991</v>
      </c>
      <c r="Q9" s="368">
        <f>(((O9)*ED_8)*WorkBreathRate)/IF(Inhalation_Exp[[#This Row],[Worker Type]]="Female of Reproductive Age",BW_F,BW_default)</f>
        <v>9.1128753883327578E-3</v>
      </c>
      <c r="R9" s="275">
        <f>IF(EFID&gt;Inhalation_Exp[[#This Row],[ED_High-End]],Inhalation_Exp[[#This Row],[24hr_High-End]]*Inhalation_Exp[[#This Row],[ED_High-End]]/ID,Inhalation_Exp[[#This Row],[24hr_High-End]]*EFID/ID)</f>
        <v>0.15188125647221262</v>
      </c>
      <c r="S9" s="301">
        <f>IF(EFID&gt;Inhalation_Exp[[#This Row],[ED_Central Tendency]],Inhalation_Exp[[#This Row],[24hr_Central Tendency]]*Inhalation_Exp[[#This Row],[ED_Central Tendency]]/ID,Inhalation_Exp[[#This Row],[24hr_Central Tendency]]*EFID/ID)</f>
        <v>6.6827752847773555E-3</v>
      </c>
      <c r="T9" s="301">
        <f t="shared" si="3"/>
        <v>0.14185671526047253</v>
      </c>
      <c r="U9" s="301">
        <f t="shared" si="0"/>
        <v>5.19309063225538E-3</v>
      </c>
      <c r="V9" s="275">
        <f t="shared" si="1"/>
        <v>7.2747033466908986E-2</v>
      </c>
      <c r="W9" s="275">
        <f t="shared" si="2"/>
        <v>2.0639206358963689E-3</v>
      </c>
      <c r="X9" s="276" t="s">
        <v>216</v>
      </c>
      <c r="Y9" s="276" t="s">
        <v>216</v>
      </c>
      <c r="Z9" s="145" t="s">
        <v>217</v>
      </c>
      <c r="AA9" s="416" t="s">
        <v>218</v>
      </c>
    </row>
    <row r="10" spans="1:27" ht="14.5" x14ac:dyDescent="0.3">
      <c r="A10" s="417"/>
      <c r="B10" s="413">
        <v>1</v>
      </c>
      <c r="C10" s="414" t="s">
        <v>215</v>
      </c>
      <c r="D10" s="415" t="s">
        <v>94</v>
      </c>
      <c r="E10" s="6" t="s">
        <v>211</v>
      </c>
      <c r="F10" s="6">
        <v>250</v>
      </c>
      <c r="G10" s="377">
        <v>208</v>
      </c>
      <c r="H10" s="379"/>
      <c r="I10" s="379"/>
      <c r="J10" s="461"/>
      <c r="K10" s="461"/>
      <c r="L10" s="192">
        <v>6.6000000000000003E-2</v>
      </c>
      <c r="M10" s="192">
        <v>6.6000000000000003E-2</v>
      </c>
      <c r="N10" s="368">
        <f>SUM(Inhalation_Exp[[#This Row],[Vapor HE]],Inhalation_Exp[[#This Row],[Mist HE]],Inhalation_Exp[[#This Row],[Dust HE]])</f>
        <v>6.6000000000000003E-2</v>
      </c>
      <c r="O10" s="368">
        <f>SUM(Inhalation_Exp[[#This Row],[Vapor CT]],Inhalation_Exp[[#This Row],[Mist CT]],Inhalation_Exp[[#This Row],[Dust CT]])</f>
        <v>6.6000000000000003E-2</v>
      </c>
      <c r="P10" s="368">
        <f>(((N10)*ED_8)*WorkBreathRate)/IF(Inhalation_Exp[[#This Row],[Worker Type]]="Female of Reproductive Age",BW_F,BW_default)</f>
        <v>8.2500000000000004E-3</v>
      </c>
      <c r="Q10" s="368">
        <f>(((O10)*ED_8)*WorkBreathRate)/IF(Inhalation_Exp[[#This Row],[Worker Type]]="Female of Reproductive Age",BW_F,BW_default)</f>
        <v>8.2500000000000004E-3</v>
      </c>
      <c r="R10" s="301">
        <f>IF(EFID&gt;Inhalation_Exp[[#This Row],[ED_High-End]],Inhalation_Exp[[#This Row],[24hr_High-End]]*Inhalation_Exp[[#This Row],[ED_High-End]]/ID,Inhalation_Exp[[#This Row],[24hr_High-End]]*EFID/ID)</f>
        <v>6.0499999999999998E-3</v>
      </c>
      <c r="S10" s="301">
        <f>IF(EFID&gt;Inhalation_Exp[[#This Row],[ED_Central Tendency]],Inhalation_Exp[[#This Row],[24hr_Central Tendency]]*Inhalation_Exp[[#This Row],[ED_Central Tendency]]/ID,Inhalation_Exp[[#This Row],[24hr_Central Tendency]]*EFID/ID)</f>
        <v>6.0499999999999998E-3</v>
      </c>
      <c r="T10" s="301">
        <f t="shared" si="3"/>
        <v>5.6506849315068495E-3</v>
      </c>
      <c r="U10" s="301">
        <f t="shared" si="0"/>
        <v>4.7013698630136991E-3</v>
      </c>
      <c r="V10" s="275">
        <f t="shared" si="1"/>
        <v>2.897787144362487E-3</v>
      </c>
      <c r="W10" s="275">
        <f t="shared" si="2"/>
        <v>1.8684931506849317E-3</v>
      </c>
      <c r="X10" s="276" t="s">
        <v>216</v>
      </c>
      <c r="Y10" s="276" t="s">
        <v>216</v>
      </c>
      <c r="Z10" s="145" t="s">
        <v>217</v>
      </c>
      <c r="AA10" s="416" t="s">
        <v>218</v>
      </c>
    </row>
    <row r="11" spans="1:27" ht="30" customHeight="1" x14ac:dyDescent="0.3">
      <c r="B11" s="413">
        <v>1</v>
      </c>
      <c r="C11" s="414" t="s">
        <v>219</v>
      </c>
      <c r="D11" s="415" t="s">
        <v>214</v>
      </c>
      <c r="E11" s="6" t="s">
        <v>211</v>
      </c>
      <c r="F11" s="6">
        <v>250</v>
      </c>
      <c r="G11" s="377">
        <v>250</v>
      </c>
      <c r="H11" s="428">
        <v>0.45750000000000002</v>
      </c>
      <c r="I11" s="428">
        <v>0.1</v>
      </c>
      <c r="J11" s="461"/>
      <c r="K11" s="461"/>
      <c r="L11" s="461"/>
      <c r="M11" s="378"/>
      <c r="N11" s="324">
        <f>SUM(Inhalation_Exp[[#This Row],[Vapor HE]],Inhalation_Exp[[#This Row],[Mist HE]],Inhalation_Exp[[#This Row],[Dust HE]])</f>
        <v>0.45750000000000002</v>
      </c>
      <c r="O11" s="324">
        <f>SUM(Inhalation_Exp[[#This Row],[Vapor CT]],Inhalation_Exp[[#This Row],[Mist CT]],Inhalation_Exp[[#This Row],[Dust CT]])</f>
        <v>0.1</v>
      </c>
      <c r="P11" s="368">
        <f>(((N11)*ED_8)*WorkBreathRate)/IF(Inhalation_Exp[[#This Row],[Worker Type]]="Female of Reproductive Age",BW_F,BW_default)</f>
        <v>5.7187500000000002E-2</v>
      </c>
      <c r="Q11" s="368">
        <f>(((O11)*ED_8)*WorkBreathRate)/IF(Inhalation_Exp[[#This Row],[Worker Type]]="Female of Reproductive Age",BW_F,BW_default)</f>
        <v>1.2500000000000001E-2</v>
      </c>
      <c r="R11" s="368">
        <f>IF(EFID&gt;Inhalation_Exp[[#This Row],[ED_High-End]],Inhalation_Exp[[#This Row],[24hr_High-End]]*Inhalation_Exp[[#This Row],[ED_High-End]]/ID,Inhalation_Exp[[#This Row],[24hr_High-End]]*EFID/ID)</f>
        <v>4.1937500000000003E-2</v>
      </c>
      <c r="S11" s="368">
        <f>IF(EFID&gt;Inhalation_Exp[[#This Row],[ED_Central Tendency]],Inhalation_Exp[[#This Row],[24hr_Central Tendency]]*Inhalation_Exp[[#This Row],[ED_Central Tendency]]/ID,Inhalation_Exp[[#This Row],[24hr_Central Tendency]]*EFID/ID)</f>
        <v>9.1666666666666667E-3</v>
      </c>
      <c r="T11" s="368">
        <f t="shared" si="3"/>
        <v>3.9169520547945202E-2</v>
      </c>
      <c r="U11" s="368">
        <f t="shared" si="0"/>
        <v>8.5616438356164379E-3</v>
      </c>
      <c r="V11" s="275">
        <f t="shared" si="1"/>
        <v>2.0086933614330876E-2</v>
      </c>
      <c r="W11" s="275">
        <f t="shared" si="2"/>
        <v>3.4027046013347384E-3</v>
      </c>
      <c r="X11" s="276">
        <v>5</v>
      </c>
      <c r="Y11" s="276">
        <v>10</v>
      </c>
      <c r="Z11" s="145" t="s">
        <v>220</v>
      </c>
      <c r="AA11" s="416" t="s">
        <v>213</v>
      </c>
    </row>
    <row r="12" spans="1:27" ht="30" customHeight="1" x14ac:dyDescent="0.3">
      <c r="A12" s="417"/>
      <c r="B12" s="413">
        <v>1</v>
      </c>
      <c r="C12" s="414" t="s">
        <v>219</v>
      </c>
      <c r="D12" s="415" t="s">
        <v>74</v>
      </c>
      <c r="E12" s="6" t="s">
        <v>211</v>
      </c>
      <c r="F12" s="6">
        <v>250</v>
      </c>
      <c r="G12" s="377">
        <v>250</v>
      </c>
      <c r="H12" s="428">
        <v>0.45750000000000002</v>
      </c>
      <c r="I12" s="428">
        <v>0.1</v>
      </c>
      <c r="J12" s="461"/>
      <c r="K12" s="461"/>
      <c r="L12" s="461"/>
      <c r="M12" s="461"/>
      <c r="N12" s="324">
        <f>SUM(Inhalation_Exp[[#This Row],[Vapor HE]],Inhalation_Exp[[#This Row],[Mist HE]],Inhalation_Exp[[#This Row],[Dust HE]])</f>
        <v>0.45750000000000002</v>
      </c>
      <c r="O12" s="324">
        <f>SUM(Inhalation_Exp[[#This Row],[Vapor CT]],Inhalation_Exp[[#This Row],[Mist CT]],Inhalation_Exp[[#This Row],[Dust CT]])</f>
        <v>0.1</v>
      </c>
      <c r="P12" s="368">
        <f>(((N12)*ED_8)*WorkBreathRate)/IF(Inhalation_Exp[[#This Row],[Worker Type]]="Female of Reproductive Age",BW_F,BW_default)</f>
        <v>6.3168795305488426E-2</v>
      </c>
      <c r="Q12" s="368">
        <f>(((O12)*ED_8)*WorkBreathRate)/IF(Inhalation_Exp[[#This Row],[Worker Type]]="Female of Reproductive Age",BW_F,BW_default)</f>
        <v>1.3807386952019328E-2</v>
      </c>
      <c r="R12" s="368">
        <f>IF(EFID&gt;Inhalation_Exp[[#This Row],[ED_High-End]],Inhalation_Exp[[#This Row],[24hr_High-End]]*Inhalation_Exp[[#This Row],[ED_High-End]]/ID,Inhalation_Exp[[#This Row],[24hr_High-End]]*EFID/ID)</f>
        <v>4.6323783224024848E-2</v>
      </c>
      <c r="S12" s="368">
        <f>IF(EFID&gt;Inhalation_Exp[[#This Row],[ED_Central Tendency]],Inhalation_Exp[[#This Row],[24hr_Central Tendency]]*Inhalation_Exp[[#This Row],[ED_Central Tendency]]/ID,Inhalation_Exp[[#This Row],[24hr_Central Tendency]]*EFID/ID)</f>
        <v>1.0125417098147507E-2</v>
      </c>
      <c r="T12" s="368">
        <f t="shared" si="3"/>
        <v>4.3266298154444126E-2</v>
      </c>
      <c r="U12" s="368">
        <f t="shared" si="0"/>
        <v>9.457114350698171E-3</v>
      </c>
      <c r="V12" s="275">
        <f t="shared" si="1"/>
        <v>2.2187845207407245E-2</v>
      </c>
      <c r="W12" s="275">
        <f t="shared" si="2"/>
        <v>3.7585967291236316E-3</v>
      </c>
      <c r="X12" s="276">
        <v>5</v>
      </c>
      <c r="Y12" s="276">
        <v>10</v>
      </c>
      <c r="Z12" s="145" t="s">
        <v>220</v>
      </c>
      <c r="AA12" s="416" t="s">
        <v>213</v>
      </c>
    </row>
    <row r="13" spans="1:27" ht="30" customHeight="1" x14ac:dyDescent="0.3">
      <c r="A13" s="417"/>
      <c r="B13" s="413">
        <v>1</v>
      </c>
      <c r="C13" s="414" t="s">
        <v>219</v>
      </c>
      <c r="D13" s="415" t="s">
        <v>94</v>
      </c>
      <c r="E13" s="6" t="s">
        <v>211</v>
      </c>
      <c r="F13" s="6">
        <v>250</v>
      </c>
      <c r="G13" s="377">
        <v>250</v>
      </c>
      <c r="H13" s="428">
        <v>0.1</v>
      </c>
      <c r="I13" s="428">
        <v>0.1</v>
      </c>
      <c r="J13" s="461"/>
      <c r="K13" s="461"/>
      <c r="L13" s="461"/>
      <c r="M13" s="461"/>
      <c r="N13" s="324">
        <f>SUM(Inhalation_Exp[[#This Row],[Vapor HE]],Inhalation_Exp[[#This Row],[Mist HE]],Inhalation_Exp[[#This Row],[Dust HE]])</f>
        <v>0.1</v>
      </c>
      <c r="O13" s="324">
        <f>SUM(Inhalation_Exp[[#This Row],[Vapor CT]],Inhalation_Exp[[#This Row],[Mist CT]],Inhalation_Exp[[#This Row],[Dust CT]])</f>
        <v>0.1</v>
      </c>
      <c r="P13" s="368">
        <f>(((N13)*ED_8)*WorkBreathRate)/IF(Inhalation_Exp[[#This Row],[Worker Type]]="Female of Reproductive Age",BW_F,BW_default)</f>
        <v>1.2500000000000001E-2</v>
      </c>
      <c r="Q13" s="368">
        <f>(((O13)*ED_8)*WorkBreathRate)/IF(Inhalation_Exp[[#This Row],[Worker Type]]="Female of Reproductive Age",BW_F,BW_default)</f>
        <v>1.2500000000000001E-2</v>
      </c>
      <c r="R13" s="368">
        <f>IF(EFID&gt;Inhalation_Exp[[#This Row],[ED_High-End]],Inhalation_Exp[[#This Row],[24hr_High-End]]*Inhalation_Exp[[#This Row],[ED_High-End]]/ID,Inhalation_Exp[[#This Row],[24hr_High-End]]*EFID/ID)</f>
        <v>9.1666666666666667E-3</v>
      </c>
      <c r="S13" s="368">
        <f>IF(EFID&gt;Inhalation_Exp[[#This Row],[ED_Central Tendency]],Inhalation_Exp[[#This Row],[24hr_Central Tendency]]*Inhalation_Exp[[#This Row],[ED_Central Tendency]]/ID,Inhalation_Exp[[#This Row],[24hr_Central Tendency]]*EFID/ID)</f>
        <v>9.1666666666666667E-3</v>
      </c>
      <c r="T13" s="368">
        <f t="shared" si="3"/>
        <v>8.5616438356164379E-3</v>
      </c>
      <c r="U13" s="368">
        <f t="shared" si="0"/>
        <v>8.5616438356164379E-3</v>
      </c>
      <c r="V13" s="275">
        <f t="shared" si="1"/>
        <v>4.3905865823674044E-3</v>
      </c>
      <c r="W13" s="275">
        <f t="shared" si="2"/>
        <v>3.4027046013347384E-3</v>
      </c>
      <c r="X13" s="276">
        <v>5</v>
      </c>
      <c r="Y13" s="276">
        <v>10</v>
      </c>
      <c r="Z13" s="145" t="s">
        <v>221</v>
      </c>
      <c r="AA13" s="416" t="s">
        <v>213</v>
      </c>
    </row>
    <row r="14" spans="1:27" ht="14.5" x14ac:dyDescent="0.3">
      <c r="A14" s="417"/>
      <c r="B14" s="418">
        <v>2</v>
      </c>
      <c r="C14" s="419" t="s">
        <v>222</v>
      </c>
      <c r="D14" s="415" t="s">
        <v>74</v>
      </c>
      <c r="E14" s="6" t="s">
        <v>211</v>
      </c>
      <c r="F14" s="6">
        <v>250</v>
      </c>
      <c r="G14" s="377">
        <v>250</v>
      </c>
      <c r="H14" s="461">
        <v>0.1</v>
      </c>
      <c r="I14" s="461">
        <v>0.05</v>
      </c>
      <c r="J14" s="461"/>
      <c r="K14" s="461"/>
      <c r="L14" s="461"/>
      <c r="M14" s="461"/>
      <c r="N14" s="324">
        <f>SUM(Inhalation_Exp[[#This Row],[Vapor HE]],Inhalation_Exp[[#This Row],[Mist HE]],Inhalation_Exp[[#This Row],[Dust HE]])</f>
        <v>0.1</v>
      </c>
      <c r="O14" s="368">
        <f>SUM(Inhalation_Exp[[#This Row],[Vapor CT]],Inhalation_Exp[[#This Row],[Mist CT]],Inhalation_Exp[[#This Row],[Dust CT]])</f>
        <v>0.05</v>
      </c>
      <c r="P14" s="368">
        <f>(((N14)*ED_8)*WorkBreathRate)/IF(Inhalation_Exp[[#This Row],[Worker Type]]="Female of Reproductive Age",BW_F,BW_default)</f>
        <v>1.3807386952019328E-2</v>
      </c>
      <c r="Q14" s="368">
        <f>(((O14)*ED_8)*WorkBreathRate)/IF(Inhalation_Exp[[#This Row],[Worker Type]]="Female of Reproductive Age",BW_F,BW_default)</f>
        <v>6.9036934760096638E-3</v>
      </c>
      <c r="R14" s="301">
        <f>IF(EFID&gt;Inhalation_Exp[[#This Row],[ED_High-End]],Inhalation_Exp[[#This Row],[24hr_High-End]]*Inhalation_Exp[[#This Row],[ED_High-End]]/ID,Inhalation_Exp[[#This Row],[24hr_High-End]]*EFID/ID)</f>
        <v>1.0125417098147507E-2</v>
      </c>
      <c r="S14" s="301">
        <f>IF(EFID&gt;Inhalation_Exp[[#This Row],[ED_Central Tendency]],Inhalation_Exp[[#This Row],[24hr_Central Tendency]]*Inhalation_Exp[[#This Row],[ED_Central Tendency]]/ID,Inhalation_Exp[[#This Row],[24hr_Central Tendency]]*EFID/ID)</f>
        <v>5.0627085490737534E-3</v>
      </c>
      <c r="T14" s="301">
        <f t="shared" si="3"/>
        <v>9.457114350698171E-3</v>
      </c>
      <c r="U14" s="301">
        <f t="shared" si="0"/>
        <v>4.7285571753490855E-3</v>
      </c>
      <c r="V14" s="275">
        <f t="shared" si="1"/>
        <v>4.8498022311272669E-3</v>
      </c>
      <c r="W14" s="275">
        <f t="shared" si="2"/>
        <v>1.8792983645618158E-3</v>
      </c>
      <c r="X14" s="276">
        <v>1</v>
      </c>
      <c r="Y14" s="276">
        <v>1</v>
      </c>
      <c r="Z14" s="145" t="s">
        <v>223</v>
      </c>
      <c r="AA14" s="416" t="s">
        <v>213</v>
      </c>
    </row>
    <row r="15" spans="1:27" ht="14.5" x14ac:dyDescent="0.3">
      <c r="A15" s="417"/>
      <c r="B15" s="418">
        <v>2</v>
      </c>
      <c r="C15" s="419" t="s">
        <v>222</v>
      </c>
      <c r="D15" s="415" t="s">
        <v>94</v>
      </c>
      <c r="E15" s="6" t="s">
        <v>211</v>
      </c>
      <c r="F15" s="6">
        <v>250</v>
      </c>
      <c r="G15" s="377">
        <v>250</v>
      </c>
      <c r="H15" s="461">
        <v>0.05</v>
      </c>
      <c r="I15" s="461">
        <v>0.05</v>
      </c>
      <c r="J15" s="461"/>
      <c r="K15" s="461"/>
      <c r="L15" s="461"/>
      <c r="M15" s="461"/>
      <c r="N15" s="368">
        <f>SUM(Inhalation_Exp[[#This Row],[Vapor HE]],Inhalation_Exp[[#This Row],[Mist HE]],Inhalation_Exp[[#This Row],[Dust HE]])</f>
        <v>0.05</v>
      </c>
      <c r="O15" s="368">
        <f>SUM(Inhalation_Exp[[#This Row],[Vapor CT]],Inhalation_Exp[[#This Row],[Mist CT]],Inhalation_Exp[[#This Row],[Dust CT]])</f>
        <v>0.05</v>
      </c>
      <c r="P15" s="368">
        <f>(((N15)*ED_8)*WorkBreathRate)/IF(Inhalation_Exp[[#This Row],[Worker Type]]="Female of Reproductive Age",BW_F,BW_default)</f>
        <v>6.2500000000000003E-3</v>
      </c>
      <c r="Q15" s="368">
        <f>(((O15)*ED_8)*WorkBreathRate)/IF(Inhalation_Exp[[#This Row],[Worker Type]]="Female of Reproductive Age",BW_F,BW_default)</f>
        <v>6.2500000000000003E-3</v>
      </c>
      <c r="R15" s="301">
        <f>IF(EFID&gt;Inhalation_Exp[[#This Row],[ED_High-End]],Inhalation_Exp[[#This Row],[24hr_High-End]]*Inhalation_Exp[[#This Row],[ED_High-End]]/ID,Inhalation_Exp[[#This Row],[24hr_High-End]]*EFID/ID)</f>
        <v>4.5833333333333334E-3</v>
      </c>
      <c r="S15" s="301">
        <f>IF(EFID&gt;Inhalation_Exp[[#This Row],[ED_Central Tendency]],Inhalation_Exp[[#This Row],[24hr_Central Tendency]]*Inhalation_Exp[[#This Row],[ED_Central Tendency]]/ID,Inhalation_Exp[[#This Row],[24hr_Central Tendency]]*EFID/ID)</f>
        <v>4.5833333333333334E-3</v>
      </c>
      <c r="T15" s="301">
        <f t="shared" si="3"/>
        <v>4.2808219178082189E-3</v>
      </c>
      <c r="U15" s="301">
        <f t="shared" si="0"/>
        <v>4.2808219178082189E-3</v>
      </c>
      <c r="V15" s="275">
        <f t="shared" si="1"/>
        <v>2.1952932911837022E-3</v>
      </c>
      <c r="W15" s="275">
        <f t="shared" si="2"/>
        <v>1.7013523006673692E-3</v>
      </c>
      <c r="X15" s="276">
        <v>1</v>
      </c>
      <c r="Y15" s="276">
        <v>1</v>
      </c>
      <c r="Z15" s="145" t="s">
        <v>221</v>
      </c>
      <c r="AA15" s="416" t="s">
        <v>213</v>
      </c>
    </row>
    <row r="16" spans="1:27" ht="14.5" x14ac:dyDescent="0.3">
      <c r="A16" s="417"/>
      <c r="B16" s="418">
        <v>2</v>
      </c>
      <c r="C16" s="419" t="s">
        <v>222</v>
      </c>
      <c r="D16" s="415" t="s">
        <v>214</v>
      </c>
      <c r="E16" s="6" t="s">
        <v>211</v>
      </c>
      <c r="F16" s="6">
        <v>250</v>
      </c>
      <c r="G16" s="377">
        <v>250</v>
      </c>
      <c r="H16" s="461">
        <v>0.1</v>
      </c>
      <c r="I16" s="461">
        <v>0.05</v>
      </c>
      <c r="J16" s="461"/>
      <c r="K16" s="461"/>
      <c r="L16" s="461"/>
      <c r="M16" s="461"/>
      <c r="N16" s="324">
        <f>SUM(Inhalation_Exp[[#This Row],[Vapor HE]],Inhalation_Exp[[#This Row],[Mist HE]],Inhalation_Exp[[#This Row],[Dust HE]])</f>
        <v>0.1</v>
      </c>
      <c r="O16" s="368">
        <f>SUM(Inhalation_Exp[[#This Row],[Vapor CT]],Inhalation_Exp[[#This Row],[Mist CT]],Inhalation_Exp[[#This Row],[Dust CT]])</f>
        <v>0.05</v>
      </c>
      <c r="P16" s="368">
        <f>(((N16)*ED_8)*WorkBreathRate)/IF(Inhalation_Exp[[#This Row],[Worker Type]]="Female of Reproductive Age",BW_F,BW_default)</f>
        <v>1.2500000000000001E-2</v>
      </c>
      <c r="Q16" s="368">
        <f>(((O16)*ED_8)*WorkBreathRate)/IF(Inhalation_Exp[[#This Row],[Worker Type]]="Female of Reproductive Age",BW_F,BW_default)</f>
        <v>6.2500000000000003E-3</v>
      </c>
      <c r="R16" s="301">
        <f>IF(EFID&gt;Inhalation_Exp[[#This Row],[ED_High-End]],Inhalation_Exp[[#This Row],[24hr_High-End]]*Inhalation_Exp[[#This Row],[ED_High-End]]/ID,Inhalation_Exp[[#This Row],[24hr_High-End]]*EFID/ID)</f>
        <v>9.1666666666666667E-3</v>
      </c>
      <c r="S16" s="301">
        <f>IF(EFID&gt;Inhalation_Exp[[#This Row],[ED_Central Tendency]],Inhalation_Exp[[#This Row],[24hr_Central Tendency]]*Inhalation_Exp[[#This Row],[ED_Central Tendency]]/ID,Inhalation_Exp[[#This Row],[24hr_Central Tendency]]*EFID/ID)</f>
        <v>4.5833333333333334E-3</v>
      </c>
      <c r="T16" s="301">
        <f t="shared" si="3"/>
        <v>8.5616438356164379E-3</v>
      </c>
      <c r="U16" s="301">
        <f t="shared" si="0"/>
        <v>4.2808219178082189E-3</v>
      </c>
      <c r="V16" s="275">
        <f t="shared" si="1"/>
        <v>4.3905865823674044E-3</v>
      </c>
      <c r="W16" s="275">
        <f t="shared" si="2"/>
        <v>1.7013523006673692E-3</v>
      </c>
      <c r="X16" s="276">
        <v>1</v>
      </c>
      <c r="Y16" s="276">
        <v>1</v>
      </c>
      <c r="Z16" s="145" t="s">
        <v>223</v>
      </c>
      <c r="AA16" s="416" t="s">
        <v>213</v>
      </c>
    </row>
    <row r="17" spans="1:27" ht="14.5" x14ac:dyDescent="0.3">
      <c r="A17" s="417"/>
      <c r="B17" s="418">
        <v>2</v>
      </c>
      <c r="C17" s="419" t="s">
        <v>224</v>
      </c>
      <c r="D17" s="415" t="s">
        <v>74</v>
      </c>
      <c r="E17" s="6" t="s">
        <v>211</v>
      </c>
      <c r="F17" s="6">
        <v>250</v>
      </c>
      <c r="G17" s="377">
        <v>250</v>
      </c>
      <c r="H17" s="379"/>
      <c r="I17" s="379"/>
      <c r="J17" s="461"/>
      <c r="K17" s="461"/>
      <c r="L17" s="404">
        <v>3.5</v>
      </c>
      <c r="M17" s="404">
        <v>0.33599999999999997</v>
      </c>
      <c r="N17" s="437">
        <f>SUM(Inhalation_Exp[[#This Row],[Vapor HE]],Inhalation_Exp[[#This Row],[Mist HE]],Inhalation_Exp[[#This Row],[Dust HE]])</f>
        <v>3.5</v>
      </c>
      <c r="O17" s="324">
        <f>SUM(Inhalation_Exp[[#This Row],[Vapor CT]],Inhalation_Exp[[#This Row],[Mist CT]],Inhalation_Exp[[#This Row],[Dust CT]])</f>
        <v>0.33599999999999997</v>
      </c>
      <c r="P17" s="324">
        <f>(((N17)*ED_8)*WorkBreathRate)/IF(Inhalation_Exp[[#This Row],[Worker Type]]="Female of Reproductive Age",BW_F,BW_default)</f>
        <v>0.48325854332067647</v>
      </c>
      <c r="Q17" s="368">
        <f>(((O17)*ED_8)*WorkBreathRate)/IF(Inhalation_Exp[[#This Row],[Worker Type]]="Female of Reproductive Age",BW_F,BW_default)</f>
        <v>4.6392820158784938E-2</v>
      </c>
      <c r="R17" s="275">
        <f>IF(EFID&gt;Inhalation_Exp[[#This Row],[ED_High-End]],Inhalation_Exp[[#This Row],[24hr_High-End]]*Inhalation_Exp[[#This Row],[ED_High-End]]/ID,Inhalation_Exp[[#This Row],[24hr_High-End]]*EFID/ID)</f>
        <v>0.35438959843516277</v>
      </c>
      <c r="S17" s="301">
        <f>IF(EFID&gt;Inhalation_Exp[[#This Row],[ED_Central Tendency]],Inhalation_Exp[[#This Row],[24hr_Central Tendency]]*Inhalation_Exp[[#This Row],[ED_Central Tendency]]/ID,Inhalation_Exp[[#This Row],[24hr_Central Tendency]]*EFID/ID)</f>
        <v>3.4021401449775619E-2</v>
      </c>
      <c r="T17" s="275">
        <f t="shared" si="3"/>
        <v>0.33099900227443596</v>
      </c>
      <c r="U17" s="301">
        <f t="shared" si="0"/>
        <v>3.1775904218345849E-2</v>
      </c>
      <c r="V17" s="275">
        <f t="shared" si="1"/>
        <v>0.16974307808945432</v>
      </c>
      <c r="W17" s="275">
        <f t="shared" si="2"/>
        <v>1.2628885009855401E-2</v>
      </c>
      <c r="X17" s="276" t="s">
        <v>216</v>
      </c>
      <c r="Y17" s="276" t="s">
        <v>216</v>
      </c>
      <c r="Z17" s="145" t="s">
        <v>217</v>
      </c>
      <c r="AA17" s="416" t="s">
        <v>218</v>
      </c>
    </row>
    <row r="18" spans="1:27" ht="14.5" x14ac:dyDescent="0.3">
      <c r="A18" s="417"/>
      <c r="B18" s="418">
        <v>2</v>
      </c>
      <c r="C18" s="419" t="s">
        <v>224</v>
      </c>
      <c r="D18" s="415" t="s">
        <v>94</v>
      </c>
      <c r="E18" s="6" t="s">
        <v>211</v>
      </c>
      <c r="F18" s="6">
        <v>250</v>
      </c>
      <c r="G18" s="377">
        <v>250</v>
      </c>
      <c r="H18" s="379"/>
      <c r="I18" s="379"/>
      <c r="J18" s="461"/>
      <c r="K18" s="461"/>
      <c r="L18" s="404">
        <v>0.33599999999999997</v>
      </c>
      <c r="M18" s="404">
        <v>0.33599999999999997</v>
      </c>
      <c r="N18" s="324">
        <f>SUM(Inhalation_Exp[[#This Row],[Vapor HE]],Inhalation_Exp[[#This Row],[Mist HE]],Inhalation_Exp[[#This Row],[Dust HE]])</f>
        <v>0.33599999999999997</v>
      </c>
      <c r="O18" s="324">
        <f>SUM(Inhalation_Exp[[#This Row],[Vapor CT]],Inhalation_Exp[[#This Row],[Mist CT]],Inhalation_Exp[[#This Row],[Dust CT]])</f>
        <v>0.33599999999999997</v>
      </c>
      <c r="P18" s="368">
        <f>(((N18)*ED_8)*WorkBreathRate)/IF(Inhalation_Exp[[#This Row],[Worker Type]]="Female of Reproductive Age",BW_F,BW_default)</f>
        <v>4.1999999999999996E-2</v>
      </c>
      <c r="Q18" s="368">
        <f>(((O18)*ED_8)*WorkBreathRate)/IF(Inhalation_Exp[[#This Row],[Worker Type]]="Female of Reproductive Age",BW_F,BW_default)</f>
        <v>4.1999999999999996E-2</v>
      </c>
      <c r="R18" s="301">
        <f>IF(EFID&gt;Inhalation_Exp[[#This Row],[ED_High-End]],Inhalation_Exp[[#This Row],[24hr_High-End]]*Inhalation_Exp[[#This Row],[ED_High-End]]/ID,Inhalation_Exp[[#This Row],[24hr_High-End]]*EFID/ID)</f>
        <v>3.0799999999999998E-2</v>
      </c>
      <c r="S18" s="301">
        <f>IF(EFID&gt;Inhalation_Exp[[#This Row],[ED_Central Tendency]],Inhalation_Exp[[#This Row],[24hr_Central Tendency]]*Inhalation_Exp[[#This Row],[ED_Central Tendency]]/ID,Inhalation_Exp[[#This Row],[24hr_Central Tendency]]*EFID/ID)</f>
        <v>3.0799999999999998E-2</v>
      </c>
      <c r="T18" s="301">
        <f t="shared" si="3"/>
        <v>2.8767123287671229E-2</v>
      </c>
      <c r="U18" s="301">
        <f t="shared" si="0"/>
        <v>2.8767123287671229E-2</v>
      </c>
      <c r="V18" s="275">
        <f t="shared" si="1"/>
        <v>1.4752370916754477E-2</v>
      </c>
      <c r="W18" s="275">
        <f t="shared" si="2"/>
        <v>1.143308746048472E-2</v>
      </c>
      <c r="X18" s="276" t="s">
        <v>216</v>
      </c>
      <c r="Y18" s="276" t="s">
        <v>216</v>
      </c>
      <c r="Z18" s="145" t="s">
        <v>217</v>
      </c>
      <c r="AA18" s="416" t="s">
        <v>218</v>
      </c>
    </row>
    <row r="19" spans="1:27" ht="14.5" x14ac:dyDescent="0.3">
      <c r="A19" s="417"/>
      <c r="B19" s="418">
        <v>2</v>
      </c>
      <c r="C19" s="419" t="s">
        <v>224</v>
      </c>
      <c r="D19" s="415" t="s">
        <v>214</v>
      </c>
      <c r="E19" s="6" t="s">
        <v>211</v>
      </c>
      <c r="F19" s="6">
        <v>250</v>
      </c>
      <c r="G19" s="377">
        <v>250</v>
      </c>
      <c r="H19" s="379"/>
      <c r="I19" s="379"/>
      <c r="J19" s="461"/>
      <c r="K19" s="461"/>
      <c r="L19" s="404">
        <v>3.5</v>
      </c>
      <c r="M19" s="404">
        <v>0.33599999999999997</v>
      </c>
      <c r="N19" s="437">
        <f>SUM(Inhalation_Exp[[#This Row],[Vapor HE]],Inhalation_Exp[[#This Row],[Mist HE]],Inhalation_Exp[[#This Row],[Dust HE]])</f>
        <v>3.5</v>
      </c>
      <c r="O19" s="324">
        <f>SUM(Inhalation_Exp[[#This Row],[Vapor CT]],Inhalation_Exp[[#This Row],[Mist CT]],Inhalation_Exp[[#This Row],[Dust CT]])</f>
        <v>0.33599999999999997</v>
      </c>
      <c r="P19" s="324">
        <f>(((N19)*ED_8)*WorkBreathRate)/IF(Inhalation_Exp[[#This Row],[Worker Type]]="Female of Reproductive Age",BW_F,BW_default)</f>
        <v>0.4375</v>
      </c>
      <c r="Q19" s="368">
        <f>(((O19)*ED_8)*WorkBreathRate)/IF(Inhalation_Exp[[#This Row],[Worker Type]]="Female of Reproductive Age",BW_F,BW_default)</f>
        <v>4.1999999999999996E-2</v>
      </c>
      <c r="R19" s="275">
        <f>IF(EFID&gt;Inhalation_Exp[[#This Row],[ED_High-End]],Inhalation_Exp[[#This Row],[24hr_High-End]]*Inhalation_Exp[[#This Row],[ED_High-End]]/ID,Inhalation_Exp[[#This Row],[24hr_High-End]]*EFID/ID)</f>
        <v>0.32083333333333336</v>
      </c>
      <c r="S19" s="301">
        <f>IF(EFID&gt;Inhalation_Exp[[#This Row],[ED_Central Tendency]],Inhalation_Exp[[#This Row],[24hr_Central Tendency]]*Inhalation_Exp[[#This Row],[ED_Central Tendency]]/ID,Inhalation_Exp[[#This Row],[24hr_Central Tendency]]*EFID/ID)</f>
        <v>3.0799999999999998E-2</v>
      </c>
      <c r="T19" s="275">
        <f t="shared" si="3"/>
        <v>0.29965753424657532</v>
      </c>
      <c r="U19" s="301">
        <f t="shared" si="0"/>
        <v>2.8767123287671229E-2</v>
      </c>
      <c r="V19" s="275">
        <f t="shared" si="1"/>
        <v>0.15367053038285916</v>
      </c>
      <c r="W19" s="275">
        <f t="shared" si="2"/>
        <v>1.143308746048472E-2</v>
      </c>
      <c r="X19" s="276" t="s">
        <v>216</v>
      </c>
      <c r="Y19" s="276" t="s">
        <v>216</v>
      </c>
      <c r="Z19" s="145" t="s">
        <v>217</v>
      </c>
      <c r="AA19" s="416" t="s">
        <v>218</v>
      </c>
    </row>
    <row r="20" spans="1:27" ht="14.5" x14ac:dyDescent="0.3">
      <c r="A20" s="417"/>
      <c r="B20" s="418">
        <v>2</v>
      </c>
      <c r="C20" s="420" t="s">
        <v>225</v>
      </c>
      <c r="D20" s="415" t="s">
        <v>74</v>
      </c>
      <c r="E20" s="6" t="s">
        <v>211</v>
      </c>
      <c r="F20" s="6">
        <v>250</v>
      </c>
      <c r="G20" s="377">
        <v>250</v>
      </c>
      <c r="H20" s="461">
        <v>0.1</v>
      </c>
      <c r="I20" s="461">
        <v>0.05</v>
      </c>
      <c r="J20" s="461"/>
      <c r="K20" s="461"/>
      <c r="L20" s="461"/>
      <c r="M20" s="461"/>
      <c r="N20" s="324">
        <f>SUM(Inhalation_Exp[[#This Row],[Vapor HE]],Inhalation_Exp[[#This Row],[Mist HE]],Inhalation_Exp[[#This Row],[Dust HE]])</f>
        <v>0.1</v>
      </c>
      <c r="O20" s="368">
        <f>SUM(Inhalation_Exp[[#This Row],[Vapor CT]],Inhalation_Exp[[#This Row],[Mist CT]],Inhalation_Exp[[#This Row],[Dust CT]])</f>
        <v>0.05</v>
      </c>
      <c r="P20" s="368">
        <f>(((N20)*ED_8)*WorkBreathRate)/IF(Inhalation_Exp[[#This Row],[Worker Type]]="Female of Reproductive Age",BW_F,BW_default)</f>
        <v>1.3807386952019328E-2</v>
      </c>
      <c r="Q20" s="368">
        <f>(((O20)*ED_8)*WorkBreathRate)/IF(Inhalation_Exp[[#This Row],[Worker Type]]="Female of Reproductive Age",BW_F,BW_default)</f>
        <v>6.9036934760096638E-3</v>
      </c>
      <c r="R20" s="301">
        <f>IF(EFID&gt;Inhalation_Exp[[#This Row],[ED_High-End]],Inhalation_Exp[[#This Row],[24hr_High-End]]*Inhalation_Exp[[#This Row],[ED_High-End]]/ID,Inhalation_Exp[[#This Row],[24hr_High-End]]*EFID/ID)</f>
        <v>1.0125417098147507E-2</v>
      </c>
      <c r="S20" s="301">
        <f>IF(EFID&gt;Inhalation_Exp[[#This Row],[ED_Central Tendency]],Inhalation_Exp[[#This Row],[24hr_Central Tendency]]*Inhalation_Exp[[#This Row],[ED_Central Tendency]]/ID,Inhalation_Exp[[#This Row],[24hr_Central Tendency]]*EFID/ID)</f>
        <v>5.0627085490737534E-3</v>
      </c>
      <c r="T20" s="301">
        <f t="shared" si="3"/>
        <v>9.457114350698171E-3</v>
      </c>
      <c r="U20" s="301">
        <f t="shared" si="0"/>
        <v>4.7285571753490855E-3</v>
      </c>
      <c r="V20" s="275">
        <f t="shared" si="1"/>
        <v>4.8498022311272669E-3</v>
      </c>
      <c r="W20" s="275">
        <f t="shared" si="2"/>
        <v>1.8792983645618158E-3</v>
      </c>
      <c r="X20" s="276">
        <v>1</v>
      </c>
      <c r="Y20" s="276">
        <v>1</v>
      </c>
      <c r="Z20" s="145" t="s">
        <v>223</v>
      </c>
      <c r="AA20" s="416" t="s">
        <v>213</v>
      </c>
    </row>
    <row r="21" spans="1:27" ht="14.5" x14ac:dyDescent="0.3">
      <c r="A21" s="417"/>
      <c r="B21" s="418">
        <v>2</v>
      </c>
      <c r="C21" s="420" t="s">
        <v>225</v>
      </c>
      <c r="D21" s="415" t="s">
        <v>94</v>
      </c>
      <c r="E21" s="6" t="s">
        <v>211</v>
      </c>
      <c r="F21" s="6">
        <v>250</v>
      </c>
      <c r="G21" s="377">
        <v>250</v>
      </c>
      <c r="H21" s="461">
        <v>0.05</v>
      </c>
      <c r="I21" s="461">
        <v>0.05</v>
      </c>
      <c r="J21" s="461"/>
      <c r="K21" s="461"/>
      <c r="L21" s="461"/>
      <c r="M21" s="461"/>
      <c r="N21" s="368">
        <f>SUM(Inhalation_Exp[[#This Row],[Vapor HE]],Inhalation_Exp[[#This Row],[Mist HE]],Inhalation_Exp[[#This Row],[Dust HE]])</f>
        <v>0.05</v>
      </c>
      <c r="O21" s="368">
        <f>SUM(Inhalation_Exp[[#This Row],[Vapor CT]],Inhalation_Exp[[#This Row],[Mist CT]],Inhalation_Exp[[#This Row],[Dust CT]])</f>
        <v>0.05</v>
      </c>
      <c r="P21" s="368">
        <f>(((N21)*ED_8)*WorkBreathRate)/IF(Inhalation_Exp[[#This Row],[Worker Type]]="Female of Reproductive Age",BW_F,BW_default)</f>
        <v>6.2500000000000003E-3</v>
      </c>
      <c r="Q21" s="368">
        <f>(((O21)*ED_8)*WorkBreathRate)/IF(Inhalation_Exp[[#This Row],[Worker Type]]="Female of Reproductive Age",BW_F,BW_default)</f>
        <v>6.2500000000000003E-3</v>
      </c>
      <c r="R21" s="301">
        <f>IF(EFID&gt;Inhalation_Exp[[#This Row],[ED_High-End]],Inhalation_Exp[[#This Row],[24hr_High-End]]*Inhalation_Exp[[#This Row],[ED_High-End]]/ID,Inhalation_Exp[[#This Row],[24hr_High-End]]*EFID/ID)</f>
        <v>4.5833333333333334E-3</v>
      </c>
      <c r="S21" s="301">
        <f>IF(EFID&gt;Inhalation_Exp[[#This Row],[ED_Central Tendency]],Inhalation_Exp[[#This Row],[24hr_Central Tendency]]*Inhalation_Exp[[#This Row],[ED_Central Tendency]]/ID,Inhalation_Exp[[#This Row],[24hr_Central Tendency]]*EFID/ID)</f>
        <v>4.5833333333333334E-3</v>
      </c>
      <c r="T21" s="301">
        <f t="shared" si="3"/>
        <v>4.2808219178082189E-3</v>
      </c>
      <c r="U21" s="301">
        <f t="shared" si="0"/>
        <v>4.2808219178082189E-3</v>
      </c>
      <c r="V21" s="275">
        <f t="shared" si="1"/>
        <v>2.1952932911837022E-3</v>
      </c>
      <c r="W21" s="275">
        <f t="shared" si="2"/>
        <v>1.7013523006673692E-3</v>
      </c>
      <c r="X21" s="276">
        <v>1</v>
      </c>
      <c r="Y21" s="276">
        <v>1</v>
      </c>
      <c r="Z21" s="145" t="s">
        <v>221</v>
      </c>
      <c r="AA21" s="416" t="s">
        <v>213</v>
      </c>
    </row>
    <row r="22" spans="1:27" ht="14.5" x14ac:dyDescent="0.3">
      <c r="A22" s="417"/>
      <c r="B22" s="418">
        <v>2</v>
      </c>
      <c r="C22" s="420" t="s">
        <v>225</v>
      </c>
      <c r="D22" s="415" t="s">
        <v>214</v>
      </c>
      <c r="E22" s="6" t="s">
        <v>211</v>
      </c>
      <c r="F22" s="6">
        <v>250</v>
      </c>
      <c r="G22" s="377">
        <v>250</v>
      </c>
      <c r="H22" s="461">
        <v>0.1</v>
      </c>
      <c r="I22" s="461">
        <v>0.05</v>
      </c>
      <c r="J22" s="461"/>
      <c r="K22" s="461"/>
      <c r="L22" s="461"/>
      <c r="M22" s="461"/>
      <c r="N22" s="324">
        <f>SUM(Inhalation_Exp[[#This Row],[Vapor HE]],Inhalation_Exp[[#This Row],[Mist HE]],Inhalation_Exp[[#This Row],[Dust HE]])</f>
        <v>0.1</v>
      </c>
      <c r="O22" s="368">
        <f>SUM(Inhalation_Exp[[#This Row],[Vapor CT]],Inhalation_Exp[[#This Row],[Mist CT]],Inhalation_Exp[[#This Row],[Dust CT]])</f>
        <v>0.05</v>
      </c>
      <c r="P22" s="368">
        <f>(((N22)*ED_8)*WorkBreathRate)/IF(Inhalation_Exp[[#This Row],[Worker Type]]="Female of Reproductive Age",BW_F,BW_default)</f>
        <v>1.2500000000000001E-2</v>
      </c>
      <c r="Q22" s="368">
        <f>(((O22)*ED_8)*WorkBreathRate)/IF(Inhalation_Exp[[#This Row],[Worker Type]]="Female of Reproductive Age",BW_F,BW_default)</f>
        <v>6.2500000000000003E-3</v>
      </c>
      <c r="R22" s="301">
        <f>IF(EFID&gt;Inhalation_Exp[[#This Row],[ED_High-End]],Inhalation_Exp[[#This Row],[24hr_High-End]]*Inhalation_Exp[[#This Row],[ED_High-End]]/ID,Inhalation_Exp[[#This Row],[24hr_High-End]]*EFID/ID)</f>
        <v>9.1666666666666667E-3</v>
      </c>
      <c r="S22" s="301">
        <f>IF(EFID&gt;Inhalation_Exp[[#This Row],[ED_Central Tendency]],Inhalation_Exp[[#This Row],[24hr_Central Tendency]]*Inhalation_Exp[[#This Row],[ED_Central Tendency]]/ID,Inhalation_Exp[[#This Row],[24hr_Central Tendency]]*EFID/ID)</f>
        <v>4.5833333333333334E-3</v>
      </c>
      <c r="T22" s="301">
        <f t="shared" si="3"/>
        <v>8.5616438356164379E-3</v>
      </c>
      <c r="U22" s="301">
        <f t="shared" si="0"/>
        <v>4.2808219178082189E-3</v>
      </c>
      <c r="V22" s="275">
        <f t="shared" si="1"/>
        <v>4.3905865823674044E-3</v>
      </c>
      <c r="W22" s="275">
        <f t="shared" si="2"/>
        <v>1.7013523006673692E-3</v>
      </c>
      <c r="X22" s="276">
        <v>1</v>
      </c>
      <c r="Y22" s="276">
        <v>1</v>
      </c>
      <c r="Z22" s="145" t="s">
        <v>223</v>
      </c>
      <c r="AA22" s="416" t="s">
        <v>213</v>
      </c>
    </row>
    <row r="23" spans="1:27" ht="14.5" x14ac:dyDescent="0.3">
      <c r="A23" s="417"/>
      <c r="B23" s="418">
        <v>2</v>
      </c>
      <c r="C23" s="430" t="s">
        <v>226</v>
      </c>
      <c r="D23" s="415" t="s">
        <v>214</v>
      </c>
      <c r="E23" s="6" t="s">
        <v>211</v>
      </c>
      <c r="F23" s="6">
        <v>250</v>
      </c>
      <c r="G23" s="377">
        <v>250</v>
      </c>
      <c r="H23" s="379"/>
      <c r="I23" s="379"/>
      <c r="J23" s="461"/>
      <c r="K23" s="461"/>
      <c r="L23" s="404">
        <v>5</v>
      </c>
      <c r="M23" s="404">
        <v>0.48</v>
      </c>
      <c r="N23" s="437">
        <f>SUM(Inhalation_Exp[[#This Row],[Vapor HE]],Inhalation_Exp[[#This Row],[Mist HE]],Inhalation_Exp[[#This Row],[Dust HE]])</f>
        <v>5</v>
      </c>
      <c r="O23" s="324">
        <f>SUM(Inhalation_Exp[[#This Row],[Vapor CT]],Inhalation_Exp[[#This Row],[Mist CT]],Inhalation_Exp[[#This Row],[Dust CT]])</f>
        <v>0.48</v>
      </c>
      <c r="P23" s="324">
        <f>(((N23)*ED_8)*WorkBreathRate)/IF(Inhalation_Exp[[#This Row],[Worker Type]]="Female of Reproductive Age",BW_F,BW_default)</f>
        <v>0.625</v>
      </c>
      <c r="Q23" s="368">
        <f>(((O23)*ED_8)*WorkBreathRate)/IF(Inhalation_Exp[[#This Row],[Worker Type]]="Female of Reproductive Age",BW_F,BW_default)</f>
        <v>0.06</v>
      </c>
      <c r="R23" s="275">
        <f>IF(EFID&gt;Inhalation_Exp[[#This Row],[ED_High-End]],Inhalation_Exp[[#This Row],[24hr_High-End]]*Inhalation_Exp[[#This Row],[ED_High-End]]/ID,Inhalation_Exp[[#This Row],[24hr_High-End]]*EFID/ID)</f>
        <v>0.45833333333333331</v>
      </c>
      <c r="S23" s="301">
        <f>IF(EFID&gt;Inhalation_Exp[[#This Row],[ED_Central Tendency]],Inhalation_Exp[[#This Row],[24hr_Central Tendency]]*Inhalation_Exp[[#This Row],[ED_Central Tendency]]/ID,Inhalation_Exp[[#This Row],[24hr_Central Tendency]]*EFID/ID)</f>
        <v>4.3999999999999997E-2</v>
      </c>
      <c r="T23" s="275">
        <f t="shared" si="3"/>
        <v>0.42808219178082191</v>
      </c>
      <c r="U23" s="301">
        <f t="shared" si="0"/>
        <v>4.1095890410958902E-2</v>
      </c>
      <c r="V23" s="275">
        <f t="shared" si="1"/>
        <v>0.21952932911837023</v>
      </c>
      <c r="W23" s="275">
        <f t="shared" si="2"/>
        <v>1.6332982086406742E-2</v>
      </c>
      <c r="X23" s="276" t="s">
        <v>216</v>
      </c>
      <c r="Y23" s="276" t="s">
        <v>216</v>
      </c>
      <c r="Z23" s="145" t="s">
        <v>217</v>
      </c>
      <c r="AA23" s="416" t="s">
        <v>218</v>
      </c>
    </row>
    <row r="24" spans="1:27" ht="14.5" x14ac:dyDescent="0.3">
      <c r="A24" s="417"/>
      <c r="B24" s="418">
        <v>2</v>
      </c>
      <c r="C24" s="430" t="s">
        <v>226</v>
      </c>
      <c r="D24" s="415" t="s">
        <v>74</v>
      </c>
      <c r="E24" s="6" t="s">
        <v>211</v>
      </c>
      <c r="F24" s="6">
        <v>250</v>
      </c>
      <c r="G24" s="377">
        <v>250</v>
      </c>
      <c r="H24" s="379"/>
      <c r="I24" s="379"/>
      <c r="J24" s="461"/>
      <c r="K24" s="461"/>
      <c r="L24" s="404">
        <v>5</v>
      </c>
      <c r="M24" s="404">
        <v>0.48</v>
      </c>
      <c r="N24" s="437">
        <f>SUM(Inhalation_Exp[[#This Row],[Vapor HE]],Inhalation_Exp[[#This Row],[Mist HE]],Inhalation_Exp[[#This Row],[Dust HE]])</f>
        <v>5</v>
      </c>
      <c r="O24" s="324">
        <f>SUM(Inhalation_Exp[[#This Row],[Vapor CT]],Inhalation_Exp[[#This Row],[Mist CT]],Inhalation_Exp[[#This Row],[Dust CT]])</f>
        <v>0.48</v>
      </c>
      <c r="P24" s="324">
        <f>(((N24)*ED_8)*WorkBreathRate)/IF(Inhalation_Exp[[#This Row],[Worker Type]]="Female of Reproductive Age",BW_F,BW_default)</f>
        <v>0.69036934760096635</v>
      </c>
      <c r="Q24" s="368">
        <f>(((O24)*ED_8)*WorkBreathRate)/IF(Inhalation_Exp[[#This Row],[Worker Type]]="Female of Reproductive Age",BW_F,BW_default)</f>
        <v>6.6275457369692772E-2</v>
      </c>
      <c r="R24" s="275">
        <f>IF(EFID&gt;Inhalation_Exp[[#This Row],[ED_High-End]],Inhalation_Exp[[#This Row],[24hr_High-End]]*Inhalation_Exp[[#This Row],[ED_High-End]]/ID,Inhalation_Exp[[#This Row],[24hr_High-End]]*EFID/ID)</f>
        <v>0.50627085490737533</v>
      </c>
      <c r="S24" s="301">
        <f>IF(EFID&gt;Inhalation_Exp[[#This Row],[ED_Central Tendency]],Inhalation_Exp[[#This Row],[24hr_Central Tendency]]*Inhalation_Exp[[#This Row],[ED_Central Tendency]]/ID,Inhalation_Exp[[#This Row],[24hr_Central Tendency]]*EFID/ID)</f>
        <v>4.8602002071108028E-2</v>
      </c>
      <c r="T24" s="275">
        <f t="shared" si="3"/>
        <v>0.4728557175349084</v>
      </c>
      <c r="U24" s="301">
        <f t="shared" si="0"/>
        <v>4.5394148883351214E-2</v>
      </c>
      <c r="V24" s="275">
        <f t="shared" si="1"/>
        <v>0.2424901115563633</v>
      </c>
      <c r="W24" s="275">
        <f t="shared" si="2"/>
        <v>1.8041264299793431E-2</v>
      </c>
      <c r="X24" s="276" t="s">
        <v>216</v>
      </c>
      <c r="Y24" s="276" t="s">
        <v>216</v>
      </c>
      <c r="Z24" s="145" t="s">
        <v>217</v>
      </c>
      <c r="AA24" s="416" t="s">
        <v>218</v>
      </c>
    </row>
    <row r="25" spans="1:27" ht="14.5" x14ac:dyDescent="0.3">
      <c r="A25" s="417"/>
      <c r="B25" s="418">
        <v>2</v>
      </c>
      <c r="C25" s="430" t="s">
        <v>226</v>
      </c>
      <c r="D25" s="415" t="s">
        <v>94</v>
      </c>
      <c r="E25" s="6" t="s">
        <v>211</v>
      </c>
      <c r="F25" s="6">
        <v>250</v>
      </c>
      <c r="G25" s="377">
        <v>250</v>
      </c>
      <c r="H25" s="379"/>
      <c r="I25" s="379"/>
      <c r="J25" s="461"/>
      <c r="K25" s="461"/>
      <c r="L25" s="404">
        <v>0.48</v>
      </c>
      <c r="M25" s="404">
        <v>0.48</v>
      </c>
      <c r="N25" s="324">
        <f>SUM(Inhalation_Exp[[#This Row],[Vapor HE]],Inhalation_Exp[[#This Row],[Mist HE]],Inhalation_Exp[[#This Row],[Dust HE]])</f>
        <v>0.48</v>
      </c>
      <c r="O25" s="324">
        <f>SUM(Inhalation_Exp[[#This Row],[Vapor CT]],Inhalation_Exp[[#This Row],[Mist CT]],Inhalation_Exp[[#This Row],[Dust CT]])</f>
        <v>0.48</v>
      </c>
      <c r="P25" s="368">
        <f>(((N25)*ED_8)*WorkBreathRate)/IF(Inhalation_Exp[[#This Row],[Worker Type]]="Female of Reproductive Age",BW_F,BW_default)</f>
        <v>0.06</v>
      </c>
      <c r="Q25" s="368">
        <f>(((O25)*ED_8)*WorkBreathRate)/IF(Inhalation_Exp[[#This Row],[Worker Type]]="Female of Reproductive Age",BW_F,BW_default)</f>
        <v>0.06</v>
      </c>
      <c r="R25" s="301">
        <f>IF(EFID&gt;Inhalation_Exp[[#This Row],[ED_High-End]],Inhalation_Exp[[#This Row],[24hr_High-End]]*Inhalation_Exp[[#This Row],[ED_High-End]]/ID,Inhalation_Exp[[#This Row],[24hr_High-End]]*EFID/ID)</f>
        <v>4.3999999999999997E-2</v>
      </c>
      <c r="S25" s="301">
        <f>IF(EFID&gt;Inhalation_Exp[[#This Row],[ED_Central Tendency]],Inhalation_Exp[[#This Row],[24hr_Central Tendency]]*Inhalation_Exp[[#This Row],[ED_Central Tendency]]/ID,Inhalation_Exp[[#This Row],[24hr_Central Tendency]]*EFID/ID)</f>
        <v>4.3999999999999997E-2</v>
      </c>
      <c r="T25" s="301">
        <f t="shared" si="3"/>
        <v>4.1095890410958902E-2</v>
      </c>
      <c r="U25" s="301">
        <f t="shared" si="0"/>
        <v>4.1095890410958902E-2</v>
      </c>
      <c r="V25" s="275">
        <f t="shared" si="1"/>
        <v>2.107481559536354E-2</v>
      </c>
      <c r="W25" s="275">
        <f t="shared" si="2"/>
        <v>1.6332982086406742E-2</v>
      </c>
      <c r="X25" s="276" t="s">
        <v>216</v>
      </c>
      <c r="Y25" s="276" t="s">
        <v>216</v>
      </c>
      <c r="Z25" s="145" t="s">
        <v>217</v>
      </c>
      <c r="AA25" s="416" t="s">
        <v>218</v>
      </c>
    </row>
    <row r="26" spans="1:27" ht="14.5" x14ac:dyDescent="0.3">
      <c r="A26" s="417"/>
      <c r="B26" s="418">
        <v>2</v>
      </c>
      <c r="C26" s="419" t="s">
        <v>227</v>
      </c>
      <c r="D26" s="415" t="s">
        <v>214</v>
      </c>
      <c r="E26" s="6" t="s">
        <v>211</v>
      </c>
      <c r="F26" s="6">
        <v>250</v>
      </c>
      <c r="G26" s="377">
        <v>250</v>
      </c>
      <c r="H26" s="461">
        <v>0.1</v>
      </c>
      <c r="I26" s="461">
        <v>0.05</v>
      </c>
      <c r="J26" s="461"/>
      <c r="K26" s="461"/>
      <c r="L26" s="461"/>
      <c r="M26" s="461"/>
      <c r="N26" s="324">
        <f>SUM(Inhalation_Exp[[#This Row],[Vapor HE]],Inhalation_Exp[[#This Row],[Mist HE]],Inhalation_Exp[[#This Row],[Dust HE]])</f>
        <v>0.1</v>
      </c>
      <c r="O26" s="368">
        <f>SUM(Inhalation_Exp[[#This Row],[Vapor CT]],Inhalation_Exp[[#This Row],[Mist CT]],Inhalation_Exp[[#This Row],[Dust CT]])</f>
        <v>0.05</v>
      </c>
      <c r="P26" s="368">
        <f>(((N26)*ED_8)*WorkBreathRate)/IF(Inhalation_Exp[[#This Row],[Worker Type]]="Female of Reproductive Age",BW_F,BW_default)</f>
        <v>1.2500000000000001E-2</v>
      </c>
      <c r="Q26" s="368">
        <f>(((O26)*ED_8)*WorkBreathRate)/IF(Inhalation_Exp[[#This Row],[Worker Type]]="Female of Reproductive Age",BW_F,BW_default)</f>
        <v>6.2500000000000003E-3</v>
      </c>
      <c r="R26" s="301">
        <f>IF(EFID&gt;Inhalation_Exp[[#This Row],[ED_High-End]],Inhalation_Exp[[#This Row],[24hr_High-End]]*Inhalation_Exp[[#This Row],[ED_High-End]]/ID,Inhalation_Exp[[#This Row],[24hr_High-End]]*EFID/ID)</f>
        <v>9.1666666666666667E-3</v>
      </c>
      <c r="S26" s="301">
        <f>IF(EFID&gt;Inhalation_Exp[[#This Row],[ED_Central Tendency]],Inhalation_Exp[[#This Row],[24hr_Central Tendency]]*Inhalation_Exp[[#This Row],[ED_Central Tendency]]/ID,Inhalation_Exp[[#This Row],[24hr_Central Tendency]]*EFID/ID)</f>
        <v>4.5833333333333334E-3</v>
      </c>
      <c r="T26" s="301">
        <f t="shared" si="3"/>
        <v>8.5616438356164379E-3</v>
      </c>
      <c r="U26" s="301">
        <f t="shared" si="0"/>
        <v>4.2808219178082189E-3</v>
      </c>
      <c r="V26" s="275">
        <f t="shared" si="1"/>
        <v>4.3905865823674044E-3</v>
      </c>
      <c r="W26" s="275">
        <f t="shared" si="2"/>
        <v>1.7013523006673692E-3</v>
      </c>
      <c r="X26" s="276">
        <v>1</v>
      </c>
      <c r="Y26" s="276">
        <v>1</v>
      </c>
      <c r="Z26" s="145" t="s">
        <v>223</v>
      </c>
      <c r="AA26" s="416" t="s">
        <v>213</v>
      </c>
    </row>
    <row r="27" spans="1:27" ht="14.5" x14ac:dyDescent="0.3">
      <c r="B27" s="418">
        <v>2</v>
      </c>
      <c r="C27" s="419" t="s">
        <v>227</v>
      </c>
      <c r="D27" s="415" t="s">
        <v>74</v>
      </c>
      <c r="E27" s="6" t="s">
        <v>211</v>
      </c>
      <c r="F27" s="6">
        <v>250</v>
      </c>
      <c r="G27" s="377">
        <v>250</v>
      </c>
      <c r="H27" s="461">
        <v>0.1</v>
      </c>
      <c r="I27" s="461">
        <v>0.05</v>
      </c>
      <c r="J27" s="461"/>
      <c r="K27" s="461"/>
      <c r="L27" s="461"/>
      <c r="M27" s="461"/>
      <c r="N27" s="324">
        <f>SUM(Inhalation_Exp[[#This Row],[Vapor HE]],Inhalation_Exp[[#This Row],[Mist HE]],Inhalation_Exp[[#This Row],[Dust HE]])</f>
        <v>0.1</v>
      </c>
      <c r="O27" s="368">
        <f>SUM(Inhalation_Exp[[#This Row],[Vapor CT]],Inhalation_Exp[[#This Row],[Mist CT]],Inhalation_Exp[[#This Row],[Dust CT]])</f>
        <v>0.05</v>
      </c>
      <c r="P27" s="368">
        <f>(((N27)*ED_8)*WorkBreathRate)/IF(Inhalation_Exp[[#This Row],[Worker Type]]="Female of Reproductive Age",BW_F,BW_default)</f>
        <v>1.3807386952019328E-2</v>
      </c>
      <c r="Q27" s="368">
        <f>(((O27)*ED_8)*WorkBreathRate)/IF(Inhalation_Exp[[#This Row],[Worker Type]]="Female of Reproductive Age",BW_F,BW_default)</f>
        <v>6.9036934760096638E-3</v>
      </c>
      <c r="R27" s="301">
        <f>IF(EFID&gt;Inhalation_Exp[[#This Row],[ED_High-End]],Inhalation_Exp[[#This Row],[24hr_High-End]]*Inhalation_Exp[[#This Row],[ED_High-End]]/ID,Inhalation_Exp[[#This Row],[24hr_High-End]]*EFID/ID)</f>
        <v>1.0125417098147507E-2</v>
      </c>
      <c r="S27" s="301">
        <f>IF(EFID&gt;Inhalation_Exp[[#This Row],[ED_Central Tendency]],Inhalation_Exp[[#This Row],[24hr_Central Tendency]]*Inhalation_Exp[[#This Row],[ED_Central Tendency]]/ID,Inhalation_Exp[[#This Row],[24hr_Central Tendency]]*EFID/ID)</f>
        <v>5.0627085490737534E-3</v>
      </c>
      <c r="T27" s="301">
        <f t="shared" si="3"/>
        <v>9.457114350698171E-3</v>
      </c>
      <c r="U27" s="301">
        <f t="shared" si="0"/>
        <v>4.7285571753490855E-3</v>
      </c>
      <c r="V27" s="275">
        <f t="shared" si="1"/>
        <v>4.8498022311272669E-3</v>
      </c>
      <c r="W27" s="275">
        <f t="shared" si="2"/>
        <v>1.8792983645618158E-3</v>
      </c>
      <c r="X27" s="276">
        <v>1</v>
      </c>
      <c r="Y27" s="276">
        <v>1</v>
      </c>
      <c r="Z27" s="145" t="s">
        <v>223</v>
      </c>
      <c r="AA27" s="416" t="s">
        <v>213</v>
      </c>
    </row>
    <row r="28" spans="1:27" ht="14.5" x14ac:dyDescent="0.3">
      <c r="A28" s="417"/>
      <c r="B28" s="418">
        <v>2</v>
      </c>
      <c r="C28" s="419" t="s">
        <v>227</v>
      </c>
      <c r="D28" s="415" t="s">
        <v>94</v>
      </c>
      <c r="E28" s="6" t="s">
        <v>211</v>
      </c>
      <c r="F28" s="6">
        <v>250</v>
      </c>
      <c r="G28" s="377">
        <v>250</v>
      </c>
      <c r="H28" s="461">
        <v>0.05</v>
      </c>
      <c r="I28" s="461">
        <v>0.05</v>
      </c>
      <c r="J28" s="461"/>
      <c r="K28" s="461"/>
      <c r="L28" s="461"/>
      <c r="M28" s="461"/>
      <c r="N28" s="368">
        <f>SUM(Inhalation_Exp[[#This Row],[Vapor HE]],Inhalation_Exp[[#This Row],[Mist HE]],Inhalation_Exp[[#This Row],[Dust HE]])</f>
        <v>0.05</v>
      </c>
      <c r="O28" s="368">
        <f>SUM(Inhalation_Exp[[#This Row],[Vapor CT]],Inhalation_Exp[[#This Row],[Mist CT]],Inhalation_Exp[[#This Row],[Dust CT]])</f>
        <v>0.05</v>
      </c>
      <c r="P28" s="368">
        <f>(((N28)*ED_8)*WorkBreathRate)/IF(Inhalation_Exp[[#This Row],[Worker Type]]="Female of Reproductive Age",BW_F,BW_default)</f>
        <v>6.2500000000000003E-3</v>
      </c>
      <c r="Q28" s="368">
        <f>(((O28)*ED_8)*WorkBreathRate)/IF(Inhalation_Exp[[#This Row],[Worker Type]]="Female of Reproductive Age",BW_F,BW_default)</f>
        <v>6.2500000000000003E-3</v>
      </c>
      <c r="R28" s="301">
        <f>IF(EFID&gt;Inhalation_Exp[[#This Row],[ED_High-End]],Inhalation_Exp[[#This Row],[24hr_High-End]]*Inhalation_Exp[[#This Row],[ED_High-End]]/ID,Inhalation_Exp[[#This Row],[24hr_High-End]]*EFID/ID)</f>
        <v>4.5833333333333334E-3</v>
      </c>
      <c r="S28" s="301">
        <f>IF(EFID&gt;Inhalation_Exp[[#This Row],[ED_Central Tendency]],Inhalation_Exp[[#This Row],[24hr_Central Tendency]]*Inhalation_Exp[[#This Row],[ED_Central Tendency]]/ID,Inhalation_Exp[[#This Row],[24hr_Central Tendency]]*EFID/ID)</f>
        <v>4.5833333333333334E-3</v>
      </c>
      <c r="T28" s="301">
        <f t="shared" si="3"/>
        <v>4.2808219178082189E-3</v>
      </c>
      <c r="U28" s="301">
        <f t="shared" si="0"/>
        <v>4.2808219178082189E-3</v>
      </c>
      <c r="V28" s="275">
        <f t="shared" si="1"/>
        <v>2.1952932911837022E-3</v>
      </c>
      <c r="W28" s="275">
        <f t="shared" si="2"/>
        <v>1.7013523006673692E-3</v>
      </c>
      <c r="X28" s="276">
        <v>1</v>
      </c>
      <c r="Y28" s="276">
        <v>1</v>
      </c>
      <c r="Z28" s="145" t="s">
        <v>221</v>
      </c>
      <c r="AA28" s="416" t="s">
        <v>213</v>
      </c>
    </row>
    <row r="29" spans="1:27" ht="14.5" x14ac:dyDescent="0.3">
      <c r="A29" s="417"/>
      <c r="B29" s="418">
        <v>2</v>
      </c>
      <c r="C29" s="431" t="s">
        <v>228</v>
      </c>
      <c r="D29" s="415" t="s">
        <v>214</v>
      </c>
      <c r="E29" s="6" t="s">
        <v>211</v>
      </c>
      <c r="F29" s="6">
        <v>250</v>
      </c>
      <c r="G29" s="377">
        <v>250</v>
      </c>
      <c r="H29" s="379"/>
      <c r="I29" s="379"/>
      <c r="J29" s="461"/>
      <c r="K29" s="461"/>
      <c r="L29" s="404">
        <v>3</v>
      </c>
      <c r="M29" s="404">
        <v>0.28799999999999998</v>
      </c>
      <c r="N29" s="437">
        <f>SUM(Inhalation_Exp[[#This Row],[Vapor HE]],Inhalation_Exp[[#This Row],[Mist HE]],Inhalation_Exp[[#This Row],[Dust HE]])</f>
        <v>3</v>
      </c>
      <c r="O29" s="324">
        <f>SUM(Inhalation_Exp[[#This Row],[Vapor CT]],Inhalation_Exp[[#This Row],[Mist CT]],Inhalation_Exp[[#This Row],[Dust CT]])</f>
        <v>0.28799999999999998</v>
      </c>
      <c r="P29" s="324">
        <f>(((N29)*ED_8)*WorkBreathRate)/IF(Inhalation_Exp[[#This Row],[Worker Type]]="Female of Reproductive Age",BW_F,BW_default)</f>
        <v>0.375</v>
      </c>
      <c r="Q29" s="368">
        <f>(((O29)*ED_8)*WorkBreathRate)/IF(Inhalation_Exp[[#This Row],[Worker Type]]="Female of Reproductive Age",BW_F,BW_default)</f>
        <v>3.5999999999999997E-2</v>
      </c>
      <c r="R29" s="275">
        <f>IF(EFID&gt;Inhalation_Exp[[#This Row],[ED_High-End]],Inhalation_Exp[[#This Row],[24hr_High-End]]*Inhalation_Exp[[#This Row],[ED_High-End]]/ID,Inhalation_Exp[[#This Row],[24hr_High-End]]*EFID/ID)</f>
        <v>0.27500000000000002</v>
      </c>
      <c r="S29" s="301">
        <f>IF(EFID&gt;Inhalation_Exp[[#This Row],[ED_Central Tendency]],Inhalation_Exp[[#This Row],[24hr_Central Tendency]]*Inhalation_Exp[[#This Row],[ED_Central Tendency]]/ID,Inhalation_Exp[[#This Row],[24hr_Central Tendency]]*EFID/ID)</f>
        <v>2.6399999999999996E-2</v>
      </c>
      <c r="T29" s="275">
        <f t="shared" si="3"/>
        <v>0.25684931506849318</v>
      </c>
      <c r="U29" s="301">
        <f t="shared" si="0"/>
        <v>2.4657534246575342E-2</v>
      </c>
      <c r="V29" s="275">
        <f t="shared" si="1"/>
        <v>0.13171759747102213</v>
      </c>
      <c r="W29" s="275">
        <f t="shared" si="2"/>
        <v>9.7997892518440471E-3</v>
      </c>
      <c r="X29" s="276" t="s">
        <v>216</v>
      </c>
      <c r="Y29" s="276" t="s">
        <v>216</v>
      </c>
      <c r="Z29" s="145" t="s">
        <v>217</v>
      </c>
      <c r="AA29" s="416" t="s">
        <v>218</v>
      </c>
    </row>
    <row r="30" spans="1:27" ht="14.5" x14ac:dyDescent="0.3">
      <c r="A30" s="417"/>
      <c r="B30" s="418">
        <v>2</v>
      </c>
      <c r="C30" s="431" t="s">
        <v>228</v>
      </c>
      <c r="D30" s="415" t="s">
        <v>74</v>
      </c>
      <c r="E30" s="6" t="s">
        <v>211</v>
      </c>
      <c r="F30" s="6">
        <v>250</v>
      </c>
      <c r="G30" s="377">
        <v>250</v>
      </c>
      <c r="H30" s="379"/>
      <c r="I30" s="379"/>
      <c r="J30" s="461"/>
      <c r="K30" s="461"/>
      <c r="L30" s="404">
        <v>3</v>
      </c>
      <c r="M30" s="404">
        <v>0.28799999999999998</v>
      </c>
      <c r="N30" s="437">
        <f>SUM(Inhalation_Exp[[#This Row],[Vapor HE]],Inhalation_Exp[[#This Row],[Mist HE]],Inhalation_Exp[[#This Row],[Dust HE]])</f>
        <v>3</v>
      </c>
      <c r="O30" s="324">
        <f>SUM(Inhalation_Exp[[#This Row],[Vapor CT]],Inhalation_Exp[[#This Row],[Mist CT]],Inhalation_Exp[[#This Row],[Dust CT]])</f>
        <v>0.28799999999999998</v>
      </c>
      <c r="P30" s="324">
        <f>(((N30)*ED_8)*WorkBreathRate)/IF(Inhalation_Exp[[#This Row],[Worker Type]]="Female of Reproductive Age",BW_F,BW_default)</f>
        <v>0.41422160856057982</v>
      </c>
      <c r="Q30" s="368">
        <f>(((O30)*ED_8)*WorkBreathRate)/IF(Inhalation_Exp[[#This Row],[Worker Type]]="Female of Reproductive Age",BW_F,BW_default)</f>
        <v>3.9765274421815662E-2</v>
      </c>
      <c r="R30" s="275">
        <f>IF(EFID&gt;Inhalation_Exp[[#This Row],[ED_High-End]],Inhalation_Exp[[#This Row],[24hr_High-End]]*Inhalation_Exp[[#This Row],[ED_High-End]]/ID,Inhalation_Exp[[#This Row],[24hr_High-End]]*EFID/ID)</f>
        <v>0.30376251294442524</v>
      </c>
      <c r="S30" s="301">
        <f>IF(EFID&gt;Inhalation_Exp[[#This Row],[ED_Central Tendency]],Inhalation_Exp[[#This Row],[24hr_Central Tendency]]*Inhalation_Exp[[#This Row],[ED_Central Tendency]]/ID,Inhalation_Exp[[#This Row],[24hr_Central Tendency]]*EFID/ID)</f>
        <v>2.9161201242664817E-2</v>
      </c>
      <c r="T30" s="275">
        <f t="shared" si="3"/>
        <v>0.28371343052094505</v>
      </c>
      <c r="U30" s="301">
        <f t="shared" si="0"/>
        <v>2.7236489330010723E-2</v>
      </c>
      <c r="V30" s="275">
        <f t="shared" si="1"/>
        <v>0.14549406693381797</v>
      </c>
      <c r="W30" s="275">
        <f t="shared" si="2"/>
        <v>1.0824758579876057E-2</v>
      </c>
      <c r="X30" s="276" t="s">
        <v>216</v>
      </c>
      <c r="Y30" s="276" t="s">
        <v>216</v>
      </c>
      <c r="Z30" s="145" t="s">
        <v>217</v>
      </c>
      <c r="AA30" s="416" t="s">
        <v>218</v>
      </c>
    </row>
    <row r="31" spans="1:27" ht="14.5" x14ac:dyDescent="0.3">
      <c r="A31" s="417"/>
      <c r="B31" s="418">
        <v>2</v>
      </c>
      <c r="C31" s="431" t="s">
        <v>228</v>
      </c>
      <c r="D31" s="415" t="s">
        <v>94</v>
      </c>
      <c r="E31" s="6" t="s">
        <v>211</v>
      </c>
      <c r="F31" s="6">
        <v>250</v>
      </c>
      <c r="G31" s="377">
        <v>250</v>
      </c>
      <c r="H31" s="379"/>
      <c r="I31" s="379"/>
      <c r="J31" s="461"/>
      <c r="K31" s="461"/>
      <c r="L31" s="404">
        <v>0.28799999999999998</v>
      </c>
      <c r="M31" s="404">
        <v>0.28799999999999998</v>
      </c>
      <c r="N31" s="324">
        <f>SUM(Inhalation_Exp[[#This Row],[Vapor HE]],Inhalation_Exp[[#This Row],[Mist HE]],Inhalation_Exp[[#This Row],[Dust HE]])</f>
        <v>0.28799999999999998</v>
      </c>
      <c r="O31" s="324">
        <f>SUM(Inhalation_Exp[[#This Row],[Vapor CT]],Inhalation_Exp[[#This Row],[Mist CT]],Inhalation_Exp[[#This Row],[Dust CT]])</f>
        <v>0.28799999999999998</v>
      </c>
      <c r="P31" s="368">
        <f>(((N31)*ED_8)*WorkBreathRate)/IF(Inhalation_Exp[[#This Row],[Worker Type]]="Female of Reproductive Age",BW_F,BW_default)</f>
        <v>3.5999999999999997E-2</v>
      </c>
      <c r="Q31" s="368">
        <f>(((O31)*ED_8)*WorkBreathRate)/IF(Inhalation_Exp[[#This Row],[Worker Type]]="Female of Reproductive Age",BW_F,BW_default)</f>
        <v>3.5999999999999997E-2</v>
      </c>
      <c r="R31" s="301">
        <f>IF(EFID&gt;Inhalation_Exp[[#This Row],[ED_High-End]],Inhalation_Exp[[#This Row],[24hr_High-End]]*Inhalation_Exp[[#This Row],[ED_High-End]]/ID,Inhalation_Exp[[#This Row],[24hr_High-End]]*EFID/ID)</f>
        <v>2.6399999999999996E-2</v>
      </c>
      <c r="S31" s="301">
        <f>IF(EFID&gt;Inhalation_Exp[[#This Row],[ED_Central Tendency]],Inhalation_Exp[[#This Row],[24hr_Central Tendency]]*Inhalation_Exp[[#This Row],[ED_Central Tendency]]/ID,Inhalation_Exp[[#This Row],[24hr_Central Tendency]]*EFID/ID)</f>
        <v>2.6399999999999996E-2</v>
      </c>
      <c r="T31" s="301">
        <f t="shared" si="3"/>
        <v>2.4657534246575342E-2</v>
      </c>
      <c r="U31" s="301">
        <f t="shared" si="0"/>
        <v>2.4657534246575342E-2</v>
      </c>
      <c r="V31" s="275">
        <f t="shared" si="1"/>
        <v>1.2644889357218124E-2</v>
      </c>
      <c r="W31" s="275">
        <f t="shared" si="2"/>
        <v>9.7997892518440471E-3</v>
      </c>
      <c r="X31" s="276" t="s">
        <v>216</v>
      </c>
      <c r="Y31" s="276" t="s">
        <v>216</v>
      </c>
      <c r="Z31" s="145" t="s">
        <v>217</v>
      </c>
      <c r="AA31" s="416" t="s">
        <v>218</v>
      </c>
    </row>
    <row r="32" spans="1:27" ht="11.5" customHeight="1" x14ac:dyDescent="0.3">
      <c r="B32" s="418">
        <v>3</v>
      </c>
      <c r="C32" s="419" t="s">
        <v>229</v>
      </c>
      <c r="D32" s="415" t="s">
        <v>74</v>
      </c>
      <c r="E32" s="6" t="s">
        <v>211</v>
      </c>
      <c r="F32" s="6">
        <v>250</v>
      </c>
      <c r="G32" s="377">
        <v>234</v>
      </c>
      <c r="H32" s="428">
        <v>0.21</v>
      </c>
      <c r="I32" s="428">
        <v>1.4E-2</v>
      </c>
      <c r="J32" s="461"/>
      <c r="K32" s="461"/>
      <c r="L32" s="461">
        <v>4.2</v>
      </c>
      <c r="M32" s="461">
        <v>0.7</v>
      </c>
      <c r="N32" s="437">
        <f>SUM(Inhalation_Exp[[#This Row],[Vapor HE]],Inhalation_Exp[[#This Row],[Mist HE]],Inhalation_Exp[[#This Row],[Dust HE]])</f>
        <v>4.41</v>
      </c>
      <c r="O32" s="324">
        <f>SUM(Inhalation_Exp[[#This Row],[Vapor CT]],Inhalation_Exp[[#This Row],[Mist CT]],Inhalation_Exp[[#This Row],[Dust CT]])</f>
        <v>0.71399999999999997</v>
      </c>
      <c r="P32" s="324">
        <f>(((N32)*ED_8)*WorkBreathRate)/IF(Inhalation_Exp[[#This Row],[Worker Type]]="Female of Reproductive Age",BW_F,BW_default)</f>
        <v>0.60890576458405243</v>
      </c>
      <c r="Q32" s="368">
        <f>(((O32)*ED_8)*WorkBreathRate)/IF(Inhalation_Exp[[#This Row],[Worker Type]]="Female of Reproductive Age",BW_F,BW_default)</f>
        <v>9.8584742837417999E-2</v>
      </c>
      <c r="R32" s="275">
        <f>IF(EFID&gt;Inhalation_Exp[[#This Row],[ED_High-End]],Inhalation_Exp[[#This Row],[24hr_High-End]]*Inhalation_Exp[[#This Row],[ED_High-End]]/ID,Inhalation_Exp[[#This Row],[24hr_High-End]]*EFID/ID)</f>
        <v>0.44653089402830509</v>
      </c>
      <c r="S32" s="301">
        <f>IF(EFID&gt;Inhalation_Exp[[#This Row],[ED_Central Tendency]],Inhalation_Exp[[#This Row],[24hr_Central Tendency]]*Inhalation_Exp[[#This Row],[ED_Central Tendency]]/ID,Inhalation_Exp[[#This Row],[24hr_Central Tendency]]*EFID/ID)</f>
        <v>7.2295478080773204E-2</v>
      </c>
      <c r="T32" s="275">
        <f t="shared" si="3"/>
        <v>0.41705874286578937</v>
      </c>
      <c r="U32" s="301">
        <f t="shared" si="0"/>
        <v>6.3202273490289895E-2</v>
      </c>
      <c r="V32" s="275">
        <f t="shared" si="1"/>
        <v>0.2138762783927125</v>
      </c>
      <c r="W32" s="275">
        <f t="shared" si="2"/>
        <v>2.5118852284602394E-2</v>
      </c>
      <c r="X32" s="276">
        <v>24</v>
      </c>
      <c r="Y32" s="276">
        <v>24</v>
      </c>
      <c r="Z32" s="421" t="s">
        <v>230</v>
      </c>
      <c r="AA32" s="416" t="s">
        <v>213</v>
      </c>
    </row>
    <row r="33" spans="1:27" ht="17.5" customHeight="1" x14ac:dyDescent="0.3">
      <c r="A33" s="417"/>
      <c r="B33" s="418">
        <v>3</v>
      </c>
      <c r="C33" s="419" t="s">
        <v>229</v>
      </c>
      <c r="D33" s="415" t="s">
        <v>94</v>
      </c>
      <c r="E33" s="6" t="s">
        <v>211</v>
      </c>
      <c r="F33" s="6">
        <v>250</v>
      </c>
      <c r="G33" s="377">
        <v>234</v>
      </c>
      <c r="H33" s="428">
        <v>1.4E-2</v>
      </c>
      <c r="I33" s="428">
        <v>1.4E-2</v>
      </c>
      <c r="J33" s="461"/>
      <c r="K33" s="461"/>
      <c r="L33" s="461">
        <v>0.7</v>
      </c>
      <c r="M33" s="461">
        <v>0.7</v>
      </c>
      <c r="N33" s="324">
        <f>SUM(Inhalation_Exp[[#This Row],[Vapor HE]],Inhalation_Exp[[#This Row],[Mist HE]],Inhalation_Exp[[#This Row],[Dust HE]])</f>
        <v>0.71399999999999997</v>
      </c>
      <c r="O33" s="324">
        <f>SUM(Inhalation_Exp[[#This Row],[Vapor CT]],Inhalation_Exp[[#This Row],[Mist CT]],Inhalation_Exp[[#This Row],[Dust CT]])</f>
        <v>0.71399999999999997</v>
      </c>
      <c r="P33" s="368">
        <f>(((N33)*ED_8)*WorkBreathRate)/IF(Inhalation_Exp[[#This Row],[Worker Type]]="Female of Reproductive Age",BW_F,BW_default)</f>
        <v>8.9249999999999996E-2</v>
      </c>
      <c r="Q33" s="368">
        <f>(((O33)*ED_8)*WorkBreathRate)/IF(Inhalation_Exp[[#This Row],[Worker Type]]="Female of Reproductive Age",BW_F,BW_default)</f>
        <v>8.9249999999999996E-2</v>
      </c>
      <c r="R33" s="301">
        <f>IF(EFID&gt;Inhalation_Exp[[#This Row],[ED_High-End]],Inhalation_Exp[[#This Row],[24hr_High-End]]*Inhalation_Exp[[#This Row],[ED_High-End]]/ID,Inhalation_Exp[[#This Row],[24hr_High-End]]*EFID/ID)</f>
        <v>6.5449999999999994E-2</v>
      </c>
      <c r="S33" s="301">
        <f>IF(EFID&gt;Inhalation_Exp[[#This Row],[ED_Central Tendency]],Inhalation_Exp[[#This Row],[24hr_Central Tendency]]*Inhalation_Exp[[#This Row],[ED_Central Tendency]]/ID,Inhalation_Exp[[#This Row],[24hr_Central Tendency]]*EFID/ID)</f>
        <v>6.5449999999999994E-2</v>
      </c>
      <c r="T33" s="301">
        <f t="shared" si="3"/>
        <v>6.1130136986301369E-2</v>
      </c>
      <c r="U33" s="301">
        <f t="shared" si="0"/>
        <v>5.721780821917808E-2</v>
      </c>
      <c r="V33" s="275">
        <f t="shared" si="1"/>
        <v>3.1348788198103265E-2</v>
      </c>
      <c r="W33" s="275">
        <f t="shared" si="2"/>
        <v>2.2740410958904108E-2</v>
      </c>
      <c r="X33" s="276">
        <v>24</v>
      </c>
      <c r="Y33" s="276">
        <v>24</v>
      </c>
      <c r="Z33" s="421" t="s">
        <v>230</v>
      </c>
      <c r="AA33" s="416" t="s">
        <v>213</v>
      </c>
    </row>
    <row r="34" spans="1:27" ht="14.5" x14ac:dyDescent="0.3">
      <c r="A34" s="417"/>
      <c r="B34" s="418">
        <v>3</v>
      </c>
      <c r="C34" s="419" t="s">
        <v>229</v>
      </c>
      <c r="D34" s="415" t="s">
        <v>214</v>
      </c>
      <c r="E34" s="6" t="s">
        <v>211</v>
      </c>
      <c r="F34" s="6">
        <v>250</v>
      </c>
      <c r="G34" s="377">
        <v>234</v>
      </c>
      <c r="H34" s="428">
        <v>0.21</v>
      </c>
      <c r="I34" s="428">
        <v>1.4E-2</v>
      </c>
      <c r="J34" s="461"/>
      <c r="K34" s="461"/>
      <c r="L34" s="461">
        <v>4.2</v>
      </c>
      <c r="M34" s="461">
        <v>0.7</v>
      </c>
      <c r="N34" s="437">
        <f>SUM(Inhalation_Exp[[#This Row],[Vapor HE]],Inhalation_Exp[[#This Row],[Mist HE]],Inhalation_Exp[[#This Row],[Dust HE]])</f>
        <v>4.41</v>
      </c>
      <c r="O34" s="324">
        <f>SUM(Inhalation_Exp[[#This Row],[Vapor CT]],Inhalation_Exp[[#This Row],[Mist CT]],Inhalation_Exp[[#This Row],[Dust CT]])</f>
        <v>0.71399999999999997</v>
      </c>
      <c r="P34" s="324">
        <f>(((N34)*ED_8)*WorkBreathRate)/IF(Inhalation_Exp[[#This Row],[Worker Type]]="Female of Reproductive Age",BW_F,BW_default)</f>
        <v>0.55125000000000002</v>
      </c>
      <c r="Q34" s="368">
        <f>(((O34)*ED_8)*WorkBreathRate)/IF(Inhalation_Exp[[#This Row],[Worker Type]]="Female of Reproductive Age",BW_F,BW_default)</f>
        <v>8.9249999999999996E-2</v>
      </c>
      <c r="R34" s="275">
        <f>IF(EFID&gt;Inhalation_Exp[[#This Row],[ED_High-End]],Inhalation_Exp[[#This Row],[24hr_High-End]]*Inhalation_Exp[[#This Row],[ED_High-End]]/ID,Inhalation_Exp[[#This Row],[24hr_High-End]]*EFID/ID)</f>
        <v>0.40425000000000005</v>
      </c>
      <c r="S34" s="301">
        <f>IF(EFID&gt;Inhalation_Exp[[#This Row],[ED_Central Tendency]],Inhalation_Exp[[#This Row],[24hr_Central Tendency]]*Inhalation_Exp[[#This Row],[ED_Central Tendency]]/ID,Inhalation_Exp[[#This Row],[24hr_Central Tendency]]*EFID/ID)</f>
        <v>6.5449999999999994E-2</v>
      </c>
      <c r="T34" s="275">
        <f t="shared" si="3"/>
        <v>0.37756849315068491</v>
      </c>
      <c r="U34" s="301">
        <f t="shared" si="0"/>
        <v>5.721780821917808E-2</v>
      </c>
      <c r="V34" s="275">
        <f t="shared" si="1"/>
        <v>0.19362486828240252</v>
      </c>
      <c r="W34" s="275">
        <f t="shared" si="2"/>
        <v>2.2740410958904108E-2</v>
      </c>
      <c r="X34" s="276">
        <v>24</v>
      </c>
      <c r="Y34" s="276">
        <v>24</v>
      </c>
      <c r="Z34" s="421" t="s">
        <v>230</v>
      </c>
      <c r="AA34" s="416" t="s">
        <v>213</v>
      </c>
    </row>
    <row r="35" spans="1:27" ht="14.5" x14ac:dyDescent="0.3">
      <c r="A35" s="417"/>
      <c r="B35" s="418">
        <v>3</v>
      </c>
      <c r="C35" s="419" t="s">
        <v>231</v>
      </c>
      <c r="D35" s="415" t="s">
        <v>74</v>
      </c>
      <c r="E35" s="6" t="s">
        <v>211</v>
      </c>
      <c r="F35" s="6">
        <v>250</v>
      </c>
      <c r="G35" s="377">
        <v>219</v>
      </c>
      <c r="H35" s="428">
        <v>0.21</v>
      </c>
      <c r="I35" s="428">
        <v>1.4E-2</v>
      </c>
      <c r="J35" s="461"/>
      <c r="K35" s="461"/>
      <c r="L35" s="461">
        <v>4.2</v>
      </c>
      <c r="M35" s="461">
        <v>0.7</v>
      </c>
      <c r="N35" s="437">
        <f>SUM(Inhalation_Exp[[#This Row],[Vapor HE]],Inhalation_Exp[[#This Row],[Mist HE]],Inhalation_Exp[[#This Row],[Dust HE]])</f>
        <v>4.41</v>
      </c>
      <c r="O35" s="324">
        <f>SUM(Inhalation_Exp[[#This Row],[Vapor CT]],Inhalation_Exp[[#This Row],[Mist CT]],Inhalation_Exp[[#This Row],[Dust CT]])</f>
        <v>0.71399999999999997</v>
      </c>
      <c r="P35" s="324">
        <f>(((N35)*ED_8)*WorkBreathRate)/IF(Inhalation_Exp[[#This Row],[Worker Type]]="Female of Reproductive Age",BW_F,BW_default)</f>
        <v>0.60890576458405243</v>
      </c>
      <c r="Q35" s="368">
        <f>(((O35)*ED_8)*WorkBreathRate)/IF(Inhalation_Exp[[#This Row],[Worker Type]]="Female of Reproductive Age",BW_F,BW_default)</f>
        <v>9.8584742837417999E-2</v>
      </c>
      <c r="R35" s="275">
        <f>IF(EFID&gt;Inhalation_Exp[[#This Row],[ED_High-End]],Inhalation_Exp[[#This Row],[24hr_High-End]]*Inhalation_Exp[[#This Row],[ED_High-End]]/ID,Inhalation_Exp[[#This Row],[24hr_High-End]]*EFID/ID)</f>
        <v>0.44653089402830509</v>
      </c>
      <c r="S35" s="301">
        <f>IF(EFID&gt;Inhalation_Exp[[#This Row],[ED_Central Tendency]],Inhalation_Exp[[#This Row],[24hr_Central Tendency]]*Inhalation_Exp[[#This Row],[ED_Central Tendency]]/ID,Inhalation_Exp[[#This Row],[24hr_Central Tendency]]*EFID/ID)</f>
        <v>7.2295478080773204E-2</v>
      </c>
      <c r="T35" s="275">
        <f t="shared" si="3"/>
        <v>0.41705874286578937</v>
      </c>
      <c r="U35" s="301">
        <f t="shared" si="0"/>
        <v>5.9150845702450799E-2</v>
      </c>
      <c r="V35" s="275">
        <f t="shared" si="1"/>
        <v>0.2138762783927125</v>
      </c>
      <c r="W35" s="275">
        <f t="shared" si="2"/>
        <v>2.3508669445845828E-2</v>
      </c>
      <c r="X35" s="276">
        <v>24</v>
      </c>
      <c r="Y35" s="276">
        <v>24</v>
      </c>
      <c r="Z35" s="422" t="s">
        <v>230</v>
      </c>
      <c r="AA35" s="416" t="s">
        <v>213</v>
      </c>
    </row>
    <row r="36" spans="1:27" ht="14.5" x14ac:dyDescent="0.3">
      <c r="A36" s="417"/>
      <c r="B36" s="418">
        <v>3</v>
      </c>
      <c r="C36" s="419" t="s">
        <v>231</v>
      </c>
      <c r="D36" s="415" t="s">
        <v>94</v>
      </c>
      <c r="E36" s="6" t="s">
        <v>211</v>
      </c>
      <c r="F36" s="6">
        <v>250</v>
      </c>
      <c r="G36" s="377">
        <v>219</v>
      </c>
      <c r="H36" s="428">
        <v>1.4E-2</v>
      </c>
      <c r="I36" s="428">
        <v>1.4E-2</v>
      </c>
      <c r="J36" s="461"/>
      <c r="K36" s="461"/>
      <c r="L36" s="461">
        <v>0.7</v>
      </c>
      <c r="M36" s="461">
        <v>0.7</v>
      </c>
      <c r="N36" s="324">
        <f>SUM(Inhalation_Exp[[#This Row],[Vapor HE]],Inhalation_Exp[[#This Row],[Mist HE]],Inhalation_Exp[[#This Row],[Dust HE]])</f>
        <v>0.71399999999999997</v>
      </c>
      <c r="O36" s="324">
        <f>SUM(Inhalation_Exp[[#This Row],[Vapor CT]],Inhalation_Exp[[#This Row],[Mist CT]],Inhalation_Exp[[#This Row],[Dust CT]])</f>
        <v>0.71399999999999997</v>
      </c>
      <c r="P36" s="368">
        <f>(((N36)*ED_8)*WorkBreathRate)/IF(Inhalation_Exp[[#This Row],[Worker Type]]="Female of Reproductive Age",BW_F,BW_default)</f>
        <v>8.9249999999999996E-2</v>
      </c>
      <c r="Q36" s="368">
        <f>(((O36)*ED_8)*WorkBreathRate)/IF(Inhalation_Exp[[#This Row],[Worker Type]]="Female of Reproductive Age",BW_F,BW_default)</f>
        <v>8.9249999999999996E-2</v>
      </c>
      <c r="R36" s="301">
        <f>IF(EFID&gt;Inhalation_Exp[[#This Row],[ED_High-End]],Inhalation_Exp[[#This Row],[24hr_High-End]]*Inhalation_Exp[[#This Row],[ED_High-End]]/ID,Inhalation_Exp[[#This Row],[24hr_High-End]]*EFID/ID)</f>
        <v>6.5449999999999994E-2</v>
      </c>
      <c r="S36" s="301">
        <f>IF(EFID&gt;Inhalation_Exp[[#This Row],[ED_Central Tendency]],Inhalation_Exp[[#This Row],[24hr_Central Tendency]]*Inhalation_Exp[[#This Row],[ED_Central Tendency]]/ID,Inhalation_Exp[[#This Row],[24hr_Central Tendency]]*EFID/ID)</f>
        <v>6.5449999999999994E-2</v>
      </c>
      <c r="T36" s="301">
        <f t="shared" si="3"/>
        <v>6.1130136986301369E-2</v>
      </c>
      <c r="U36" s="301">
        <f t="shared" si="0"/>
        <v>5.3549999999999993E-2</v>
      </c>
      <c r="V36" s="275">
        <f t="shared" si="1"/>
        <v>3.1348788198103265E-2</v>
      </c>
      <c r="W36" s="275">
        <f t="shared" si="2"/>
        <v>2.1282692307692305E-2</v>
      </c>
      <c r="X36" s="276">
        <v>24</v>
      </c>
      <c r="Y36" s="276">
        <v>24</v>
      </c>
      <c r="Z36" s="422" t="s">
        <v>230</v>
      </c>
      <c r="AA36" s="416" t="s">
        <v>213</v>
      </c>
    </row>
    <row r="37" spans="1:27" ht="14.5" x14ac:dyDescent="0.3">
      <c r="A37" s="417"/>
      <c r="B37" s="418">
        <v>3</v>
      </c>
      <c r="C37" s="419" t="s">
        <v>231</v>
      </c>
      <c r="D37" s="415" t="s">
        <v>214</v>
      </c>
      <c r="E37" s="6" t="s">
        <v>211</v>
      </c>
      <c r="F37" s="6">
        <v>250</v>
      </c>
      <c r="G37" s="377">
        <v>219</v>
      </c>
      <c r="H37" s="428">
        <v>0.21</v>
      </c>
      <c r="I37" s="428">
        <v>1.4E-2</v>
      </c>
      <c r="J37" s="461"/>
      <c r="K37" s="461"/>
      <c r="L37" s="461">
        <v>4.2</v>
      </c>
      <c r="M37" s="461">
        <v>0.7</v>
      </c>
      <c r="N37" s="437">
        <f>SUM(Inhalation_Exp[[#This Row],[Vapor HE]],Inhalation_Exp[[#This Row],[Mist HE]],Inhalation_Exp[[#This Row],[Dust HE]])</f>
        <v>4.41</v>
      </c>
      <c r="O37" s="324">
        <f>SUM(Inhalation_Exp[[#This Row],[Vapor CT]],Inhalation_Exp[[#This Row],[Mist CT]],Inhalation_Exp[[#This Row],[Dust CT]])</f>
        <v>0.71399999999999997</v>
      </c>
      <c r="P37" s="324">
        <f>(((N37)*ED_8)*WorkBreathRate)/IF(Inhalation_Exp[[#This Row],[Worker Type]]="Female of Reproductive Age",BW_F,BW_default)</f>
        <v>0.55125000000000002</v>
      </c>
      <c r="Q37" s="368">
        <f>(((O37)*ED_8)*WorkBreathRate)/IF(Inhalation_Exp[[#This Row],[Worker Type]]="Female of Reproductive Age",BW_F,BW_default)</f>
        <v>8.9249999999999996E-2</v>
      </c>
      <c r="R37" s="275">
        <f>IF(EFID&gt;Inhalation_Exp[[#This Row],[ED_High-End]],Inhalation_Exp[[#This Row],[24hr_High-End]]*Inhalation_Exp[[#This Row],[ED_High-End]]/ID,Inhalation_Exp[[#This Row],[24hr_High-End]]*EFID/ID)</f>
        <v>0.40425000000000005</v>
      </c>
      <c r="S37" s="301">
        <f>IF(EFID&gt;Inhalation_Exp[[#This Row],[ED_Central Tendency]],Inhalation_Exp[[#This Row],[24hr_Central Tendency]]*Inhalation_Exp[[#This Row],[ED_Central Tendency]]/ID,Inhalation_Exp[[#This Row],[24hr_Central Tendency]]*EFID/ID)</f>
        <v>6.5449999999999994E-2</v>
      </c>
      <c r="T37" s="275">
        <f t="shared" ref="T37:T67" si="4">P37*F37*WY_high/(WY_high*365)</f>
        <v>0.37756849315068491</v>
      </c>
      <c r="U37" s="301">
        <f t="shared" ref="U37:U67" si="5">Q37*G37*WY_mid/(WY_mid*365)</f>
        <v>5.3549999999999993E-2</v>
      </c>
      <c r="V37" s="275">
        <f t="shared" ref="V37:V67" si="6">P37*F37*WY_high/(LT*365)</f>
        <v>0.19362486828240252</v>
      </c>
      <c r="W37" s="275">
        <f t="shared" ref="W37:W67" si="7">Q37*G37*WY_mid/(LT*365)</f>
        <v>2.1282692307692305E-2</v>
      </c>
      <c r="X37" s="276">
        <v>24</v>
      </c>
      <c r="Y37" s="276">
        <v>24</v>
      </c>
      <c r="Z37" s="422" t="s">
        <v>230</v>
      </c>
      <c r="AA37" s="416" t="s">
        <v>213</v>
      </c>
    </row>
    <row r="38" spans="1:27" ht="14.5" x14ac:dyDescent="0.3">
      <c r="A38" s="417"/>
      <c r="B38" s="418">
        <v>3</v>
      </c>
      <c r="C38" s="419" t="s">
        <v>141</v>
      </c>
      <c r="D38" s="415" t="s">
        <v>214</v>
      </c>
      <c r="E38" s="6" t="s">
        <v>211</v>
      </c>
      <c r="F38" s="6">
        <v>250</v>
      </c>
      <c r="G38" s="377">
        <v>223</v>
      </c>
      <c r="H38" s="428">
        <v>0.21</v>
      </c>
      <c r="I38" s="428">
        <v>1.4E-2</v>
      </c>
      <c r="J38" s="461"/>
      <c r="K38" s="461"/>
      <c r="L38" s="461">
        <v>4.2</v>
      </c>
      <c r="M38" s="461">
        <v>0.7</v>
      </c>
      <c r="N38" s="437">
        <f>SUM(Inhalation_Exp[[#This Row],[Vapor HE]],Inhalation_Exp[[#This Row],[Mist HE]],Inhalation_Exp[[#This Row],[Dust HE]])</f>
        <v>4.41</v>
      </c>
      <c r="O38" s="324">
        <f>SUM(Inhalation_Exp[[#This Row],[Vapor CT]],Inhalation_Exp[[#This Row],[Mist CT]],Inhalation_Exp[[#This Row],[Dust CT]])</f>
        <v>0.71399999999999997</v>
      </c>
      <c r="P38" s="324">
        <f>(((N38)*ED_8)*WorkBreathRate)/IF(Inhalation_Exp[[#This Row],[Worker Type]]="Female of Reproductive Age",BW_F,BW_default)</f>
        <v>0.55125000000000002</v>
      </c>
      <c r="Q38" s="368">
        <f>(((O38)*ED_8)*WorkBreathRate)/IF(Inhalation_Exp[[#This Row],[Worker Type]]="Female of Reproductive Age",BW_F,BW_default)</f>
        <v>8.9249999999999996E-2</v>
      </c>
      <c r="R38" s="275">
        <f>IF(EFID&gt;Inhalation_Exp[[#This Row],[ED_High-End]],Inhalation_Exp[[#This Row],[24hr_High-End]]*Inhalation_Exp[[#This Row],[ED_High-End]]/ID,Inhalation_Exp[[#This Row],[24hr_High-End]]*EFID/ID)</f>
        <v>0.40425000000000005</v>
      </c>
      <c r="S38" s="301">
        <f>IF(EFID&gt;Inhalation_Exp[[#This Row],[ED_Central Tendency]],Inhalation_Exp[[#This Row],[24hr_Central Tendency]]*Inhalation_Exp[[#This Row],[ED_Central Tendency]]/ID,Inhalation_Exp[[#This Row],[24hr_Central Tendency]]*EFID/ID)</f>
        <v>6.5449999999999994E-2</v>
      </c>
      <c r="T38" s="275">
        <f t="shared" si="4"/>
        <v>0.37756849315068491</v>
      </c>
      <c r="U38" s="301">
        <f t="shared" si="5"/>
        <v>5.4528082191780819E-2</v>
      </c>
      <c r="V38" s="275">
        <f t="shared" si="6"/>
        <v>0.19362486828240252</v>
      </c>
      <c r="W38" s="275">
        <f t="shared" si="7"/>
        <v>2.1671417281348786E-2</v>
      </c>
      <c r="X38" s="276">
        <v>24</v>
      </c>
      <c r="Y38" s="276">
        <v>24</v>
      </c>
      <c r="Z38" s="421" t="s">
        <v>230</v>
      </c>
      <c r="AA38" s="416" t="s">
        <v>213</v>
      </c>
    </row>
    <row r="39" spans="1:27" ht="14.5" x14ac:dyDescent="0.3">
      <c r="A39" s="417"/>
      <c r="B39" s="418">
        <v>3</v>
      </c>
      <c r="C39" s="419" t="s">
        <v>141</v>
      </c>
      <c r="D39" s="415" t="s">
        <v>74</v>
      </c>
      <c r="E39" s="6" t="s">
        <v>211</v>
      </c>
      <c r="F39" s="6">
        <v>250</v>
      </c>
      <c r="G39" s="377">
        <v>223</v>
      </c>
      <c r="H39" s="428">
        <v>0.21</v>
      </c>
      <c r="I39" s="428">
        <v>1.4E-2</v>
      </c>
      <c r="J39" s="461"/>
      <c r="K39" s="461"/>
      <c r="L39" s="461">
        <v>4.2</v>
      </c>
      <c r="M39" s="461">
        <v>0.7</v>
      </c>
      <c r="N39" s="437">
        <f>SUM(Inhalation_Exp[[#This Row],[Vapor HE]],Inhalation_Exp[[#This Row],[Mist HE]],Inhalation_Exp[[#This Row],[Dust HE]])</f>
        <v>4.41</v>
      </c>
      <c r="O39" s="324">
        <f>SUM(Inhalation_Exp[[#This Row],[Vapor CT]],Inhalation_Exp[[#This Row],[Mist CT]],Inhalation_Exp[[#This Row],[Dust CT]])</f>
        <v>0.71399999999999997</v>
      </c>
      <c r="P39" s="324">
        <f>(((N39)*ED_8)*WorkBreathRate)/IF(Inhalation_Exp[[#This Row],[Worker Type]]="Female of Reproductive Age",BW_F,BW_default)</f>
        <v>0.60890576458405243</v>
      </c>
      <c r="Q39" s="368">
        <f>(((O39)*ED_8)*WorkBreathRate)/IF(Inhalation_Exp[[#This Row],[Worker Type]]="Female of Reproductive Age",BW_F,BW_default)</f>
        <v>9.8584742837417999E-2</v>
      </c>
      <c r="R39" s="275">
        <f>IF(EFID&gt;Inhalation_Exp[[#This Row],[ED_High-End]],Inhalation_Exp[[#This Row],[24hr_High-End]]*Inhalation_Exp[[#This Row],[ED_High-End]]/ID,Inhalation_Exp[[#This Row],[24hr_High-End]]*EFID/ID)</f>
        <v>0.44653089402830509</v>
      </c>
      <c r="S39" s="301">
        <f>IF(EFID&gt;Inhalation_Exp[[#This Row],[ED_Central Tendency]],Inhalation_Exp[[#This Row],[24hr_Central Tendency]]*Inhalation_Exp[[#This Row],[ED_Central Tendency]]/ID,Inhalation_Exp[[#This Row],[24hr_Central Tendency]]*EFID/ID)</f>
        <v>7.2295478080773204E-2</v>
      </c>
      <c r="T39" s="275">
        <f t="shared" si="4"/>
        <v>0.41705874286578937</v>
      </c>
      <c r="U39" s="301">
        <f t="shared" si="5"/>
        <v>6.0231226445874558E-2</v>
      </c>
      <c r="V39" s="275">
        <f t="shared" si="6"/>
        <v>0.2138762783927125</v>
      </c>
      <c r="W39" s="275">
        <f t="shared" si="7"/>
        <v>2.3938051536180914E-2</v>
      </c>
      <c r="X39" s="276">
        <v>24</v>
      </c>
      <c r="Y39" s="276">
        <v>24</v>
      </c>
      <c r="Z39" s="421" t="s">
        <v>230</v>
      </c>
      <c r="AA39" s="416" t="s">
        <v>213</v>
      </c>
    </row>
    <row r="40" spans="1:27" ht="14.5" x14ac:dyDescent="0.3">
      <c r="A40" s="417"/>
      <c r="B40" s="418">
        <v>3</v>
      </c>
      <c r="C40" s="419" t="s">
        <v>141</v>
      </c>
      <c r="D40" s="415" t="s">
        <v>94</v>
      </c>
      <c r="E40" s="6" t="s">
        <v>211</v>
      </c>
      <c r="F40" s="6">
        <v>250</v>
      </c>
      <c r="G40" s="377">
        <v>223</v>
      </c>
      <c r="H40" s="428">
        <v>1.4E-2</v>
      </c>
      <c r="I40" s="428">
        <v>1.4E-2</v>
      </c>
      <c r="J40" s="461"/>
      <c r="K40" s="461"/>
      <c r="L40" s="461">
        <v>0.7</v>
      </c>
      <c r="M40" s="461">
        <v>0.7</v>
      </c>
      <c r="N40" s="324">
        <f>SUM(Inhalation_Exp[[#This Row],[Vapor HE]],Inhalation_Exp[[#This Row],[Mist HE]],Inhalation_Exp[[#This Row],[Dust HE]])</f>
        <v>0.71399999999999997</v>
      </c>
      <c r="O40" s="324">
        <f>SUM(Inhalation_Exp[[#This Row],[Vapor CT]],Inhalation_Exp[[#This Row],[Mist CT]],Inhalation_Exp[[#This Row],[Dust CT]])</f>
        <v>0.71399999999999997</v>
      </c>
      <c r="P40" s="368">
        <f>(((N40)*ED_8)*WorkBreathRate)/IF(Inhalation_Exp[[#This Row],[Worker Type]]="Female of Reproductive Age",BW_F,BW_default)</f>
        <v>8.9249999999999996E-2</v>
      </c>
      <c r="Q40" s="368">
        <f>(((O40)*ED_8)*WorkBreathRate)/IF(Inhalation_Exp[[#This Row],[Worker Type]]="Female of Reproductive Age",BW_F,BW_default)</f>
        <v>8.9249999999999996E-2</v>
      </c>
      <c r="R40" s="301">
        <f>IF(EFID&gt;Inhalation_Exp[[#This Row],[ED_High-End]],Inhalation_Exp[[#This Row],[24hr_High-End]]*Inhalation_Exp[[#This Row],[ED_High-End]]/ID,Inhalation_Exp[[#This Row],[24hr_High-End]]*EFID/ID)</f>
        <v>6.5449999999999994E-2</v>
      </c>
      <c r="S40" s="301">
        <f>IF(EFID&gt;Inhalation_Exp[[#This Row],[ED_Central Tendency]],Inhalation_Exp[[#This Row],[24hr_Central Tendency]]*Inhalation_Exp[[#This Row],[ED_Central Tendency]]/ID,Inhalation_Exp[[#This Row],[24hr_Central Tendency]]*EFID/ID)</f>
        <v>6.5449999999999994E-2</v>
      </c>
      <c r="T40" s="301">
        <f t="shared" si="4"/>
        <v>6.1130136986301369E-2</v>
      </c>
      <c r="U40" s="301">
        <f t="shared" si="5"/>
        <v>5.4528082191780819E-2</v>
      </c>
      <c r="V40" s="275">
        <f t="shared" si="6"/>
        <v>3.1348788198103265E-2</v>
      </c>
      <c r="W40" s="275">
        <f t="shared" si="7"/>
        <v>2.1671417281348786E-2</v>
      </c>
      <c r="X40" s="276">
        <v>24</v>
      </c>
      <c r="Y40" s="276">
        <v>24</v>
      </c>
      <c r="Z40" s="421" t="s">
        <v>230</v>
      </c>
      <c r="AA40" s="416" t="s">
        <v>213</v>
      </c>
    </row>
    <row r="41" spans="1:27" ht="14.5" x14ac:dyDescent="0.3">
      <c r="A41" s="417"/>
      <c r="B41" s="418">
        <v>3</v>
      </c>
      <c r="C41" s="419" t="s">
        <v>232</v>
      </c>
      <c r="D41" s="415" t="s">
        <v>214</v>
      </c>
      <c r="E41" s="6" t="s">
        <v>211</v>
      </c>
      <c r="F41" s="6">
        <v>250</v>
      </c>
      <c r="G41" s="377">
        <v>219</v>
      </c>
      <c r="H41" s="428">
        <v>0.21</v>
      </c>
      <c r="I41" s="428">
        <v>1.4E-2</v>
      </c>
      <c r="J41" s="461"/>
      <c r="K41" s="461"/>
      <c r="L41" s="461">
        <v>4.2</v>
      </c>
      <c r="M41" s="461">
        <v>0.7</v>
      </c>
      <c r="N41" s="437">
        <f>SUM(Inhalation_Exp[[#This Row],[Vapor HE]],Inhalation_Exp[[#This Row],[Mist HE]],Inhalation_Exp[[#This Row],[Dust HE]])</f>
        <v>4.41</v>
      </c>
      <c r="O41" s="324">
        <f>SUM(Inhalation_Exp[[#This Row],[Vapor CT]],Inhalation_Exp[[#This Row],[Mist CT]],Inhalation_Exp[[#This Row],[Dust CT]])</f>
        <v>0.71399999999999997</v>
      </c>
      <c r="P41" s="324">
        <f>(((N41)*ED_8)*WorkBreathRate)/IF(Inhalation_Exp[[#This Row],[Worker Type]]="Female of Reproductive Age",BW_F,BW_default)</f>
        <v>0.55125000000000002</v>
      </c>
      <c r="Q41" s="368">
        <f>(((O41)*ED_8)*WorkBreathRate)/IF(Inhalation_Exp[[#This Row],[Worker Type]]="Female of Reproductive Age",BW_F,BW_default)</f>
        <v>8.9249999999999996E-2</v>
      </c>
      <c r="R41" s="275">
        <f>IF(EFID&gt;Inhalation_Exp[[#This Row],[ED_High-End]],Inhalation_Exp[[#This Row],[24hr_High-End]]*Inhalation_Exp[[#This Row],[ED_High-End]]/ID,Inhalation_Exp[[#This Row],[24hr_High-End]]*EFID/ID)</f>
        <v>0.40425000000000005</v>
      </c>
      <c r="S41" s="301">
        <f>IF(EFID&gt;Inhalation_Exp[[#This Row],[ED_Central Tendency]],Inhalation_Exp[[#This Row],[24hr_Central Tendency]]*Inhalation_Exp[[#This Row],[ED_Central Tendency]]/ID,Inhalation_Exp[[#This Row],[24hr_Central Tendency]]*EFID/ID)</f>
        <v>6.5449999999999994E-2</v>
      </c>
      <c r="T41" s="275">
        <f t="shared" si="4"/>
        <v>0.37756849315068491</v>
      </c>
      <c r="U41" s="301">
        <f t="shared" si="5"/>
        <v>5.3549999999999993E-2</v>
      </c>
      <c r="V41" s="275">
        <f t="shared" si="6"/>
        <v>0.19362486828240252</v>
      </c>
      <c r="W41" s="275">
        <f t="shared" si="7"/>
        <v>2.1282692307692305E-2</v>
      </c>
      <c r="X41" s="276">
        <v>24</v>
      </c>
      <c r="Y41" s="276">
        <v>24</v>
      </c>
      <c r="Z41" s="423" t="s">
        <v>233</v>
      </c>
      <c r="AA41" s="416" t="s">
        <v>213</v>
      </c>
    </row>
    <row r="42" spans="1:27" ht="14.5" x14ac:dyDescent="0.3">
      <c r="A42" s="417"/>
      <c r="B42" s="418">
        <v>3</v>
      </c>
      <c r="C42" s="419" t="s">
        <v>232</v>
      </c>
      <c r="D42" s="415" t="s">
        <v>74</v>
      </c>
      <c r="E42" s="6" t="s">
        <v>211</v>
      </c>
      <c r="F42" s="6">
        <v>250</v>
      </c>
      <c r="G42" s="377">
        <v>219</v>
      </c>
      <c r="H42" s="428">
        <v>0.21</v>
      </c>
      <c r="I42" s="428">
        <v>1.4E-2</v>
      </c>
      <c r="J42" s="461"/>
      <c r="K42" s="461"/>
      <c r="L42" s="461">
        <v>4.2</v>
      </c>
      <c r="M42" s="461">
        <v>0.7</v>
      </c>
      <c r="N42" s="437">
        <f>SUM(Inhalation_Exp[[#This Row],[Vapor HE]],Inhalation_Exp[[#This Row],[Mist HE]],Inhalation_Exp[[#This Row],[Dust HE]])</f>
        <v>4.41</v>
      </c>
      <c r="O42" s="324">
        <f>SUM(Inhalation_Exp[[#This Row],[Vapor CT]],Inhalation_Exp[[#This Row],[Mist CT]],Inhalation_Exp[[#This Row],[Dust CT]])</f>
        <v>0.71399999999999997</v>
      </c>
      <c r="P42" s="324">
        <f>(((N42)*ED_8)*WorkBreathRate)/IF(Inhalation_Exp[[#This Row],[Worker Type]]="Female of Reproductive Age",BW_F,BW_default)</f>
        <v>0.60890576458405243</v>
      </c>
      <c r="Q42" s="368">
        <f>(((O42)*ED_8)*WorkBreathRate)/IF(Inhalation_Exp[[#This Row],[Worker Type]]="Female of Reproductive Age",BW_F,BW_default)</f>
        <v>9.8584742837417999E-2</v>
      </c>
      <c r="R42" s="275">
        <f>IF(EFID&gt;Inhalation_Exp[[#This Row],[ED_High-End]],Inhalation_Exp[[#This Row],[24hr_High-End]]*Inhalation_Exp[[#This Row],[ED_High-End]]/ID,Inhalation_Exp[[#This Row],[24hr_High-End]]*EFID/ID)</f>
        <v>0.44653089402830509</v>
      </c>
      <c r="S42" s="301">
        <f>IF(EFID&gt;Inhalation_Exp[[#This Row],[ED_Central Tendency]],Inhalation_Exp[[#This Row],[24hr_Central Tendency]]*Inhalation_Exp[[#This Row],[ED_Central Tendency]]/ID,Inhalation_Exp[[#This Row],[24hr_Central Tendency]]*EFID/ID)</f>
        <v>7.2295478080773204E-2</v>
      </c>
      <c r="T42" s="275">
        <f t="shared" si="4"/>
        <v>0.41705874286578937</v>
      </c>
      <c r="U42" s="301">
        <f t="shared" si="5"/>
        <v>5.9150845702450799E-2</v>
      </c>
      <c r="V42" s="275">
        <f t="shared" si="6"/>
        <v>0.2138762783927125</v>
      </c>
      <c r="W42" s="275">
        <f t="shared" si="7"/>
        <v>2.3508669445845828E-2</v>
      </c>
      <c r="X42" s="276">
        <v>24</v>
      </c>
      <c r="Y42" s="276">
        <v>24</v>
      </c>
      <c r="Z42" s="423" t="s">
        <v>233</v>
      </c>
      <c r="AA42" s="416" t="s">
        <v>213</v>
      </c>
    </row>
    <row r="43" spans="1:27" ht="14.5" x14ac:dyDescent="0.3">
      <c r="A43" s="417"/>
      <c r="B43" s="418">
        <v>3</v>
      </c>
      <c r="C43" s="419" t="s">
        <v>232</v>
      </c>
      <c r="D43" s="415" t="s">
        <v>94</v>
      </c>
      <c r="E43" s="6" t="s">
        <v>211</v>
      </c>
      <c r="F43" s="6">
        <v>250</v>
      </c>
      <c r="G43" s="377">
        <v>219</v>
      </c>
      <c r="H43" s="428">
        <v>1.4E-2</v>
      </c>
      <c r="I43" s="428">
        <v>1.4E-2</v>
      </c>
      <c r="J43" s="461"/>
      <c r="K43" s="461"/>
      <c r="L43" s="461">
        <v>0.7</v>
      </c>
      <c r="M43" s="461">
        <v>0.7</v>
      </c>
      <c r="N43" s="324">
        <f>SUM(Inhalation_Exp[[#This Row],[Vapor HE]],Inhalation_Exp[[#This Row],[Mist HE]],Inhalation_Exp[[#This Row],[Dust HE]])</f>
        <v>0.71399999999999997</v>
      </c>
      <c r="O43" s="324">
        <f>SUM(Inhalation_Exp[[#This Row],[Vapor CT]],Inhalation_Exp[[#This Row],[Mist CT]],Inhalation_Exp[[#This Row],[Dust CT]])</f>
        <v>0.71399999999999997</v>
      </c>
      <c r="P43" s="368">
        <f>(((N43)*ED_8)*WorkBreathRate)/IF(Inhalation_Exp[[#This Row],[Worker Type]]="Female of Reproductive Age",BW_F,BW_default)</f>
        <v>8.9249999999999996E-2</v>
      </c>
      <c r="Q43" s="368">
        <f>(((O43)*ED_8)*WorkBreathRate)/IF(Inhalation_Exp[[#This Row],[Worker Type]]="Female of Reproductive Age",BW_F,BW_default)</f>
        <v>8.9249999999999996E-2</v>
      </c>
      <c r="R43" s="301">
        <f>IF(EFID&gt;Inhalation_Exp[[#This Row],[ED_High-End]],Inhalation_Exp[[#This Row],[24hr_High-End]]*Inhalation_Exp[[#This Row],[ED_High-End]]/ID,Inhalation_Exp[[#This Row],[24hr_High-End]]*EFID/ID)</f>
        <v>6.5449999999999994E-2</v>
      </c>
      <c r="S43" s="301">
        <f>IF(EFID&gt;Inhalation_Exp[[#This Row],[ED_Central Tendency]],Inhalation_Exp[[#This Row],[24hr_Central Tendency]]*Inhalation_Exp[[#This Row],[ED_Central Tendency]]/ID,Inhalation_Exp[[#This Row],[24hr_Central Tendency]]*EFID/ID)</f>
        <v>6.5449999999999994E-2</v>
      </c>
      <c r="T43" s="301">
        <f t="shared" si="4"/>
        <v>6.1130136986301369E-2</v>
      </c>
      <c r="U43" s="301">
        <f t="shared" si="5"/>
        <v>5.3549999999999993E-2</v>
      </c>
      <c r="V43" s="275">
        <f t="shared" si="6"/>
        <v>3.1348788198103265E-2</v>
      </c>
      <c r="W43" s="275">
        <f t="shared" si="7"/>
        <v>2.1282692307692305E-2</v>
      </c>
      <c r="X43" s="276">
        <v>24</v>
      </c>
      <c r="Y43" s="276">
        <v>24</v>
      </c>
      <c r="Z43" s="423" t="s">
        <v>233</v>
      </c>
      <c r="AA43" s="416" t="s">
        <v>213</v>
      </c>
    </row>
    <row r="44" spans="1:27" ht="39" x14ac:dyDescent="0.3">
      <c r="A44" s="417"/>
      <c r="B44" s="418">
        <v>4</v>
      </c>
      <c r="C44" s="419" t="s">
        <v>234</v>
      </c>
      <c r="D44" s="415" t="s">
        <v>74</v>
      </c>
      <c r="E44" s="6" t="s">
        <v>211</v>
      </c>
      <c r="F44" s="6">
        <v>250</v>
      </c>
      <c r="G44" s="377">
        <v>232</v>
      </c>
      <c r="H44" s="461">
        <v>5.0000000000000001E-3</v>
      </c>
      <c r="I44" s="461">
        <v>2.5000000000000001E-3</v>
      </c>
      <c r="J44" s="461"/>
      <c r="K44" s="461"/>
      <c r="L44" s="461"/>
      <c r="M44" s="461"/>
      <c r="N44" s="368">
        <f>SUM(Inhalation_Exp[[#This Row],[Vapor HE]],Inhalation_Exp[[#This Row],[Mist HE]],Inhalation_Exp[[#This Row],[Dust HE]])</f>
        <v>5.0000000000000001E-3</v>
      </c>
      <c r="O44" s="368">
        <f>SUM(Inhalation_Exp[[#This Row],[Vapor CT]],Inhalation_Exp[[#This Row],[Mist CT]],Inhalation_Exp[[#This Row],[Dust CT]])</f>
        <v>2.5000000000000001E-3</v>
      </c>
      <c r="P44" s="301">
        <f>(((N44)*ED_8)*WorkBreathRate)/IF(Inhalation_Exp[[#This Row],[Worker Type]]="Female of Reproductive Age",BW_F,BW_default)</f>
        <v>6.9036934760096649E-4</v>
      </c>
      <c r="Q44" s="301">
        <f>(((O44)*ED_8)*WorkBreathRate)/IF(Inhalation_Exp[[#This Row],[Worker Type]]="Female of Reproductive Age",BW_F,BW_default)</f>
        <v>3.4518467380048324E-4</v>
      </c>
      <c r="R44" s="301">
        <f>IF(EFID&gt;Inhalation_Exp[[#This Row],[ED_High-End]],Inhalation_Exp[[#This Row],[24hr_High-End]]*Inhalation_Exp[[#This Row],[ED_High-End]]/ID,Inhalation_Exp[[#This Row],[24hr_High-End]]*EFID/ID)</f>
        <v>5.0627085490737543E-4</v>
      </c>
      <c r="S44" s="301">
        <f>IF(EFID&gt;Inhalation_Exp[[#This Row],[ED_Central Tendency]],Inhalation_Exp[[#This Row],[24hr_Central Tendency]]*Inhalation_Exp[[#This Row],[ED_Central Tendency]]/ID,Inhalation_Exp[[#This Row],[24hr_Central Tendency]]*EFID/ID)</f>
        <v>2.5313542745368772E-4</v>
      </c>
      <c r="T44" s="301">
        <f t="shared" si="4"/>
        <v>4.728557175349085E-4</v>
      </c>
      <c r="U44" s="301">
        <f t="shared" si="5"/>
        <v>2.1940505293619757E-4</v>
      </c>
      <c r="V44" s="275">
        <f t="shared" si="6"/>
        <v>2.4249011155636334E-4</v>
      </c>
      <c r="W44" s="275">
        <f t="shared" si="7"/>
        <v>8.7199444115668262E-5</v>
      </c>
      <c r="X44" s="276">
        <v>1</v>
      </c>
      <c r="Y44" s="276">
        <v>1</v>
      </c>
      <c r="Z44" s="7" t="s">
        <v>223</v>
      </c>
      <c r="AA44" s="416" t="s">
        <v>213</v>
      </c>
    </row>
    <row r="45" spans="1:27" ht="39" x14ac:dyDescent="0.3">
      <c r="A45" s="417"/>
      <c r="B45" s="418">
        <v>4</v>
      </c>
      <c r="C45" s="419" t="s">
        <v>234</v>
      </c>
      <c r="D45" s="415" t="s">
        <v>94</v>
      </c>
      <c r="E45" s="6" t="s">
        <v>211</v>
      </c>
      <c r="F45" s="6">
        <v>250</v>
      </c>
      <c r="G45" s="377">
        <v>232</v>
      </c>
      <c r="H45" s="461">
        <v>2.5000000000000001E-3</v>
      </c>
      <c r="I45" s="461">
        <v>2.5000000000000001E-3</v>
      </c>
      <c r="J45" s="461"/>
      <c r="K45" s="461"/>
      <c r="L45" s="461"/>
      <c r="M45" s="461"/>
      <c r="N45" s="368">
        <f>SUM(Inhalation_Exp[[#This Row],[Vapor HE]],Inhalation_Exp[[#This Row],[Mist HE]],Inhalation_Exp[[#This Row],[Dust HE]])</f>
        <v>2.5000000000000001E-3</v>
      </c>
      <c r="O45" s="368">
        <f>SUM(Inhalation_Exp[[#This Row],[Vapor CT]],Inhalation_Exp[[#This Row],[Mist CT]],Inhalation_Exp[[#This Row],[Dust CT]])</f>
        <v>2.5000000000000001E-3</v>
      </c>
      <c r="P45" s="301">
        <f>(((N45)*ED_8)*WorkBreathRate)/IF(Inhalation_Exp[[#This Row],[Worker Type]]="Female of Reproductive Age",BW_F,BW_default)</f>
        <v>3.1250000000000001E-4</v>
      </c>
      <c r="Q45" s="301">
        <f>(((O45)*ED_8)*WorkBreathRate)/IF(Inhalation_Exp[[#This Row],[Worker Type]]="Female of Reproductive Age",BW_F,BW_default)</f>
        <v>3.1250000000000001E-4</v>
      </c>
      <c r="R45" s="301">
        <f>IF(EFID&gt;Inhalation_Exp[[#This Row],[ED_High-End]],Inhalation_Exp[[#This Row],[24hr_High-End]]*Inhalation_Exp[[#This Row],[ED_High-End]]/ID,Inhalation_Exp[[#This Row],[24hr_High-End]]*EFID/ID)</f>
        <v>2.2916666666666666E-4</v>
      </c>
      <c r="S45" s="301">
        <f>IF(EFID&gt;Inhalation_Exp[[#This Row],[ED_Central Tendency]],Inhalation_Exp[[#This Row],[24hr_Central Tendency]]*Inhalation_Exp[[#This Row],[ED_Central Tendency]]/ID,Inhalation_Exp[[#This Row],[24hr_Central Tendency]]*EFID/ID)</f>
        <v>2.2916666666666666E-4</v>
      </c>
      <c r="T45" s="301">
        <f t="shared" si="4"/>
        <v>2.1404109589041095E-4</v>
      </c>
      <c r="U45" s="301">
        <f t="shared" si="5"/>
        <v>1.9863013698630139E-4</v>
      </c>
      <c r="V45" s="275">
        <f t="shared" si="6"/>
        <v>1.0976466455918511E-4</v>
      </c>
      <c r="W45" s="275">
        <f t="shared" si="7"/>
        <v>7.8942746750965931E-5</v>
      </c>
      <c r="X45" s="276">
        <v>1</v>
      </c>
      <c r="Y45" s="276">
        <v>1</v>
      </c>
      <c r="Z45" s="7" t="s">
        <v>223</v>
      </c>
      <c r="AA45" s="416" t="s">
        <v>213</v>
      </c>
    </row>
    <row r="46" spans="1:27" ht="39" x14ac:dyDescent="0.3">
      <c r="A46" s="417"/>
      <c r="B46" s="418">
        <v>4</v>
      </c>
      <c r="C46" s="419" t="s">
        <v>234</v>
      </c>
      <c r="D46" s="415" t="s">
        <v>214</v>
      </c>
      <c r="E46" s="6" t="s">
        <v>211</v>
      </c>
      <c r="F46" s="6">
        <v>250</v>
      </c>
      <c r="G46" s="377">
        <v>232</v>
      </c>
      <c r="H46" s="461">
        <v>5.0000000000000001E-3</v>
      </c>
      <c r="I46" s="461">
        <v>2.5000000000000001E-3</v>
      </c>
      <c r="J46" s="461"/>
      <c r="K46" s="461"/>
      <c r="L46" s="461"/>
      <c r="M46" s="378"/>
      <c r="N46" s="368">
        <f>SUM(Inhalation_Exp[[#This Row],[Vapor HE]],Inhalation_Exp[[#This Row],[Mist HE]],Inhalation_Exp[[#This Row],[Dust HE]])</f>
        <v>5.0000000000000001E-3</v>
      </c>
      <c r="O46" s="368">
        <f>SUM(Inhalation_Exp[[#This Row],[Vapor CT]],Inhalation_Exp[[#This Row],[Mist CT]],Inhalation_Exp[[#This Row],[Dust CT]])</f>
        <v>2.5000000000000001E-3</v>
      </c>
      <c r="P46" s="301">
        <f>(((N46)*ED_8)*WorkBreathRate)/IF(Inhalation_Exp[[#This Row],[Worker Type]]="Female of Reproductive Age",BW_F,BW_default)</f>
        <v>6.2500000000000001E-4</v>
      </c>
      <c r="Q46" s="301">
        <f>(((O46)*ED_8)*WorkBreathRate)/IF(Inhalation_Exp[[#This Row],[Worker Type]]="Female of Reproductive Age",BW_F,BW_default)</f>
        <v>3.1250000000000001E-4</v>
      </c>
      <c r="R46" s="301">
        <f>IF(EFID&gt;Inhalation_Exp[[#This Row],[ED_High-End]],Inhalation_Exp[[#This Row],[24hr_High-End]]*Inhalation_Exp[[#This Row],[ED_High-End]]/ID,Inhalation_Exp[[#This Row],[24hr_High-End]]*EFID/ID)</f>
        <v>4.5833333333333332E-4</v>
      </c>
      <c r="S46" s="301">
        <f>IF(EFID&gt;Inhalation_Exp[[#This Row],[ED_Central Tendency]],Inhalation_Exp[[#This Row],[24hr_Central Tendency]]*Inhalation_Exp[[#This Row],[ED_Central Tendency]]/ID,Inhalation_Exp[[#This Row],[24hr_Central Tendency]]*EFID/ID)</f>
        <v>2.2916666666666666E-4</v>
      </c>
      <c r="T46" s="301">
        <f t="shared" si="4"/>
        <v>4.2808219178082189E-4</v>
      </c>
      <c r="U46" s="301">
        <f t="shared" si="5"/>
        <v>1.9863013698630139E-4</v>
      </c>
      <c r="V46" s="275">
        <f t="shared" si="6"/>
        <v>2.1952932911837022E-4</v>
      </c>
      <c r="W46" s="275">
        <f t="shared" si="7"/>
        <v>7.8942746750965931E-5</v>
      </c>
      <c r="X46" s="276">
        <v>1</v>
      </c>
      <c r="Y46" s="276">
        <v>1</v>
      </c>
      <c r="Z46" s="7" t="s">
        <v>223</v>
      </c>
      <c r="AA46" s="416" t="s">
        <v>213</v>
      </c>
    </row>
    <row r="47" spans="1:27" ht="26" x14ac:dyDescent="0.3">
      <c r="A47" s="417"/>
      <c r="B47" s="418">
        <v>4</v>
      </c>
      <c r="C47" s="419" t="s">
        <v>73</v>
      </c>
      <c r="D47" s="415" t="s">
        <v>74</v>
      </c>
      <c r="E47" s="6" t="s">
        <v>211</v>
      </c>
      <c r="F47" s="6">
        <v>250</v>
      </c>
      <c r="G47" s="377">
        <v>250</v>
      </c>
      <c r="H47" s="429">
        <v>4.2000000000000003E-2</v>
      </c>
      <c r="I47" s="429">
        <v>0.01</v>
      </c>
      <c r="J47" s="405">
        <v>22.102499999999949</v>
      </c>
      <c r="K47" s="405">
        <v>1.69</v>
      </c>
      <c r="L47" s="461"/>
      <c r="M47" s="461"/>
      <c r="N47" s="439">
        <f>SUM(Inhalation_Exp[[#This Row],[Vapor HE]],Inhalation_Exp[[#This Row],[Mist HE]],Inhalation_Exp[[#This Row],[Dust HE]])</f>
        <v>22.144499999999951</v>
      </c>
      <c r="O47" s="437">
        <f>SUM(Inhalation_Exp[[#This Row],[Vapor CT]],Inhalation_Exp[[#This Row],[Mist CT]],Inhalation_Exp[[#This Row],[Dust CT]])</f>
        <v>1.7</v>
      </c>
      <c r="P47" s="438">
        <f>(((N47)*ED_8)*WorkBreathRate)/IF(Inhalation_Exp[[#This Row],[Worker Type]]="Female of Reproductive Age",BW_F,BW_default)</f>
        <v>3.0575768035899134</v>
      </c>
      <c r="Q47" s="275">
        <f>(((O47)*ED_8)*WorkBreathRate)/IF(Inhalation_Exp[[#This Row],[Worker Type]]="Female of Reproductive Age",BW_F,BW_default)</f>
        <v>0.23472557818432857</v>
      </c>
      <c r="R47" s="438">
        <f>IF(EFID&gt;Inhalation_Exp[[#This Row],[ED_High-End]],Inhalation_Exp[[#This Row],[24hr_High-End]]*Inhalation_Exp[[#This Row],[ED_High-End]]/ID,Inhalation_Exp[[#This Row],[24hr_High-End]]*EFID/ID)</f>
        <v>2.24222298929927</v>
      </c>
      <c r="S47" s="275">
        <f>IF(EFID&gt;Inhalation_Exp[[#This Row],[ED_Central Tendency]],Inhalation_Exp[[#This Row],[24hr_Central Tendency]]*Inhalation_Exp[[#This Row],[ED_Central Tendency]]/ID,Inhalation_Exp[[#This Row],[24hr_Central Tendency]]*EFID/ID)</f>
        <v>0.17213209066850763</v>
      </c>
      <c r="T47" s="438">
        <f t="shared" si="4"/>
        <v>2.0942306873903513</v>
      </c>
      <c r="U47" s="275">
        <f t="shared" si="5"/>
        <v>0.16077094396186889</v>
      </c>
      <c r="V47" s="275">
        <f t="shared" si="6"/>
        <v>1.0739644550719751</v>
      </c>
      <c r="W47" s="275">
        <f t="shared" si="7"/>
        <v>6.3896144395101745E-2</v>
      </c>
      <c r="X47" s="276">
        <v>2</v>
      </c>
      <c r="Y47" s="276">
        <v>2</v>
      </c>
      <c r="Z47" s="7" t="s">
        <v>235</v>
      </c>
      <c r="AA47" s="416" t="s">
        <v>236</v>
      </c>
    </row>
    <row r="48" spans="1:27" ht="26" x14ac:dyDescent="0.3">
      <c r="A48" s="417"/>
      <c r="B48" s="418">
        <v>4</v>
      </c>
      <c r="C48" s="419" t="s">
        <v>73</v>
      </c>
      <c r="D48" s="415" t="s">
        <v>94</v>
      </c>
      <c r="E48" s="6" t="s">
        <v>211</v>
      </c>
      <c r="F48" s="6">
        <v>250</v>
      </c>
      <c r="G48" s="377">
        <v>250</v>
      </c>
      <c r="H48" s="429">
        <v>0.01</v>
      </c>
      <c r="I48" s="429">
        <v>0.01</v>
      </c>
      <c r="J48" s="405">
        <v>2.028375</v>
      </c>
      <c r="K48" s="405">
        <v>1.69</v>
      </c>
      <c r="L48" s="461"/>
      <c r="M48" s="461"/>
      <c r="N48" s="437">
        <f>SUM(Inhalation_Exp[[#This Row],[Vapor HE]],Inhalation_Exp[[#This Row],[Mist HE]],Inhalation_Exp[[#This Row],[Dust HE]])</f>
        <v>2.0383749999999998</v>
      </c>
      <c r="O48" s="437">
        <f>SUM(Inhalation_Exp[[#This Row],[Vapor CT]],Inhalation_Exp[[#This Row],[Mist CT]],Inhalation_Exp[[#This Row],[Dust CT]])</f>
        <v>1.7</v>
      </c>
      <c r="P48" s="275">
        <f>(((N48)*ED_8)*WorkBreathRate)/IF(Inhalation_Exp[[#This Row],[Worker Type]]="Female of Reproductive Age",BW_F,BW_default)</f>
        <v>0.25479687499999998</v>
      </c>
      <c r="Q48" s="275">
        <f>(((O48)*ED_8)*WorkBreathRate)/IF(Inhalation_Exp[[#This Row],[Worker Type]]="Female of Reproductive Age",BW_F,BW_default)</f>
        <v>0.21249999999999999</v>
      </c>
      <c r="R48" s="275">
        <f>IF(EFID&gt;Inhalation_Exp[[#This Row],[ED_High-End]],Inhalation_Exp[[#This Row],[24hr_High-End]]*Inhalation_Exp[[#This Row],[ED_High-End]]/ID,Inhalation_Exp[[#This Row],[24hr_High-End]]*EFID/ID)</f>
        <v>0.18685104166666663</v>
      </c>
      <c r="S48" s="275">
        <f>IF(EFID&gt;Inhalation_Exp[[#This Row],[ED_Central Tendency]],Inhalation_Exp[[#This Row],[24hr_Central Tendency]]*Inhalation_Exp[[#This Row],[ED_Central Tendency]]/ID,Inhalation_Exp[[#This Row],[24hr_Central Tendency]]*EFID/ID)</f>
        <v>0.15583333333333332</v>
      </c>
      <c r="T48" s="275">
        <f t="shared" si="4"/>
        <v>0.17451840753424655</v>
      </c>
      <c r="U48" s="275">
        <f t="shared" si="5"/>
        <v>0.14554794520547945</v>
      </c>
      <c r="V48" s="275">
        <f t="shared" si="6"/>
        <v>8.9496619248331563E-2</v>
      </c>
      <c r="W48" s="275">
        <f t="shared" si="7"/>
        <v>5.7845978222690553E-2</v>
      </c>
      <c r="X48" s="276">
        <v>2</v>
      </c>
      <c r="Y48" s="276">
        <v>2</v>
      </c>
      <c r="Z48" s="7" t="s">
        <v>235</v>
      </c>
      <c r="AA48" s="416" t="s">
        <v>236</v>
      </c>
    </row>
    <row r="49" spans="1:27" ht="26" x14ac:dyDescent="0.3">
      <c r="A49" s="417"/>
      <c r="B49" s="418">
        <v>4</v>
      </c>
      <c r="C49" s="419" t="s">
        <v>73</v>
      </c>
      <c r="D49" s="415" t="s">
        <v>214</v>
      </c>
      <c r="E49" s="6" t="s">
        <v>211</v>
      </c>
      <c r="F49" s="6">
        <v>250</v>
      </c>
      <c r="G49" s="377">
        <v>250</v>
      </c>
      <c r="H49" s="429">
        <v>4.2000000000000003E-2</v>
      </c>
      <c r="I49" s="429">
        <v>0.01</v>
      </c>
      <c r="J49" s="405">
        <v>22.102499999999949</v>
      </c>
      <c r="K49" s="405">
        <v>1.69</v>
      </c>
      <c r="L49" s="461"/>
      <c r="M49" s="378"/>
      <c r="N49" s="439">
        <f>SUM(Inhalation_Exp[[#This Row],[Vapor HE]],Inhalation_Exp[[#This Row],[Mist HE]],Inhalation_Exp[[#This Row],[Dust HE]])</f>
        <v>22.144499999999951</v>
      </c>
      <c r="O49" s="437">
        <f>SUM(Inhalation_Exp[[#This Row],[Vapor CT]],Inhalation_Exp[[#This Row],[Mist CT]],Inhalation_Exp[[#This Row],[Dust CT]])</f>
        <v>1.7</v>
      </c>
      <c r="P49" s="437">
        <f>(((N49)*ED_8)*WorkBreathRate)/IF(Inhalation_Exp[[#This Row],[Worker Type]]="Female of Reproductive Age",BW_F,BW_default)</f>
        <v>2.7680624999999939</v>
      </c>
      <c r="Q49" s="324">
        <f>(((O49)*ED_8)*WorkBreathRate)/IF(Inhalation_Exp[[#This Row],[Worker Type]]="Female of Reproductive Age",BW_F,BW_default)</f>
        <v>0.21249999999999999</v>
      </c>
      <c r="R49" s="438">
        <f>IF(EFID&gt;Inhalation_Exp[[#This Row],[ED_High-End]],Inhalation_Exp[[#This Row],[24hr_High-End]]*Inhalation_Exp[[#This Row],[ED_High-End]]/ID,Inhalation_Exp[[#This Row],[24hr_High-End]]*EFID/ID)</f>
        <v>2.0299124999999956</v>
      </c>
      <c r="S49" s="275">
        <f>IF(EFID&gt;Inhalation_Exp[[#This Row],[ED_Central Tendency]],Inhalation_Exp[[#This Row],[24hr_Central Tendency]]*Inhalation_Exp[[#This Row],[ED_Central Tendency]]/ID,Inhalation_Exp[[#This Row],[24hr_Central Tendency]]*EFID/ID)</f>
        <v>0.15583333333333332</v>
      </c>
      <c r="T49" s="438">
        <f t="shared" si="4"/>
        <v>1.8959332191780782</v>
      </c>
      <c r="U49" s="275">
        <f t="shared" si="5"/>
        <v>0.14554794520547945</v>
      </c>
      <c r="V49" s="275">
        <f t="shared" si="6"/>
        <v>0.97227344573234775</v>
      </c>
      <c r="W49" s="275">
        <f t="shared" si="7"/>
        <v>5.7845978222690553E-2</v>
      </c>
      <c r="X49" s="276">
        <v>2</v>
      </c>
      <c r="Y49" s="276">
        <v>2</v>
      </c>
      <c r="Z49" s="7" t="s">
        <v>235</v>
      </c>
      <c r="AA49" s="416" t="s">
        <v>236</v>
      </c>
    </row>
    <row r="50" spans="1:27" ht="14.5" x14ac:dyDescent="0.3">
      <c r="A50" s="417"/>
      <c r="B50" s="418">
        <v>4</v>
      </c>
      <c r="C50" s="419" t="s">
        <v>237</v>
      </c>
      <c r="D50" s="415" t="s">
        <v>214</v>
      </c>
      <c r="E50" s="6" t="s">
        <v>211</v>
      </c>
      <c r="F50" s="6">
        <v>250</v>
      </c>
      <c r="G50" s="377">
        <v>235</v>
      </c>
      <c r="H50" s="428">
        <v>0.45750000000000002</v>
      </c>
      <c r="I50" s="428">
        <v>0.1</v>
      </c>
      <c r="J50" s="461"/>
      <c r="K50" s="461"/>
      <c r="L50" s="461"/>
      <c r="M50" s="461"/>
      <c r="N50" s="324">
        <f>SUM(Inhalation_Exp[[#This Row],[Vapor HE]],Inhalation_Exp[[#This Row],[Mist HE]],Inhalation_Exp[[#This Row],[Dust HE]])</f>
        <v>0.45750000000000002</v>
      </c>
      <c r="O50" s="324">
        <f>SUM(Inhalation_Exp[[#This Row],[Vapor CT]],Inhalation_Exp[[#This Row],[Mist CT]],Inhalation_Exp[[#This Row],[Dust CT]])</f>
        <v>0.1</v>
      </c>
      <c r="P50" s="301">
        <f>(((N50)*ED_8)*WorkBreathRate)/IF(Inhalation_Exp[[#This Row],[Worker Type]]="Female of Reproductive Age",BW_F,BW_default)</f>
        <v>5.7187500000000002E-2</v>
      </c>
      <c r="Q50" s="301">
        <f>(((O50)*ED_8)*WorkBreathRate)/IF(Inhalation_Exp[[#This Row],[Worker Type]]="Female of Reproductive Age",BW_F,BW_default)</f>
        <v>1.2500000000000001E-2</v>
      </c>
      <c r="R50" s="301">
        <f>IF(EFID&gt;Inhalation_Exp[[#This Row],[ED_High-End]],Inhalation_Exp[[#This Row],[24hr_High-End]]*Inhalation_Exp[[#This Row],[ED_High-End]]/ID,Inhalation_Exp[[#This Row],[24hr_High-End]]*EFID/ID)</f>
        <v>4.1937500000000003E-2</v>
      </c>
      <c r="S50" s="301">
        <f>IF(EFID&gt;Inhalation_Exp[[#This Row],[ED_Central Tendency]],Inhalation_Exp[[#This Row],[24hr_Central Tendency]]*Inhalation_Exp[[#This Row],[ED_Central Tendency]]/ID,Inhalation_Exp[[#This Row],[24hr_Central Tendency]]*EFID/ID)</f>
        <v>9.1666666666666667E-3</v>
      </c>
      <c r="T50" s="301">
        <f t="shared" si="4"/>
        <v>3.9169520547945202E-2</v>
      </c>
      <c r="U50" s="301">
        <f t="shared" si="5"/>
        <v>8.047945205479452E-3</v>
      </c>
      <c r="V50" s="275">
        <f t="shared" si="6"/>
        <v>2.0086933614330876E-2</v>
      </c>
      <c r="W50" s="275">
        <f t="shared" si="7"/>
        <v>3.1985423252546539E-3</v>
      </c>
      <c r="X50" s="276">
        <v>5</v>
      </c>
      <c r="Y50" s="276">
        <v>10</v>
      </c>
      <c r="Z50" s="7" t="s">
        <v>212</v>
      </c>
      <c r="AA50" s="416" t="s">
        <v>213</v>
      </c>
    </row>
    <row r="51" spans="1:27" ht="14.5" x14ac:dyDescent="0.3">
      <c r="A51" s="417"/>
      <c r="B51" s="418">
        <v>4</v>
      </c>
      <c r="C51" s="419" t="s">
        <v>237</v>
      </c>
      <c r="D51" s="415" t="s">
        <v>74</v>
      </c>
      <c r="E51" s="6" t="s">
        <v>211</v>
      </c>
      <c r="F51" s="6">
        <v>250</v>
      </c>
      <c r="G51" s="377">
        <v>235</v>
      </c>
      <c r="H51" s="428">
        <v>0.45750000000000002</v>
      </c>
      <c r="I51" s="428">
        <v>0.1</v>
      </c>
      <c r="J51" s="461"/>
      <c r="K51" s="461"/>
      <c r="L51" s="461"/>
      <c r="M51" s="461"/>
      <c r="N51" s="324">
        <f>SUM(Inhalation_Exp[[#This Row],[Vapor HE]],Inhalation_Exp[[#This Row],[Mist HE]],Inhalation_Exp[[#This Row],[Dust HE]])</f>
        <v>0.45750000000000002</v>
      </c>
      <c r="O51" s="324">
        <f>SUM(Inhalation_Exp[[#This Row],[Vapor CT]],Inhalation_Exp[[#This Row],[Mist CT]],Inhalation_Exp[[#This Row],[Dust CT]])</f>
        <v>0.1</v>
      </c>
      <c r="P51" s="301">
        <f>(((N51)*ED_8)*WorkBreathRate)/IF(Inhalation_Exp[[#This Row],[Worker Type]]="Female of Reproductive Age",BW_F,BW_default)</f>
        <v>6.3168795305488426E-2</v>
      </c>
      <c r="Q51" s="301">
        <f>(((O51)*ED_8)*WorkBreathRate)/IF(Inhalation_Exp[[#This Row],[Worker Type]]="Female of Reproductive Age",BW_F,BW_default)</f>
        <v>1.3807386952019328E-2</v>
      </c>
      <c r="R51" s="301">
        <f>IF(EFID&gt;Inhalation_Exp[[#This Row],[ED_High-End]],Inhalation_Exp[[#This Row],[24hr_High-End]]*Inhalation_Exp[[#This Row],[ED_High-End]]/ID,Inhalation_Exp[[#This Row],[24hr_High-End]]*EFID/ID)</f>
        <v>4.6323783224024848E-2</v>
      </c>
      <c r="S51" s="301">
        <f>IF(EFID&gt;Inhalation_Exp[[#This Row],[ED_Central Tendency]],Inhalation_Exp[[#This Row],[24hr_Central Tendency]]*Inhalation_Exp[[#This Row],[ED_Central Tendency]]/ID,Inhalation_Exp[[#This Row],[24hr_Central Tendency]]*EFID/ID)</f>
        <v>1.0125417098147507E-2</v>
      </c>
      <c r="T51" s="301">
        <f t="shared" si="4"/>
        <v>4.3266298154444126E-2</v>
      </c>
      <c r="U51" s="301">
        <f t="shared" si="5"/>
        <v>8.8896874896562793E-3</v>
      </c>
      <c r="V51" s="275">
        <f t="shared" si="6"/>
        <v>2.2187845207407245E-2</v>
      </c>
      <c r="W51" s="275">
        <f t="shared" si="7"/>
        <v>3.5330809253762137E-3</v>
      </c>
      <c r="X51" s="276">
        <v>5</v>
      </c>
      <c r="Y51" s="276">
        <v>10</v>
      </c>
      <c r="Z51" s="7" t="s">
        <v>212</v>
      </c>
      <c r="AA51" s="416" t="s">
        <v>213</v>
      </c>
    </row>
    <row r="52" spans="1:27" ht="14.5" x14ac:dyDescent="0.3">
      <c r="A52" s="417"/>
      <c r="B52" s="418">
        <v>4</v>
      </c>
      <c r="C52" s="419" t="s">
        <v>237</v>
      </c>
      <c r="D52" s="415" t="s">
        <v>94</v>
      </c>
      <c r="E52" s="6" t="s">
        <v>211</v>
      </c>
      <c r="F52" s="6">
        <v>250</v>
      </c>
      <c r="G52" s="377">
        <v>235</v>
      </c>
      <c r="H52" s="428">
        <v>0.1</v>
      </c>
      <c r="I52" s="428">
        <v>0.1</v>
      </c>
      <c r="J52" s="461"/>
      <c r="K52" s="461"/>
      <c r="L52" s="461"/>
      <c r="M52" s="461"/>
      <c r="N52" s="324">
        <f>SUM(Inhalation_Exp[[#This Row],[Vapor HE]],Inhalation_Exp[[#This Row],[Mist HE]],Inhalation_Exp[[#This Row],[Dust HE]])</f>
        <v>0.1</v>
      </c>
      <c r="O52" s="324">
        <f>SUM(Inhalation_Exp[[#This Row],[Vapor CT]],Inhalation_Exp[[#This Row],[Mist CT]],Inhalation_Exp[[#This Row],[Dust CT]])</f>
        <v>0.1</v>
      </c>
      <c r="P52" s="301">
        <f>(((N52)*ED_8)*WorkBreathRate)/IF(Inhalation_Exp[[#This Row],[Worker Type]]="Female of Reproductive Age",BW_F,BW_default)</f>
        <v>1.2500000000000001E-2</v>
      </c>
      <c r="Q52" s="301">
        <f>(((O52)*ED_8)*WorkBreathRate)/IF(Inhalation_Exp[[#This Row],[Worker Type]]="Female of Reproductive Age",BW_F,BW_default)</f>
        <v>1.2500000000000001E-2</v>
      </c>
      <c r="R52" s="301">
        <f>IF(EFID&gt;Inhalation_Exp[[#This Row],[ED_High-End]],Inhalation_Exp[[#This Row],[24hr_High-End]]*Inhalation_Exp[[#This Row],[ED_High-End]]/ID,Inhalation_Exp[[#This Row],[24hr_High-End]]*EFID/ID)</f>
        <v>9.1666666666666667E-3</v>
      </c>
      <c r="S52" s="301">
        <f>IF(EFID&gt;Inhalation_Exp[[#This Row],[ED_Central Tendency]],Inhalation_Exp[[#This Row],[24hr_Central Tendency]]*Inhalation_Exp[[#This Row],[ED_Central Tendency]]/ID,Inhalation_Exp[[#This Row],[24hr_Central Tendency]]*EFID/ID)</f>
        <v>9.1666666666666667E-3</v>
      </c>
      <c r="T52" s="301">
        <f t="shared" si="4"/>
        <v>8.5616438356164379E-3</v>
      </c>
      <c r="U52" s="301">
        <f t="shared" si="5"/>
        <v>8.047945205479452E-3</v>
      </c>
      <c r="V52" s="275">
        <f t="shared" si="6"/>
        <v>4.3905865823674044E-3</v>
      </c>
      <c r="W52" s="275">
        <f t="shared" si="7"/>
        <v>3.1985423252546539E-3</v>
      </c>
      <c r="X52" s="276">
        <v>5</v>
      </c>
      <c r="Y52" s="276">
        <v>10</v>
      </c>
      <c r="Z52" s="7" t="s">
        <v>212</v>
      </c>
      <c r="AA52" s="416" t="s">
        <v>213</v>
      </c>
    </row>
    <row r="53" spans="1:27" ht="14.5" x14ac:dyDescent="0.35">
      <c r="A53" s="417"/>
      <c r="B53" s="418">
        <v>4</v>
      </c>
      <c r="C53" s="419" t="s">
        <v>238</v>
      </c>
      <c r="D53" s="415" t="s">
        <v>214</v>
      </c>
      <c r="E53" s="6" t="s">
        <v>211</v>
      </c>
      <c r="F53" s="6">
        <v>250</v>
      </c>
      <c r="G53" s="377">
        <v>235</v>
      </c>
      <c r="H53" s="379"/>
      <c r="I53" s="379"/>
      <c r="J53" s="461"/>
      <c r="K53" s="461"/>
      <c r="L53" s="426">
        <f>2.7*0.003</f>
        <v>8.1000000000000013E-3</v>
      </c>
      <c r="M53" s="427">
        <f>0.19*0.003</f>
        <v>5.6999999999999998E-4</v>
      </c>
      <c r="N53" s="368">
        <f>SUM(Inhalation_Exp[[#This Row],[Vapor HE]],Inhalation_Exp[[#This Row],[Mist HE]],Inhalation_Exp[[#This Row],[Dust HE]])</f>
        <v>8.1000000000000013E-3</v>
      </c>
      <c r="O53" s="368">
        <f>SUM(Inhalation_Exp[[#This Row],[Vapor CT]],Inhalation_Exp[[#This Row],[Mist CT]],Inhalation_Exp[[#This Row],[Dust CT]])</f>
        <v>5.6999999999999998E-4</v>
      </c>
      <c r="P53" s="301">
        <f>(((N53)*ED_8)*WorkBreathRate)/IF(Inhalation_Exp[[#This Row],[Worker Type]]="Female of Reproductive Age",BW_F,BW_default)</f>
        <v>1.0125000000000002E-3</v>
      </c>
      <c r="Q53" s="301">
        <f>(((O53)*ED_8)*WorkBreathRate)/IF(Inhalation_Exp[[#This Row],[Worker Type]]="Female of Reproductive Age",BW_F,BW_default)</f>
        <v>7.1249999999999997E-5</v>
      </c>
      <c r="R53" s="301">
        <f>IF(EFID&gt;Inhalation_Exp[[#This Row],[ED_High-End]],Inhalation_Exp[[#This Row],[24hr_High-End]]*Inhalation_Exp[[#This Row],[ED_High-End]]/ID,Inhalation_Exp[[#This Row],[24hr_High-End]]*EFID/ID)</f>
        <v>7.425000000000001E-4</v>
      </c>
      <c r="S53" s="301">
        <f>IF(EFID&gt;Inhalation_Exp[[#This Row],[ED_Central Tendency]],Inhalation_Exp[[#This Row],[24hr_Central Tendency]]*Inhalation_Exp[[#This Row],[ED_Central Tendency]]/ID,Inhalation_Exp[[#This Row],[24hr_Central Tendency]]*EFID/ID)</f>
        <v>5.2249999999999996E-5</v>
      </c>
      <c r="T53" s="301">
        <f t="shared" si="4"/>
        <v>6.9349315068493165E-4</v>
      </c>
      <c r="U53" s="301">
        <f t="shared" si="5"/>
        <v>4.5873287671232876E-5</v>
      </c>
      <c r="V53" s="275">
        <f t="shared" si="6"/>
        <v>3.5563751317175982E-4</v>
      </c>
      <c r="W53" s="275">
        <f t="shared" si="7"/>
        <v>1.8231691253951529E-5</v>
      </c>
      <c r="X53" s="276" t="s">
        <v>216</v>
      </c>
      <c r="Y53" s="276" t="s">
        <v>216</v>
      </c>
      <c r="Z53" s="7" t="s">
        <v>217</v>
      </c>
      <c r="AA53" s="416" t="s">
        <v>218</v>
      </c>
    </row>
    <row r="54" spans="1:27" ht="14.5" x14ac:dyDescent="0.35">
      <c r="A54" s="417"/>
      <c r="B54" s="418">
        <v>4</v>
      </c>
      <c r="C54" s="419" t="s">
        <v>238</v>
      </c>
      <c r="D54" s="415" t="s">
        <v>74</v>
      </c>
      <c r="E54" s="6" t="s">
        <v>211</v>
      </c>
      <c r="F54" s="6">
        <v>250</v>
      </c>
      <c r="G54" s="377">
        <v>235</v>
      </c>
      <c r="H54" s="379"/>
      <c r="I54" s="379"/>
      <c r="J54" s="461"/>
      <c r="K54" s="461"/>
      <c r="L54" s="426">
        <f>2.7*0.003</f>
        <v>8.1000000000000013E-3</v>
      </c>
      <c r="M54" s="427">
        <f>0.19*0.003</f>
        <v>5.6999999999999998E-4</v>
      </c>
      <c r="N54" s="368">
        <f>SUM(Inhalation_Exp[[#This Row],[Vapor HE]],Inhalation_Exp[[#This Row],[Mist HE]],Inhalation_Exp[[#This Row],[Dust HE]])</f>
        <v>8.1000000000000013E-3</v>
      </c>
      <c r="O54" s="368">
        <f>SUM(Inhalation_Exp[[#This Row],[Vapor CT]],Inhalation_Exp[[#This Row],[Mist CT]],Inhalation_Exp[[#This Row],[Dust CT]])</f>
        <v>5.6999999999999998E-4</v>
      </c>
      <c r="P54" s="301">
        <f>(((N54)*ED_8)*WorkBreathRate)/IF(Inhalation_Exp[[#This Row],[Worker Type]]="Female of Reproductive Age",BW_F,BW_default)</f>
        <v>1.1183983431135658E-3</v>
      </c>
      <c r="Q54" s="301">
        <f>(((O54)*ED_8)*WorkBreathRate)/IF(Inhalation_Exp[[#This Row],[Worker Type]]="Female of Reproductive Age",BW_F,BW_default)</f>
        <v>7.8702105626510176E-5</v>
      </c>
      <c r="R54" s="301">
        <f>IF(EFID&gt;Inhalation_Exp[[#This Row],[ED_High-End]],Inhalation_Exp[[#This Row],[24hr_High-End]]*Inhalation_Exp[[#This Row],[ED_High-End]]/ID,Inhalation_Exp[[#This Row],[24hr_High-End]]*EFID/ID)</f>
        <v>8.2015878494994833E-4</v>
      </c>
      <c r="S54" s="301">
        <f>IF(EFID&gt;Inhalation_Exp[[#This Row],[ED_Central Tendency]],Inhalation_Exp[[#This Row],[24hr_Central Tendency]]*Inhalation_Exp[[#This Row],[ED_Central Tendency]]/ID,Inhalation_Exp[[#This Row],[24hr_Central Tendency]]*EFID/ID)</f>
        <v>5.7714877459440797E-5</v>
      </c>
      <c r="T54" s="301">
        <f t="shared" si="4"/>
        <v>7.6602626240655195E-4</v>
      </c>
      <c r="U54" s="301">
        <f t="shared" si="5"/>
        <v>5.0671218691040798E-5</v>
      </c>
      <c r="V54" s="275">
        <f t="shared" si="6"/>
        <v>3.9283398072130867E-4</v>
      </c>
      <c r="W54" s="275">
        <f t="shared" si="7"/>
        <v>2.013856127464442E-5</v>
      </c>
      <c r="X54" s="276" t="s">
        <v>216</v>
      </c>
      <c r="Y54" s="276" t="s">
        <v>216</v>
      </c>
      <c r="Z54" s="7" t="s">
        <v>217</v>
      </c>
      <c r="AA54" s="416" t="s">
        <v>218</v>
      </c>
    </row>
    <row r="55" spans="1:27" ht="14.5" x14ac:dyDescent="0.35">
      <c r="A55" s="417"/>
      <c r="B55" s="418">
        <v>4</v>
      </c>
      <c r="C55" s="419" t="s">
        <v>238</v>
      </c>
      <c r="D55" s="415" t="s">
        <v>94</v>
      </c>
      <c r="E55" s="6" t="s">
        <v>211</v>
      </c>
      <c r="F55" s="6">
        <v>250</v>
      </c>
      <c r="G55" s="377">
        <v>235</v>
      </c>
      <c r="H55" s="379"/>
      <c r="I55" s="379"/>
      <c r="J55" s="461"/>
      <c r="K55" s="461"/>
      <c r="L55" s="427">
        <f>0.19*0.003</f>
        <v>5.6999999999999998E-4</v>
      </c>
      <c r="M55" s="427">
        <f>0.19*0.003</f>
        <v>5.6999999999999998E-4</v>
      </c>
      <c r="N55" s="368">
        <f>SUM(Inhalation_Exp[[#This Row],[Vapor HE]],Inhalation_Exp[[#This Row],[Mist HE]],Inhalation_Exp[[#This Row],[Dust HE]])</f>
        <v>5.6999999999999998E-4</v>
      </c>
      <c r="O55" s="368">
        <f>SUM(Inhalation_Exp[[#This Row],[Vapor CT]],Inhalation_Exp[[#This Row],[Mist CT]],Inhalation_Exp[[#This Row],[Dust CT]])</f>
        <v>5.6999999999999998E-4</v>
      </c>
      <c r="P55" s="301">
        <f>(((N55)*ED_8)*WorkBreathRate)/IF(Inhalation_Exp[[#This Row],[Worker Type]]="Female of Reproductive Age",BW_F,BW_default)</f>
        <v>7.1249999999999997E-5</v>
      </c>
      <c r="Q55" s="301">
        <f>(((O55)*ED_8)*WorkBreathRate)/IF(Inhalation_Exp[[#This Row],[Worker Type]]="Female of Reproductive Age",BW_F,BW_default)</f>
        <v>7.1249999999999997E-5</v>
      </c>
      <c r="R55" s="301">
        <f>IF(EFID&gt;Inhalation_Exp[[#This Row],[ED_High-End]],Inhalation_Exp[[#This Row],[24hr_High-End]]*Inhalation_Exp[[#This Row],[ED_High-End]]/ID,Inhalation_Exp[[#This Row],[24hr_High-End]]*EFID/ID)</f>
        <v>5.2249999999999996E-5</v>
      </c>
      <c r="S55" s="301">
        <f>IF(EFID&gt;Inhalation_Exp[[#This Row],[ED_Central Tendency]],Inhalation_Exp[[#This Row],[24hr_Central Tendency]]*Inhalation_Exp[[#This Row],[ED_Central Tendency]]/ID,Inhalation_Exp[[#This Row],[24hr_Central Tendency]]*EFID/ID)</f>
        <v>5.2249999999999996E-5</v>
      </c>
      <c r="T55" s="301">
        <f t="shared" si="4"/>
        <v>4.8801369863013693E-5</v>
      </c>
      <c r="U55" s="301">
        <f t="shared" si="5"/>
        <v>4.5873287671232876E-5</v>
      </c>
      <c r="V55" s="275">
        <f t="shared" si="6"/>
        <v>2.5026343519494203E-5</v>
      </c>
      <c r="W55" s="275">
        <f t="shared" si="7"/>
        <v>1.8231691253951529E-5</v>
      </c>
      <c r="X55" s="276" t="s">
        <v>216</v>
      </c>
      <c r="Y55" s="276" t="s">
        <v>216</v>
      </c>
      <c r="Z55" s="7" t="s">
        <v>217</v>
      </c>
      <c r="AA55" s="416" t="s">
        <v>218</v>
      </c>
    </row>
    <row r="56" spans="1:27" ht="29" x14ac:dyDescent="0.35">
      <c r="A56" s="417"/>
      <c r="B56" s="418">
        <v>4</v>
      </c>
      <c r="C56" s="419" t="s">
        <v>167</v>
      </c>
      <c r="D56" s="415" t="s">
        <v>214</v>
      </c>
      <c r="E56" s="6" t="s">
        <v>211</v>
      </c>
      <c r="F56" s="6">
        <v>4</v>
      </c>
      <c r="G56" s="377">
        <v>2</v>
      </c>
      <c r="H56" s="461">
        <v>5.0000000000000001E-3</v>
      </c>
      <c r="I56" s="461">
        <v>2.5000000000000001E-3</v>
      </c>
      <c r="J56" s="461"/>
      <c r="K56" s="461"/>
      <c r="L56" s="461"/>
      <c r="M56" s="378"/>
      <c r="N56" s="368">
        <f>SUM(Inhalation_Exp[[#This Row],[Vapor HE]],Inhalation_Exp[[#This Row],[Mist HE]],Inhalation_Exp[[#This Row],[Dust HE]])</f>
        <v>5.0000000000000001E-3</v>
      </c>
      <c r="O56" s="368">
        <f>SUM(Inhalation_Exp[[#This Row],[Vapor CT]],Inhalation_Exp[[#This Row],[Mist CT]],Inhalation_Exp[[#This Row],[Dust CT]])</f>
        <v>2.5000000000000001E-3</v>
      </c>
      <c r="P56" s="301">
        <f>(((N56)*ED_8)*WorkBreathRate)/IF(Inhalation_Exp[[#This Row],[Worker Type]]="Female of Reproductive Age",BW_F,BW_default)</f>
        <v>6.2500000000000001E-4</v>
      </c>
      <c r="Q56" s="301">
        <f>(((O56)*ED_8)*WorkBreathRate)/IF(Inhalation_Exp[[#This Row],[Worker Type]]="Female of Reproductive Age",BW_F,BW_default)</f>
        <v>3.1250000000000001E-4</v>
      </c>
      <c r="R56" s="301">
        <f>IF(EFID&gt;Inhalation_Exp[[#This Row],[ED_High-End]],Inhalation_Exp[[#This Row],[24hr_High-End]]*Inhalation_Exp[[#This Row],[ED_High-End]]/ID,Inhalation_Exp[[#This Row],[24hr_High-End]]*EFID/ID)</f>
        <v>8.3333333333333331E-5</v>
      </c>
      <c r="S56" s="301">
        <f>IF(EFID&gt;Inhalation_Exp[[#This Row],[ED_Central Tendency]],Inhalation_Exp[[#This Row],[24hr_Central Tendency]]*Inhalation_Exp[[#This Row],[ED_Central Tendency]]/ID,Inhalation_Exp[[#This Row],[24hr_Central Tendency]]*EFID/ID)</f>
        <v>2.0833333333333333E-5</v>
      </c>
      <c r="T56" s="301">
        <f t="shared" si="4"/>
        <v>6.8493150684931509E-6</v>
      </c>
      <c r="U56" s="301">
        <f t="shared" si="5"/>
        <v>1.7123287671232877E-6</v>
      </c>
      <c r="V56" s="275">
        <f t="shared" si="6"/>
        <v>3.5124692658939235E-6</v>
      </c>
      <c r="W56" s="275">
        <f t="shared" si="7"/>
        <v>6.8054092026694771E-7</v>
      </c>
      <c r="X56" s="276">
        <v>1</v>
      </c>
      <c r="Y56" s="276">
        <v>1</v>
      </c>
      <c r="Z56" s="382" t="s">
        <v>239</v>
      </c>
      <c r="AA56" s="416" t="s">
        <v>213</v>
      </c>
    </row>
    <row r="57" spans="1:27" ht="29" x14ac:dyDescent="0.35">
      <c r="A57" s="417"/>
      <c r="B57" s="418">
        <v>4</v>
      </c>
      <c r="C57" s="419" t="s">
        <v>167</v>
      </c>
      <c r="D57" s="415" t="s">
        <v>74</v>
      </c>
      <c r="E57" s="6" t="s">
        <v>211</v>
      </c>
      <c r="F57" s="6">
        <v>4</v>
      </c>
      <c r="G57" s="377">
        <v>2</v>
      </c>
      <c r="H57" s="461">
        <v>5.0000000000000001E-3</v>
      </c>
      <c r="I57" s="461">
        <v>2.5000000000000001E-3</v>
      </c>
      <c r="J57" s="461"/>
      <c r="K57" s="461"/>
      <c r="L57" s="461"/>
      <c r="M57" s="461"/>
      <c r="N57" s="368">
        <f>SUM(Inhalation_Exp[[#This Row],[Vapor HE]],Inhalation_Exp[[#This Row],[Mist HE]],Inhalation_Exp[[#This Row],[Dust HE]])</f>
        <v>5.0000000000000001E-3</v>
      </c>
      <c r="O57" s="368">
        <f>SUM(Inhalation_Exp[[#This Row],[Vapor CT]],Inhalation_Exp[[#This Row],[Mist CT]],Inhalation_Exp[[#This Row],[Dust CT]])</f>
        <v>2.5000000000000001E-3</v>
      </c>
      <c r="P57" s="301">
        <f>(((N57)*ED_8)*WorkBreathRate)/IF(Inhalation_Exp[[#This Row],[Worker Type]]="Female of Reproductive Age",BW_F,BW_default)</f>
        <v>6.9036934760096649E-4</v>
      </c>
      <c r="Q57" s="301">
        <f>(((O57)*ED_8)*WorkBreathRate)/IF(Inhalation_Exp[[#This Row],[Worker Type]]="Female of Reproductive Age",BW_F,BW_default)</f>
        <v>3.4518467380048324E-4</v>
      </c>
      <c r="R57" s="301">
        <f>IF(EFID&gt;Inhalation_Exp[[#This Row],[ED_High-End]],Inhalation_Exp[[#This Row],[24hr_High-End]]*Inhalation_Exp[[#This Row],[ED_High-End]]/ID,Inhalation_Exp[[#This Row],[24hr_High-End]]*EFID/ID)</f>
        <v>9.2049246346795528E-5</v>
      </c>
      <c r="S57" s="301">
        <f>IF(EFID&gt;Inhalation_Exp[[#This Row],[ED_Central Tendency]],Inhalation_Exp[[#This Row],[24hr_Central Tendency]]*Inhalation_Exp[[#This Row],[ED_Central Tendency]]/ID,Inhalation_Exp[[#This Row],[24hr_Central Tendency]]*EFID/ID)</f>
        <v>2.3012311586698882E-5</v>
      </c>
      <c r="T57" s="301">
        <f t="shared" si="4"/>
        <v>7.5656914805585368E-6</v>
      </c>
      <c r="U57" s="301">
        <f t="shared" si="5"/>
        <v>1.8914228701396344E-6</v>
      </c>
      <c r="V57" s="275">
        <f t="shared" si="6"/>
        <v>3.8798417849018136E-6</v>
      </c>
      <c r="W57" s="275">
        <f t="shared" si="7"/>
        <v>7.5171934582472646E-7</v>
      </c>
      <c r="X57" s="276">
        <v>1</v>
      </c>
      <c r="Y57" s="276">
        <v>1</v>
      </c>
      <c r="Z57" s="382" t="s">
        <v>239</v>
      </c>
      <c r="AA57" s="416" t="s">
        <v>213</v>
      </c>
    </row>
    <row r="58" spans="1:27" ht="29" x14ac:dyDescent="0.35">
      <c r="A58" s="417"/>
      <c r="B58" s="418">
        <v>4</v>
      </c>
      <c r="C58" s="419" t="s">
        <v>167</v>
      </c>
      <c r="D58" s="415" t="s">
        <v>94</v>
      </c>
      <c r="E58" s="6" t="s">
        <v>211</v>
      </c>
      <c r="F58" s="6">
        <v>4</v>
      </c>
      <c r="G58" s="377">
        <v>2</v>
      </c>
      <c r="H58" s="461">
        <v>2.5000000000000001E-3</v>
      </c>
      <c r="I58" s="461">
        <v>2.5000000000000001E-3</v>
      </c>
      <c r="J58" s="461"/>
      <c r="K58" s="461"/>
      <c r="L58" s="461"/>
      <c r="M58" s="461"/>
      <c r="N58" s="368">
        <f>SUM(Inhalation_Exp[[#This Row],[Vapor HE]],Inhalation_Exp[[#This Row],[Mist HE]],Inhalation_Exp[[#This Row],[Dust HE]])</f>
        <v>2.5000000000000001E-3</v>
      </c>
      <c r="O58" s="368">
        <f>SUM(Inhalation_Exp[[#This Row],[Vapor CT]],Inhalation_Exp[[#This Row],[Mist CT]],Inhalation_Exp[[#This Row],[Dust CT]])</f>
        <v>2.5000000000000001E-3</v>
      </c>
      <c r="P58" s="301">
        <f>(((N58)*ED_8)*WorkBreathRate)/IF(Inhalation_Exp[[#This Row],[Worker Type]]="Female of Reproductive Age",BW_F,BW_default)</f>
        <v>3.1250000000000001E-4</v>
      </c>
      <c r="Q58" s="301">
        <f>(((O58)*ED_8)*WorkBreathRate)/IF(Inhalation_Exp[[#This Row],[Worker Type]]="Female of Reproductive Age",BW_F,BW_default)</f>
        <v>3.1250000000000001E-4</v>
      </c>
      <c r="R58" s="301">
        <f>IF(EFID&gt;Inhalation_Exp[[#This Row],[ED_High-End]],Inhalation_Exp[[#This Row],[24hr_High-End]]*Inhalation_Exp[[#This Row],[ED_High-End]]/ID,Inhalation_Exp[[#This Row],[24hr_High-End]]*EFID/ID)</f>
        <v>4.1666666666666665E-5</v>
      </c>
      <c r="S58" s="301">
        <f>IF(EFID&gt;Inhalation_Exp[[#This Row],[ED_Central Tendency]],Inhalation_Exp[[#This Row],[24hr_Central Tendency]]*Inhalation_Exp[[#This Row],[ED_Central Tendency]]/ID,Inhalation_Exp[[#This Row],[24hr_Central Tendency]]*EFID/ID)</f>
        <v>2.0833333333333333E-5</v>
      </c>
      <c r="T58" s="301">
        <f t="shared" si="4"/>
        <v>3.4246575342465754E-6</v>
      </c>
      <c r="U58" s="301">
        <f t="shared" si="5"/>
        <v>1.7123287671232877E-6</v>
      </c>
      <c r="V58" s="275">
        <f t="shared" si="6"/>
        <v>1.7562346329469617E-6</v>
      </c>
      <c r="W58" s="275">
        <f t="shared" si="7"/>
        <v>6.8054092026694771E-7</v>
      </c>
      <c r="X58" s="276">
        <v>1</v>
      </c>
      <c r="Y58" s="276">
        <v>1</v>
      </c>
      <c r="Z58" s="382" t="s">
        <v>239</v>
      </c>
      <c r="AA58" s="416" t="s">
        <v>213</v>
      </c>
    </row>
    <row r="59" spans="1:27" ht="58" x14ac:dyDescent="0.35">
      <c r="A59" s="417"/>
      <c r="B59" s="418">
        <v>6</v>
      </c>
      <c r="C59" s="419" t="s">
        <v>240</v>
      </c>
      <c r="D59" s="415" t="s">
        <v>74</v>
      </c>
      <c r="E59" s="6" t="s">
        <v>211</v>
      </c>
      <c r="F59" s="6">
        <v>250</v>
      </c>
      <c r="G59" s="377">
        <v>250</v>
      </c>
      <c r="H59" s="461"/>
      <c r="I59" s="461"/>
      <c r="J59" s="461"/>
      <c r="K59" s="461"/>
      <c r="L59" s="192">
        <f>1.8*0.45</f>
        <v>0.81</v>
      </c>
      <c r="M59" s="192">
        <f>0.2*0.45</f>
        <v>9.0000000000000011E-2</v>
      </c>
      <c r="N59" s="324">
        <f>SUM(Inhalation_Exp[[#This Row],[Vapor HE]],Inhalation_Exp[[#This Row],[Mist HE]],Inhalation_Exp[[#This Row],[Dust HE]])</f>
        <v>0.81</v>
      </c>
      <c r="O59" s="368">
        <f>SUM(Inhalation_Exp[[#This Row],[Vapor CT]],Inhalation_Exp[[#This Row],[Mist CT]],Inhalation_Exp[[#This Row],[Dust CT]])</f>
        <v>9.0000000000000011E-2</v>
      </c>
      <c r="P59" s="275">
        <f>(((N59)*ED_8)*WorkBreathRate)/IF(Inhalation_Exp[[#This Row],[Worker Type]]="Female of Reproductive Age",BW_F,BW_default)</f>
        <v>0.11183983431135658</v>
      </c>
      <c r="Q59" s="301">
        <f>(((O59)*ED_8)*WorkBreathRate)/IF(Inhalation_Exp[[#This Row],[Worker Type]]="Female of Reproductive Age",BW_F,BW_default)</f>
        <v>1.2426648256817397E-2</v>
      </c>
      <c r="R59" s="301">
        <f>IF(EFID&gt;Inhalation_Exp[[#This Row],[ED_High-End]],Inhalation_Exp[[#This Row],[24hr_High-End]]*Inhalation_Exp[[#This Row],[ED_High-End]]/ID,Inhalation_Exp[[#This Row],[24hr_High-End]]*EFID/ID)</f>
        <v>8.2015878494994823E-2</v>
      </c>
      <c r="S59" s="301">
        <f>IF(EFID&gt;Inhalation_Exp[[#This Row],[ED_Central Tendency]],Inhalation_Exp[[#This Row],[24hr_Central Tendency]]*Inhalation_Exp[[#This Row],[ED_Central Tendency]]/ID,Inhalation_Exp[[#This Row],[24hr_Central Tendency]]*EFID/ID)</f>
        <v>9.1128753883327578E-3</v>
      </c>
      <c r="T59" s="301">
        <f t="shared" si="4"/>
        <v>7.6602626240655183E-2</v>
      </c>
      <c r="U59" s="301">
        <f t="shared" si="5"/>
        <v>8.5114029156283556E-3</v>
      </c>
      <c r="V59" s="275">
        <f t="shared" si="6"/>
        <v>3.9283398072130868E-2</v>
      </c>
      <c r="W59" s="275">
        <f t="shared" si="7"/>
        <v>3.3827370562112694E-3</v>
      </c>
      <c r="X59" s="276" t="s">
        <v>216</v>
      </c>
      <c r="Y59" s="276" t="s">
        <v>216</v>
      </c>
      <c r="Z59" s="376" t="s">
        <v>241</v>
      </c>
      <c r="AA59" s="416" t="s">
        <v>218</v>
      </c>
    </row>
    <row r="60" spans="1:27" ht="58" x14ac:dyDescent="0.35">
      <c r="A60" s="417"/>
      <c r="B60" s="418">
        <v>6</v>
      </c>
      <c r="C60" s="419" t="s">
        <v>240</v>
      </c>
      <c r="D60" s="415" t="s">
        <v>94</v>
      </c>
      <c r="E60" s="6" t="s">
        <v>211</v>
      </c>
      <c r="F60" s="6">
        <v>250</v>
      </c>
      <c r="G60" s="377">
        <v>250</v>
      </c>
      <c r="H60" s="461"/>
      <c r="I60" s="461"/>
      <c r="J60" s="461"/>
      <c r="K60" s="461"/>
      <c r="L60" s="192">
        <f>0.2*0.45</f>
        <v>9.0000000000000011E-2</v>
      </c>
      <c r="M60" s="192">
        <f>0.2*0.45</f>
        <v>9.0000000000000011E-2</v>
      </c>
      <c r="N60" s="368">
        <f>SUM(Inhalation_Exp[[#This Row],[Vapor HE]],Inhalation_Exp[[#This Row],[Mist HE]],Inhalation_Exp[[#This Row],[Dust HE]])</f>
        <v>9.0000000000000011E-2</v>
      </c>
      <c r="O60" s="368">
        <f>SUM(Inhalation_Exp[[#This Row],[Vapor CT]],Inhalation_Exp[[#This Row],[Mist CT]],Inhalation_Exp[[#This Row],[Dust CT]])</f>
        <v>9.0000000000000011E-2</v>
      </c>
      <c r="P60" s="301">
        <f>(((N60)*ED_8)*WorkBreathRate)/IF(Inhalation_Exp[[#This Row],[Worker Type]]="Female of Reproductive Age",BW_F,BW_default)</f>
        <v>1.1250000000000001E-2</v>
      </c>
      <c r="Q60" s="301">
        <f>(((O60)*ED_8)*WorkBreathRate)/IF(Inhalation_Exp[[#This Row],[Worker Type]]="Female of Reproductive Age",BW_F,BW_default)</f>
        <v>1.1250000000000001E-2</v>
      </c>
      <c r="R60" s="301">
        <f>IF(EFID&gt;Inhalation_Exp[[#This Row],[ED_High-End]],Inhalation_Exp[[#This Row],[24hr_High-End]]*Inhalation_Exp[[#This Row],[ED_High-End]]/ID,Inhalation_Exp[[#This Row],[24hr_High-End]]*EFID/ID)</f>
        <v>8.2500000000000004E-3</v>
      </c>
      <c r="S60" s="301">
        <f>IF(EFID&gt;Inhalation_Exp[[#This Row],[ED_Central Tendency]],Inhalation_Exp[[#This Row],[24hr_Central Tendency]]*Inhalation_Exp[[#This Row],[ED_Central Tendency]]/ID,Inhalation_Exp[[#This Row],[24hr_Central Tendency]]*EFID/ID)</f>
        <v>8.2500000000000004E-3</v>
      </c>
      <c r="T60" s="301">
        <f t="shared" si="4"/>
        <v>7.7054794520547958E-3</v>
      </c>
      <c r="U60" s="301">
        <f t="shared" si="5"/>
        <v>7.7054794520547958E-3</v>
      </c>
      <c r="V60" s="275">
        <f t="shared" si="6"/>
        <v>3.9515279241306642E-3</v>
      </c>
      <c r="W60" s="275">
        <f t="shared" si="7"/>
        <v>3.0624341412012648E-3</v>
      </c>
      <c r="X60" s="276" t="s">
        <v>216</v>
      </c>
      <c r="Y60" s="276" t="s">
        <v>216</v>
      </c>
      <c r="Z60" s="376" t="s">
        <v>241</v>
      </c>
      <c r="AA60" s="416" t="s">
        <v>218</v>
      </c>
    </row>
    <row r="61" spans="1:27" ht="58" x14ac:dyDescent="0.35">
      <c r="A61" s="417"/>
      <c r="B61" s="418">
        <v>6</v>
      </c>
      <c r="C61" s="419" t="s">
        <v>240</v>
      </c>
      <c r="D61" s="415" t="s">
        <v>214</v>
      </c>
      <c r="E61" s="6" t="s">
        <v>211</v>
      </c>
      <c r="F61" s="6">
        <v>250</v>
      </c>
      <c r="G61" s="377">
        <v>250</v>
      </c>
      <c r="H61" s="461"/>
      <c r="I61" s="461"/>
      <c r="J61" s="461"/>
      <c r="K61" s="461"/>
      <c r="L61" s="192">
        <f>1.8*0.45</f>
        <v>0.81</v>
      </c>
      <c r="M61" s="192">
        <f>0.2*0.45</f>
        <v>9.0000000000000011E-2</v>
      </c>
      <c r="N61" s="324">
        <f>SUM(Inhalation_Exp[[#This Row],[Vapor HE]],Inhalation_Exp[[#This Row],[Mist HE]],Inhalation_Exp[[#This Row],[Dust HE]])</f>
        <v>0.81</v>
      </c>
      <c r="O61" s="368">
        <f>SUM(Inhalation_Exp[[#This Row],[Vapor CT]],Inhalation_Exp[[#This Row],[Mist CT]],Inhalation_Exp[[#This Row],[Dust CT]])</f>
        <v>9.0000000000000011E-2</v>
      </c>
      <c r="P61" s="275">
        <f>(((N61)*ED_8)*WorkBreathRate)/IF(Inhalation_Exp[[#This Row],[Worker Type]]="Female of Reproductive Age",BW_F,BW_default)</f>
        <v>0.10125000000000002</v>
      </c>
      <c r="Q61" s="301">
        <f>(((O61)*ED_8)*WorkBreathRate)/IF(Inhalation_Exp[[#This Row],[Worker Type]]="Female of Reproductive Age",BW_F,BW_default)</f>
        <v>1.1250000000000001E-2</v>
      </c>
      <c r="R61" s="301">
        <f>IF(EFID&gt;Inhalation_Exp[[#This Row],[ED_High-End]],Inhalation_Exp[[#This Row],[24hr_High-End]]*Inhalation_Exp[[#This Row],[ED_High-End]]/ID,Inhalation_Exp[[#This Row],[24hr_High-End]]*EFID/ID)</f>
        <v>7.425000000000001E-2</v>
      </c>
      <c r="S61" s="301">
        <f>IF(EFID&gt;Inhalation_Exp[[#This Row],[ED_Central Tendency]],Inhalation_Exp[[#This Row],[24hr_Central Tendency]]*Inhalation_Exp[[#This Row],[ED_Central Tendency]]/ID,Inhalation_Exp[[#This Row],[24hr_Central Tendency]]*EFID/ID)</f>
        <v>8.2500000000000004E-3</v>
      </c>
      <c r="T61" s="301">
        <f t="shared" si="4"/>
        <v>6.9349315068493164E-2</v>
      </c>
      <c r="U61" s="301">
        <f t="shared" si="5"/>
        <v>7.7054794520547958E-3</v>
      </c>
      <c r="V61" s="275">
        <f t="shared" si="6"/>
        <v>3.5563751317175978E-2</v>
      </c>
      <c r="W61" s="275">
        <f t="shared" si="7"/>
        <v>3.0624341412012648E-3</v>
      </c>
      <c r="X61" s="276" t="s">
        <v>216</v>
      </c>
      <c r="Y61" s="276" t="s">
        <v>216</v>
      </c>
      <c r="Z61" s="376" t="s">
        <v>241</v>
      </c>
      <c r="AA61" s="416" t="s">
        <v>218</v>
      </c>
    </row>
    <row r="62" spans="1:27" ht="43.5" x14ac:dyDescent="0.35">
      <c r="A62" s="417"/>
      <c r="B62" s="418">
        <v>6</v>
      </c>
      <c r="C62" s="419" t="s">
        <v>242</v>
      </c>
      <c r="D62" s="415" t="s">
        <v>214</v>
      </c>
      <c r="E62" s="6" t="s">
        <v>211</v>
      </c>
      <c r="F62" s="6">
        <v>250</v>
      </c>
      <c r="G62" s="377">
        <v>223</v>
      </c>
      <c r="H62" s="461"/>
      <c r="I62" s="461"/>
      <c r="J62" s="461"/>
      <c r="K62" s="461"/>
      <c r="L62" s="405">
        <f>3.5*0.45</f>
        <v>1.575</v>
      </c>
      <c r="M62" s="405">
        <f t="shared" ref="M62:M67" si="8">0.24*0.45</f>
        <v>0.108</v>
      </c>
      <c r="N62" s="437">
        <f>SUM(Inhalation_Exp[[#This Row],[Vapor HE]],Inhalation_Exp[[#This Row],[Mist HE]],Inhalation_Exp[[#This Row],[Dust HE]])</f>
        <v>1.575</v>
      </c>
      <c r="O62" s="368">
        <f>SUM(Inhalation_Exp[[#This Row],[Vapor CT]],Inhalation_Exp[[#This Row],[Mist CT]],Inhalation_Exp[[#This Row],[Dust CT]])</f>
        <v>0.108</v>
      </c>
      <c r="P62" s="275">
        <f>(((N62)*ED_8)*WorkBreathRate)/IF(Inhalation_Exp[[#This Row],[Worker Type]]="Female of Reproductive Age",BW_F,BW_default)</f>
        <v>0.19687499999999999</v>
      </c>
      <c r="Q62" s="301">
        <f>(((O62)*ED_8)*WorkBreathRate)/IF(Inhalation_Exp[[#This Row],[Worker Type]]="Female of Reproductive Age",BW_F,BW_default)</f>
        <v>1.3500000000000002E-2</v>
      </c>
      <c r="R62" s="275">
        <f>IF(EFID&gt;Inhalation_Exp[[#This Row],[ED_High-End]],Inhalation_Exp[[#This Row],[24hr_High-End]]*Inhalation_Exp[[#This Row],[ED_High-End]]/ID,Inhalation_Exp[[#This Row],[24hr_High-End]]*EFID/ID)</f>
        <v>0.144375</v>
      </c>
      <c r="S62" s="301">
        <f>IF(EFID&gt;Inhalation_Exp[[#This Row],[ED_Central Tendency]],Inhalation_Exp[[#This Row],[24hr_Central Tendency]]*Inhalation_Exp[[#This Row],[ED_Central Tendency]]/ID,Inhalation_Exp[[#This Row],[24hr_Central Tendency]]*EFID/ID)</f>
        <v>9.9000000000000008E-3</v>
      </c>
      <c r="T62" s="275">
        <f t="shared" si="4"/>
        <v>0.1348458904109589</v>
      </c>
      <c r="U62" s="301">
        <f t="shared" si="5"/>
        <v>8.2479452054794525E-3</v>
      </c>
      <c r="V62" s="275">
        <f t="shared" si="6"/>
        <v>6.915173867228662E-2</v>
      </c>
      <c r="W62" s="275">
        <f t="shared" si="7"/>
        <v>3.2780295047418338E-3</v>
      </c>
      <c r="X62" s="276" t="s">
        <v>216</v>
      </c>
      <c r="Y62" s="276" t="s">
        <v>216</v>
      </c>
      <c r="Z62" s="376" t="s">
        <v>243</v>
      </c>
      <c r="AA62" s="416" t="s">
        <v>218</v>
      </c>
    </row>
    <row r="63" spans="1:27" ht="43.5" x14ac:dyDescent="0.35">
      <c r="A63" s="417"/>
      <c r="B63" s="418">
        <v>6</v>
      </c>
      <c r="C63" s="419" t="s">
        <v>242</v>
      </c>
      <c r="D63" s="415" t="s">
        <v>74</v>
      </c>
      <c r="E63" s="6" t="s">
        <v>211</v>
      </c>
      <c r="F63" s="6">
        <v>250</v>
      </c>
      <c r="G63" s="377">
        <v>223</v>
      </c>
      <c r="H63" s="461"/>
      <c r="I63" s="461"/>
      <c r="J63" s="461"/>
      <c r="K63" s="461"/>
      <c r="L63" s="405">
        <f>3.5*0.45</f>
        <v>1.575</v>
      </c>
      <c r="M63" s="405">
        <f t="shared" si="8"/>
        <v>0.108</v>
      </c>
      <c r="N63" s="437">
        <f>SUM(Inhalation_Exp[[#This Row],[Vapor HE]],Inhalation_Exp[[#This Row],[Mist HE]],Inhalation_Exp[[#This Row],[Dust HE]])</f>
        <v>1.575</v>
      </c>
      <c r="O63" s="368">
        <f>SUM(Inhalation_Exp[[#This Row],[Vapor CT]],Inhalation_Exp[[#This Row],[Mist CT]],Inhalation_Exp[[#This Row],[Dust CT]])</f>
        <v>0.108</v>
      </c>
      <c r="P63" s="275">
        <f>(((N63)*ED_8)*WorkBreathRate)/IF(Inhalation_Exp[[#This Row],[Worker Type]]="Female of Reproductive Age",BW_F,BW_default)</f>
        <v>0.21746634449430441</v>
      </c>
      <c r="Q63" s="301">
        <f>(((O63)*ED_8)*WorkBreathRate)/IF(Inhalation_Exp[[#This Row],[Worker Type]]="Female of Reproductive Age",BW_F,BW_default)</f>
        <v>1.4911977908180876E-2</v>
      </c>
      <c r="R63" s="275">
        <f>IF(EFID&gt;Inhalation_Exp[[#This Row],[ED_High-End]],Inhalation_Exp[[#This Row],[24hr_High-End]]*Inhalation_Exp[[#This Row],[ED_High-End]]/ID,Inhalation_Exp[[#This Row],[24hr_High-End]]*EFID/ID)</f>
        <v>0.15947531929582323</v>
      </c>
      <c r="S63" s="301">
        <f>IF(EFID&gt;Inhalation_Exp[[#This Row],[ED_Central Tendency]],Inhalation_Exp[[#This Row],[24hr_Central Tendency]]*Inhalation_Exp[[#This Row],[ED_Central Tendency]]/ID,Inhalation_Exp[[#This Row],[24hr_Central Tendency]]*EFID/ID)</f>
        <v>1.093545046599931E-2</v>
      </c>
      <c r="T63" s="275">
        <f t="shared" si="4"/>
        <v>0.14894955102349619</v>
      </c>
      <c r="U63" s="301">
        <f t="shared" si="5"/>
        <v>9.1106056808885894E-3</v>
      </c>
      <c r="V63" s="275">
        <f t="shared" si="6"/>
        <v>7.638438514025446E-2</v>
      </c>
      <c r="W63" s="275">
        <f t="shared" si="7"/>
        <v>3.620881744968542E-3</v>
      </c>
      <c r="X63" s="276" t="s">
        <v>216</v>
      </c>
      <c r="Y63" s="276" t="s">
        <v>216</v>
      </c>
      <c r="Z63" s="376" t="s">
        <v>243</v>
      </c>
      <c r="AA63" s="416" t="s">
        <v>218</v>
      </c>
    </row>
    <row r="64" spans="1:27" ht="43.5" x14ac:dyDescent="0.35">
      <c r="A64" s="417"/>
      <c r="B64" s="418">
        <v>6</v>
      </c>
      <c r="C64" s="419" t="s">
        <v>242</v>
      </c>
      <c r="D64" s="415" t="s">
        <v>94</v>
      </c>
      <c r="E64" s="6" t="s">
        <v>211</v>
      </c>
      <c r="F64" s="6">
        <v>250</v>
      </c>
      <c r="G64" s="377">
        <v>223</v>
      </c>
      <c r="H64" s="461"/>
      <c r="I64" s="461"/>
      <c r="J64" s="461"/>
      <c r="K64" s="461"/>
      <c r="L64" s="405">
        <f>0.24*0.45</f>
        <v>0.108</v>
      </c>
      <c r="M64" s="405">
        <f t="shared" si="8"/>
        <v>0.108</v>
      </c>
      <c r="N64" s="324">
        <f>SUM(Inhalation_Exp[[#This Row],[Vapor HE]],Inhalation_Exp[[#This Row],[Mist HE]],Inhalation_Exp[[#This Row],[Dust HE]])</f>
        <v>0.108</v>
      </c>
      <c r="O64" s="324">
        <f>SUM(Inhalation_Exp[[#This Row],[Vapor CT]],Inhalation_Exp[[#This Row],[Mist CT]],Inhalation_Exp[[#This Row],[Dust CT]])</f>
        <v>0.108</v>
      </c>
      <c r="P64" s="301">
        <f>(((N64)*ED_8)*WorkBreathRate)/IF(Inhalation_Exp[[#This Row],[Worker Type]]="Female of Reproductive Age",BW_F,BW_default)</f>
        <v>1.3500000000000002E-2</v>
      </c>
      <c r="Q64" s="301">
        <f>(((O64)*ED_8)*WorkBreathRate)/IF(Inhalation_Exp[[#This Row],[Worker Type]]="Female of Reproductive Age",BW_F,BW_default)</f>
        <v>1.3500000000000002E-2</v>
      </c>
      <c r="R64" s="301">
        <f>IF(EFID&gt;Inhalation_Exp[[#This Row],[ED_High-End]],Inhalation_Exp[[#This Row],[24hr_High-End]]*Inhalation_Exp[[#This Row],[ED_High-End]]/ID,Inhalation_Exp[[#This Row],[24hr_High-End]]*EFID/ID)</f>
        <v>9.9000000000000008E-3</v>
      </c>
      <c r="S64" s="301">
        <f>IF(EFID&gt;Inhalation_Exp[[#This Row],[ED_Central Tendency]],Inhalation_Exp[[#This Row],[24hr_Central Tendency]]*Inhalation_Exp[[#This Row],[ED_Central Tendency]]/ID,Inhalation_Exp[[#This Row],[24hr_Central Tendency]]*EFID/ID)</f>
        <v>9.9000000000000008E-3</v>
      </c>
      <c r="T64" s="301">
        <f t="shared" si="4"/>
        <v>9.2465753424657553E-3</v>
      </c>
      <c r="U64" s="301">
        <f t="shared" si="5"/>
        <v>8.2479452054794525E-3</v>
      </c>
      <c r="V64" s="275">
        <f t="shared" si="6"/>
        <v>4.7418335089567977E-3</v>
      </c>
      <c r="W64" s="275">
        <f t="shared" si="7"/>
        <v>3.2780295047418338E-3</v>
      </c>
      <c r="X64" s="276" t="s">
        <v>216</v>
      </c>
      <c r="Y64" s="276" t="s">
        <v>216</v>
      </c>
      <c r="Z64" s="376" t="s">
        <v>243</v>
      </c>
      <c r="AA64" s="416" t="s">
        <v>218</v>
      </c>
    </row>
    <row r="65" spans="1:27" ht="43.5" x14ac:dyDescent="0.35">
      <c r="A65" s="417"/>
      <c r="B65" s="418">
        <v>6</v>
      </c>
      <c r="C65" s="419" t="s">
        <v>244</v>
      </c>
      <c r="D65" s="415" t="s">
        <v>214</v>
      </c>
      <c r="E65" s="6" t="s">
        <v>211</v>
      </c>
      <c r="F65" s="6">
        <v>250</v>
      </c>
      <c r="G65" s="377">
        <v>250</v>
      </c>
      <c r="H65" s="461"/>
      <c r="I65" s="461"/>
      <c r="J65" s="461"/>
      <c r="K65" s="461"/>
      <c r="L65" s="405">
        <f>3.5*0.45</f>
        <v>1.575</v>
      </c>
      <c r="M65" s="405">
        <f t="shared" si="8"/>
        <v>0.108</v>
      </c>
      <c r="N65" s="437">
        <f>SUM(Inhalation_Exp[[#This Row],[Vapor HE]],Inhalation_Exp[[#This Row],[Mist HE]],Inhalation_Exp[[#This Row],[Dust HE]])</f>
        <v>1.575</v>
      </c>
      <c r="O65" s="324">
        <f>SUM(Inhalation_Exp[[#This Row],[Vapor CT]],Inhalation_Exp[[#This Row],[Mist CT]],Inhalation_Exp[[#This Row],[Dust CT]])</f>
        <v>0.108</v>
      </c>
      <c r="P65" s="275">
        <f>(((N65)*ED_8)*WorkBreathRate)/IF(Inhalation_Exp[[#This Row],[Worker Type]]="Female of Reproductive Age",BW_F,BW_default)</f>
        <v>0.19687499999999999</v>
      </c>
      <c r="Q65" s="301">
        <f>(((O65)*ED_8)*WorkBreathRate)/IF(Inhalation_Exp[[#This Row],[Worker Type]]="Female of Reproductive Age",BW_F,BW_default)</f>
        <v>1.3500000000000002E-2</v>
      </c>
      <c r="R65" s="275">
        <f>IF(EFID&gt;Inhalation_Exp[[#This Row],[ED_High-End]],Inhalation_Exp[[#This Row],[24hr_High-End]]*Inhalation_Exp[[#This Row],[ED_High-End]]/ID,Inhalation_Exp[[#This Row],[24hr_High-End]]*EFID/ID)</f>
        <v>0.144375</v>
      </c>
      <c r="S65" s="301">
        <f>IF(EFID&gt;Inhalation_Exp[[#This Row],[ED_Central Tendency]],Inhalation_Exp[[#This Row],[24hr_Central Tendency]]*Inhalation_Exp[[#This Row],[ED_Central Tendency]]/ID,Inhalation_Exp[[#This Row],[24hr_Central Tendency]]*EFID/ID)</f>
        <v>9.9000000000000008E-3</v>
      </c>
      <c r="T65" s="275">
        <f t="shared" si="4"/>
        <v>0.1348458904109589</v>
      </c>
      <c r="U65" s="301">
        <f t="shared" si="5"/>
        <v>9.2465753424657553E-3</v>
      </c>
      <c r="V65" s="275">
        <f t="shared" si="6"/>
        <v>6.915173867228662E-2</v>
      </c>
      <c r="W65" s="275">
        <f t="shared" si="7"/>
        <v>3.6749209694415179E-3</v>
      </c>
      <c r="X65" s="276" t="s">
        <v>216</v>
      </c>
      <c r="Y65" s="276" t="s">
        <v>216</v>
      </c>
      <c r="Z65" s="376" t="s">
        <v>243</v>
      </c>
      <c r="AA65" s="416" t="s">
        <v>218</v>
      </c>
    </row>
    <row r="66" spans="1:27" ht="43.5" x14ac:dyDescent="0.35">
      <c r="A66" s="417"/>
      <c r="B66" s="418">
        <v>6</v>
      </c>
      <c r="C66" s="419" t="s">
        <v>244</v>
      </c>
      <c r="D66" s="415" t="s">
        <v>74</v>
      </c>
      <c r="E66" s="6" t="s">
        <v>211</v>
      </c>
      <c r="F66" s="6">
        <v>250</v>
      </c>
      <c r="G66" s="377">
        <v>250</v>
      </c>
      <c r="H66" s="461"/>
      <c r="I66" s="461"/>
      <c r="J66" s="461"/>
      <c r="K66" s="461"/>
      <c r="L66" s="405">
        <f>3.5*0.45</f>
        <v>1.575</v>
      </c>
      <c r="M66" s="405">
        <f t="shared" si="8"/>
        <v>0.108</v>
      </c>
      <c r="N66" s="437">
        <f>SUM(Inhalation_Exp[[#This Row],[Vapor HE]],Inhalation_Exp[[#This Row],[Mist HE]],Inhalation_Exp[[#This Row],[Dust HE]])</f>
        <v>1.575</v>
      </c>
      <c r="O66" s="324">
        <f>SUM(Inhalation_Exp[[#This Row],[Vapor CT]],Inhalation_Exp[[#This Row],[Mist CT]],Inhalation_Exp[[#This Row],[Dust CT]])</f>
        <v>0.108</v>
      </c>
      <c r="P66" s="275">
        <f>(((N66)*ED_8)*WorkBreathRate)/IF(Inhalation_Exp[[#This Row],[Worker Type]]="Female of Reproductive Age",BW_F,BW_default)</f>
        <v>0.21746634449430441</v>
      </c>
      <c r="Q66" s="301">
        <f>(((O66)*ED_8)*WorkBreathRate)/IF(Inhalation_Exp[[#This Row],[Worker Type]]="Female of Reproductive Age",BW_F,BW_default)</f>
        <v>1.4911977908180876E-2</v>
      </c>
      <c r="R66" s="275">
        <f>IF(EFID&gt;Inhalation_Exp[[#This Row],[ED_High-End]],Inhalation_Exp[[#This Row],[24hr_High-End]]*Inhalation_Exp[[#This Row],[ED_High-End]]/ID,Inhalation_Exp[[#This Row],[24hr_High-End]]*EFID/ID)</f>
        <v>0.15947531929582323</v>
      </c>
      <c r="S66" s="301">
        <f>IF(EFID&gt;Inhalation_Exp[[#This Row],[ED_Central Tendency]],Inhalation_Exp[[#This Row],[24hr_Central Tendency]]*Inhalation_Exp[[#This Row],[ED_Central Tendency]]/ID,Inhalation_Exp[[#This Row],[24hr_Central Tendency]]*EFID/ID)</f>
        <v>1.093545046599931E-2</v>
      </c>
      <c r="T66" s="275">
        <f t="shared" si="4"/>
        <v>0.14894955102349619</v>
      </c>
      <c r="U66" s="301">
        <f t="shared" si="5"/>
        <v>1.0213683498754025E-2</v>
      </c>
      <c r="V66" s="275">
        <f t="shared" si="6"/>
        <v>7.638438514025446E-2</v>
      </c>
      <c r="W66" s="275">
        <f t="shared" si="7"/>
        <v>4.0592844674535227E-3</v>
      </c>
      <c r="X66" s="276" t="s">
        <v>216</v>
      </c>
      <c r="Y66" s="276" t="s">
        <v>216</v>
      </c>
      <c r="Z66" s="376" t="s">
        <v>243</v>
      </c>
      <c r="AA66" s="416" t="s">
        <v>218</v>
      </c>
    </row>
    <row r="67" spans="1:27" ht="44" thickBot="1" x14ac:dyDescent="0.4">
      <c r="A67" s="417"/>
      <c r="B67" s="424">
        <v>6</v>
      </c>
      <c r="C67" s="425" t="s">
        <v>244</v>
      </c>
      <c r="D67" s="415" t="s">
        <v>94</v>
      </c>
      <c r="E67" s="6" t="s">
        <v>211</v>
      </c>
      <c r="F67" s="6">
        <v>250</v>
      </c>
      <c r="G67" s="377">
        <v>250</v>
      </c>
      <c r="H67" s="461"/>
      <c r="I67" s="461"/>
      <c r="J67" s="461"/>
      <c r="K67" s="461"/>
      <c r="L67" s="405">
        <f>0.24*0.45</f>
        <v>0.108</v>
      </c>
      <c r="M67" s="405">
        <f t="shared" si="8"/>
        <v>0.108</v>
      </c>
      <c r="N67" s="324">
        <f>SUM(Inhalation_Exp[[#This Row],[Vapor HE]],Inhalation_Exp[[#This Row],[Mist HE]],Inhalation_Exp[[#This Row],[Dust HE]])</f>
        <v>0.108</v>
      </c>
      <c r="O67" s="324">
        <f>SUM(Inhalation_Exp[[#This Row],[Vapor CT]],Inhalation_Exp[[#This Row],[Mist CT]],Inhalation_Exp[[#This Row],[Dust CT]])</f>
        <v>0.108</v>
      </c>
      <c r="P67" s="301">
        <f>(((N67)*ED_8)*WorkBreathRate)/IF(Inhalation_Exp[[#This Row],[Worker Type]]="Female of Reproductive Age",BW_F,BW_default)</f>
        <v>1.3500000000000002E-2</v>
      </c>
      <c r="Q67" s="301">
        <f>(((O67)*ED_8)*WorkBreathRate)/IF(Inhalation_Exp[[#This Row],[Worker Type]]="Female of Reproductive Age",BW_F,BW_default)</f>
        <v>1.3500000000000002E-2</v>
      </c>
      <c r="R67" s="301">
        <f>IF(EFID&gt;Inhalation_Exp[[#This Row],[ED_High-End]],Inhalation_Exp[[#This Row],[24hr_High-End]]*Inhalation_Exp[[#This Row],[ED_High-End]]/ID,Inhalation_Exp[[#This Row],[24hr_High-End]]*EFID/ID)</f>
        <v>9.9000000000000008E-3</v>
      </c>
      <c r="S67" s="301">
        <f>IF(EFID&gt;Inhalation_Exp[[#This Row],[ED_Central Tendency]],Inhalation_Exp[[#This Row],[24hr_Central Tendency]]*Inhalation_Exp[[#This Row],[ED_Central Tendency]]/ID,Inhalation_Exp[[#This Row],[24hr_Central Tendency]]*EFID/ID)</f>
        <v>9.9000000000000008E-3</v>
      </c>
      <c r="T67" s="301">
        <f t="shared" si="4"/>
        <v>9.2465753424657553E-3</v>
      </c>
      <c r="U67" s="301">
        <f t="shared" si="5"/>
        <v>9.2465753424657553E-3</v>
      </c>
      <c r="V67" s="275">
        <f t="shared" si="6"/>
        <v>4.7418335089567977E-3</v>
      </c>
      <c r="W67" s="275">
        <f t="shared" si="7"/>
        <v>3.6749209694415179E-3</v>
      </c>
      <c r="X67" s="276" t="s">
        <v>216</v>
      </c>
      <c r="Y67" s="276" t="s">
        <v>216</v>
      </c>
      <c r="Z67" s="376" t="s">
        <v>243</v>
      </c>
      <c r="AA67" s="416" t="s">
        <v>218</v>
      </c>
    </row>
    <row r="68" spans="1:27" ht="14.5" x14ac:dyDescent="0.3">
      <c r="I68" s="321"/>
      <c r="J68" s="321"/>
      <c r="K68" s="321"/>
      <c r="L68" s="367"/>
      <c r="M68" s="367"/>
      <c r="N68" s="367"/>
    </row>
    <row r="69" spans="1:27" x14ac:dyDescent="0.3">
      <c r="E69" s="317"/>
      <c r="I69" s="2"/>
      <c r="J69" s="2"/>
      <c r="K69" s="2"/>
    </row>
    <row r="70" spans="1:27" x14ac:dyDescent="0.3">
      <c r="L70" s="8"/>
      <c r="M70" s="8"/>
      <c r="N70" s="8"/>
      <c r="R70" s="8"/>
      <c r="S70" s="8"/>
      <c r="U70" s="1"/>
      <c r="V70" s="1"/>
      <c r="W70" s="1"/>
    </row>
    <row r="71" spans="1:27" x14ac:dyDescent="0.3">
      <c r="L71" s="8"/>
      <c r="M71" s="8"/>
      <c r="N71" s="8"/>
      <c r="R71" s="8"/>
      <c r="S71" s="8"/>
      <c r="U71" s="1"/>
      <c r="V71" s="1"/>
      <c r="W71" s="1"/>
    </row>
    <row r="72" spans="1:27" x14ac:dyDescent="0.3">
      <c r="R72" s="8"/>
      <c r="S72" s="8"/>
      <c r="U72" s="1"/>
      <c r="V72" s="1"/>
      <c r="W72" s="1"/>
    </row>
    <row r="73" spans="1:27" x14ac:dyDescent="0.3">
      <c r="R73" s="8"/>
      <c r="S73" s="8"/>
      <c r="U73" s="1"/>
      <c r="V73" s="1"/>
      <c r="W73" s="1"/>
    </row>
    <row r="74" spans="1:27" x14ac:dyDescent="0.3">
      <c r="R74" s="8"/>
      <c r="S74" s="8"/>
      <c r="U74" s="1"/>
      <c r="V74" s="1"/>
      <c r="W74" s="1"/>
    </row>
    <row r="75" spans="1:27" x14ac:dyDescent="0.3">
      <c r="L75" s="317"/>
      <c r="M75" s="317"/>
      <c r="N75" s="317"/>
      <c r="O75" s="317" t="s">
        <v>245</v>
      </c>
      <c r="R75" s="8"/>
      <c r="S75" s="8"/>
      <c r="U75" s="1"/>
      <c r="V75" s="1"/>
      <c r="W75" s="1"/>
    </row>
    <row r="76" spans="1:27" x14ac:dyDescent="0.3">
      <c r="L76" s="8"/>
      <c r="M76" s="8"/>
      <c r="N76" s="8"/>
      <c r="R76" s="8"/>
      <c r="S76" s="8"/>
      <c r="U76" s="1"/>
      <c r="V76" s="1"/>
      <c r="W76" s="1"/>
    </row>
    <row r="77" spans="1:27" x14ac:dyDescent="0.3">
      <c r="I77" s="322"/>
      <c r="J77" s="322"/>
      <c r="K77" s="322"/>
    </row>
    <row r="78" spans="1:27" x14ac:dyDescent="0.3">
      <c r="I78" s="322"/>
      <c r="J78" s="322"/>
      <c r="K78" s="322"/>
    </row>
    <row r="79" spans="1:27" x14ac:dyDescent="0.3">
      <c r="I79" s="322"/>
      <c r="J79" s="322"/>
      <c r="K79" s="322"/>
    </row>
    <row r="80" spans="1:27" x14ac:dyDescent="0.3">
      <c r="I80" s="322"/>
      <c r="J80" s="322"/>
      <c r="K80" s="322"/>
    </row>
    <row r="81" spans="9:11" x14ac:dyDescent="0.3">
      <c r="I81" s="322"/>
      <c r="J81" s="322"/>
      <c r="K81" s="322"/>
    </row>
    <row r="82" spans="9:11" x14ac:dyDescent="0.3">
      <c r="I82" s="322"/>
      <c r="J82" s="322"/>
      <c r="K82" s="322"/>
    </row>
    <row r="83" spans="9:11" x14ac:dyDescent="0.3">
      <c r="I83" s="322"/>
      <c r="J83" s="322"/>
      <c r="K83" s="322"/>
    </row>
    <row r="84" spans="9:11" x14ac:dyDescent="0.3">
      <c r="I84" s="322"/>
      <c r="J84" s="322"/>
      <c r="K84" s="322"/>
    </row>
    <row r="85" spans="9:11" x14ac:dyDescent="0.3">
      <c r="I85" s="322"/>
      <c r="J85" s="322"/>
      <c r="K85" s="322"/>
    </row>
    <row r="86" spans="9:11" x14ac:dyDescent="0.3">
      <c r="I86" s="322"/>
      <c r="J86" s="322"/>
      <c r="K86" s="322"/>
    </row>
    <row r="87" spans="9:11" x14ac:dyDescent="0.3">
      <c r="I87" s="322"/>
      <c r="J87" s="322"/>
      <c r="K87" s="322"/>
    </row>
    <row r="88" spans="9:11" x14ac:dyDescent="0.3">
      <c r="I88" s="322"/>
      <c r="J88" s="322"/>
      <c r="K88" s="322"/>
    </row>
    <row r="89" spans="9:11" x14ac:dyDescent="0.3">
      <c r="I89" s="322"/>
      <c r="J89" s="322"/>
      <c r="K89" s="322"/>
    </row>
  </sheetData>
  <sheetProtection sheet="1" objects="1" scenarios="1" formatCells="0" formatColumns="0" formatRows="0"/>
  <mergeCells count="14">
    <mergeCell ref="V2:W2"/>
    <mergeCell ref="V3:W3"/>
    <mergeCell ref="R2:S2"/>
    <mergeCell ref="R3:S3"/>
    <mergeCell ref="P3:Q3"/>
    <mergeCell ref="T3:U3"/>
    <mergeCell ref="P2:Q2"/>
    <mergeCell ref="T2:U2"/>
    <mergeCell ref="F2:G3"/>
    <mergeCell ref="H2:I2"/>
    <mergeCell ref="J2:K2"/>
    <mergeCell ref="L2:M2"/>
    <mergeCell ref="N2:O2"/>
    <mergeCell ref="H3:O3"/>
  </mergeCells>
  <phoneticPr fontId="2" type="noConversion"/>
  <conditionalFormatting sqref="H5:H6">
    <cfRule type="cellIs" dxfId="229" priority="10" operator="greaterThan">
      <formula>10000</formula>
    </cfRule>
    <cfRule type="cellIs" dxfId="228" priority="11" operator="lessThan">
      <formula>0.1</formula>
    </cfRule>
    <cfRule type="cellIs" dxfId="227" priority="12" operator="between">
      <formula>10</formula>
      <formula>9999.999</formula>
    </cfRule>
  </conditionalFormatting>
  <conditionalFormatting sqref="H11:H12">
    <cfRule type="cellIs" dxfId="226" priority="7" operator="greaterThan">
      <formula>10000</formula>
    </cfRule>
    <cfRule type="cellIs" dxfId="225" priority="8" operator="lessThan">
      <formula>0.1</formula>
    </cfRule>
    <cfRule type="cellIs" dxfId="224" priority="9" operator="between">
      <formula>10</formula>
      <formula>9999.999</formula>
    </cfRule>
  </conditionalFormatting>
  <conditionalFormatting sqref="H50:H51">
    <cfRule type="cellIs" dxfId="223" priority="2" operator="lessThan">
      <formula>0.1</formula>
    </cfRule>
    <cfRule type="cellIs" dxfId="222" priority="3" operator="between">
      <formula>10</formula>
      <formula>9999.999</formula>
    </cfRule>
    <cfRule type="cellIs" dxfId="221" priority="1" operator="greaterThan">
      <formula>10000</formula>
    </cfRule>
  </conditionalFormatting>
  <conditionalFormatting sqref="H46:I46">
    <cfRule type="cellIs" dxfId="220" priority="120" operator="between">
      <formula>0.1</formula>
      <formula>0.999</formula>
    </cfRule>
    <cfRule type="cellIs" dxfId="219" priority="121" operator="between">
      <formula>1</formula>
      <formula>9.999</formula>
    </cfRule>
    <cfRule type="cellIs" dxfId="218" priority="119" operator="equal">
      <formula>0</formula>
    </cfRule>
    <cfRule type="cellIs" dxfId="217" priority="118" operator="lessThan">
      <formula>0.1</formula>
    </cfRule>
    <cfRule type="cellIs" dxfId="216" priority="123" operator="greaterThan">
      <formula>10000</formula>
    </cfRule>
    <cfRule type="cellIs" dxfId="215" priority="122" operator="between">
      <formula>10</formula>
      <formula>9999.999</formula>
    </cfRule>
  </conditionalFormatting>
  <conditionalFormatting sqref="H50:I52">
    <cfRule type="cellIs" dxfId="214" priority="4" operator="lessThan">
      <formula>0.1</formula>
    </cfRule>
    <cfRule type="cellIs" dxfId="213" priority="5" operator="between">
      <formula>10</formula>
      <formula>9999.999</formula>
    </cfRule>
    <cfRule type="cellIs" dxfId="212" priority="6" operator="greaterThan">
      <formula>10000</formula>
    </cfRule>
  </conditionalFormatting>
  <conditionalFormatting sqref="J46:K46">
    <cfRule type="cellIs" dxfId="211" priority="114" operator="between">
      <formula>0.1</formula>
      <formula>0.999</formula>
    </cfRule>
    <cfRule type="cellIs" dxfId="210" priority="115" operator="between">
      <formula>1</formula>
      <formula>9.999</formula>
    </cfRule>
    <cfRule type="cellIs" dxfId="209" priority="116" operator="between">
      <formula>10</formula>
      <formula>9999.999</formula>
    </cfRule>
    <cfRule type="cellIs" dxfId="208" priority="117" operator="greaterThan">
      <formula>10000</formula>
    </cfRule>
    <cfRule type="cellIs" dxfId="207" priority="112" operator="lessThan">
      <formula>0.1</formula>
    </cfRule>
    <cfRule type="cellIs" dxfId="206" priority="113" operator="equal">
      <formula>0</formula>
    </cfRule>
  </conditionalFormatting>
  <conditionalFormatting sqref="L5:M10 H5:K43 N5:W67 L32:M52 H47:K67 L56:M58 I68:K69 I77:K89">
    <cfRule type="cellIs" dxfId="205" priority="270" operator="between">
      <formula>0.1</formula>
      <formula>0.999</formula>
    </cfRule>
  </conditionalFormatting>
  <conditionalFormatting sqref="L5:M10 H5:K45 L14:M23 N5:O31 L32:O43 N44:O67">
    <cfRule type="cellIs" dxfId="204" priority="128" operator="between">
      <formula>10</formula>
      <formula>9999.999</formula>
    </cfRule>
  </conditionalFormatting>
  <conditionalFormatting sqref="L5:M10 N5:O31 H5:K45 L14:M23 L32:O43 N44:O67">
    <cfRule type="cellIs" dxfId="203" priority="129" operator="greaterThan">
      <formula>10000</formula>
    </cfRule>
  </conditionalFormatting>
  <conditionalFormatting sqref="L8:M10 L14:M23 H44:K45">
    <cfRule type="cellIs" dxfId="202" priority="125" operator="equal">
      <formula>0</formula>
    </cfRule>
    <cfRule type="cellIs" dxfId="201" priority="126" operator="between">
      <formula>0.1</formula>
      <formula>0.999</formula>
    </cfRule>
    <cfRule type="cellIs" dxfId="200" priority="127" operator="between">
      <formula>1</formula>
      <formula>9.999</formula>
    </cfRule>
  </conditionalFormatting>
  <conditionalFormatting sqref="L32:M52 L5:M10 H5:K45 N5:O67 L14:M23">
    <cfRule type="cellIs" dxfId="199" priority="124" operator="lessThan">
      <formula>0.1</formula>
    </cfRule>
  </conditionalFormatting>
  <conditionalFormatting sqref="L32:M55">
    <cfRule type="cellIs" dxfId="198" priority="20" operator="between">
      <formula>10</formula>
      <formula>9999.999</formula>
    </cfRule>
  </conditionalFormatting>
  <conditionalFormatting sqref="L32:M67">
    <cfRule type="cellIs" dxfId="197" priority="21" operator="greaterThan">
      <formula>10000</formula>
    </cfRule>
  </conditionalFormatting>
  <conditionalFormatting sqref="L50:M55">
    <cfRule type="cellIs" dxfId="196" priority="17" operator="equal">
      <formula>0</formula>
    </cfRule>
    <cfRule type="cellIs" dxfId="195" priority="18" operator="between">
      <formula>0.1</formula>
      <formula>0.999</formula>
    </cfRule>
    <cfRule type="cellIs" dxfId="194" priority="19" operator="between">
      <formula>1</formula>
      <formula>9.999</formula>
    </cfRule>
  </conditionalFormatting>
  <conditionalFormatting sqref="L50:M67">
    <cfRule type="cellIs" dxfId="193" priority="16" operator="lessThan">
      <formula>0.1</formula>
    </cfRule>
  </conditionalFormatting>
  <conditionalFormatting sqref="L56:M67">
    <cfRule type="cellIs" dxfId="192" priority="38" operator="between">
      <formula>10</formula>
      <formula>9999.999</formula>
    </cfRule>
  </conditionalFormatting>
  <conditionalFormatting sqref="L59:M67">
    <cfRule type="cellIs" dxfId="191" priority="37" operator="between">
      <formula>1</formula>
      <formula>9.999</formula>
    </cfRule>
    <cfRule type="cellIs" dxfId="190" priority="35" operator="equal">
      <formula>0</formula>
    </cfRule>
    <cfRule type="cellIs" dxfId="189" priority="36" operator="between">
      <formula>0.1</formula>
      <formula>0.999</formula>
    </cfRule>
  </conditionalFormatting>
  <conditionalFormatting sqref="N5:W67 H47:K67 I68:K69 I77:K89 L5:M10 H5:K43 L32:M52 L56:M58">
    <cfRule type="cellIs" dxfId="188" priority="269" operator="between">
      <formula>1</formula>
      <formula>9.999</formula>
    </cfRule>
  </conditionalFormatting>
  <conditionalFormatting sqref="P5:W67 H47:K67 I68:K69 I77:K89">
    <cfRule type="cellIs" dxfId="187" priority="252" operator="greaterThan">
      <formula>10000</formula>
    </cfRule>
    <cfRule type="cellIs" dxfId="186" priority="256" operator="lessThan">
      <formula>0.1</formula>
    </cfRule>
    <cfRule type="cellIs" dxfId="185" priority="268" operator="between">
      <formula>10</formula>
      <formula>9999.999</formula>
    </cfRule>
  </conditionalFormatting>
  <conditionalFormatting sqref="R5:S67">
    <cfRule type="cellIs" dxfId="184" priority="272" operator="between">
      <formula>1</formula>
      <formula>9.999</formula>
    </cfRule>
    <cfRule type="cellIs" dxfId="183" priority="273" operator="lessThan">
      <formula>0.1</formula>
    </cfRule>
    <cfRule type="cellIs" dxfId="182" priority="274" operator="between">
      <formula>0.1</formula>
      <formula>0.999</formula>
    </cfRule>
    <cfRule type="cellIs" dxfId="181" priority="275" operator="between">
      <formula>10</formula>
      <formula>9999.999</formula>
    </cfRule>
    <cfRule type="cellIs" dxfId="180" priority="276" operator="greaterThan">
      <formula>10000</formula>
    </cfRule>
  </conditionalFormatting>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36B110-8E01-4638-9919-60D7B952F7F3}">
  <sheetPr codeName="Sheet5">
    <tabColor theme="1"/>
  </sheetPr>
  <dimension ref="A1:R63"/>
  <sheetViews>
    <sheetView workbookViewId="0">
      <pane ySplit="3" topLeftCell="A4" activePane="bottomLeft" state="frozen"/>
      <selection pane="bottomLeft"/>
    </sheetView>
  </sheetViews>
  <sheetFormatPr defaultColWidth="14.81640625" defaultRowHeight="13" x14ac:dyDescent="0.3"/>
  <cols>
    <col min="1" max="1" width="7.26953125" style="1" customWidth="1"/>
    <col min="2" max="2" width="42.81640625" style="1" customWidth="1"/>
    <col min="3" max="3" width="29" style="1" customWidth="1"/>
    <col min="4" max="4" width="9.81640625" style="8" customWidth="1"/>
    <col min="5" max="5" width="12.26953125" style="8" customWidth="1"/>
    <col min="6" max="6" width="14.453125" style="1" customWidth="1"/>
    <col min="7" max="7" width="20" style="1" bestFit="1" customWidth="1"/>
    <col min="8" max="8" width="13.1796875" style="1" customWidth="1"/>
    <col min="9" max="9" width="17" style="1" customWidth="1"/>
    <col min="10" max="10" width="14" style="1" customWidth="1"/>
    <col min="11" max="11" width="16.453125" style="1" customWidth="1"/>
    <col min="12" max="12" width="14.26953125" style="1" customWidth="1"/>
    <col min="13" max="13" width="16.7265625" style="1" customWidth="1"/>
    <col min="14" max="14" width="13.26953125" style="1" customWidth="1"/>
    <col min="15" max="15" width="15.453125" style="1" customWidth="1"/>
    <col min="16" max="16" width="14.1796875" style="1" customWidth="1"/>
    <col min="17" max="16384" width="14.81640625" style="1"/>
  </cols>
  <sheetData>
    <row r="1" spans="1:18" ht="12.75" customHeight="1" x14ac:dyDescent="0.3">
      <c r="A1" s="682"/>
      <c r="D1" s="635" t="s">
        <v>175</v>
      </c>
      <c r="E1" s="635"/>
      <c r="F1" s="636" t="s">
        <v>246</v>
      </c>
      <c r="G1" s="637"/>
      <c r="H1" s="636" t="s">
        <v>247</v>
      </c>
      <c r="I1" s="637"/>
      <c r="J1" s="634" t="s">
        <v>248</v>
      </c>
      <c r="K1" s="634"/>
      <c r="L1" s="634" t="s">
        <v>249</v>
      </c>
      <c r="M1" s="634"/>
      <c r="N1" s="634" t="s">
        <v>250</v>
      </c>
      <c r="O1" s="634"/>
      <c r="P1" s="634" t="s">
        <v>251</v>
      </c>
      <c r="Q1" s="634"/>
    </row>
    <row r="2" spans="1:18" x14ac:dyDescent="0.3">
      <c r="B2" s="334"/>
      <c r="D2" s="635"/>
      <c r="E2" s="635"/>
      <c r="F2" s="638" t="s">
        <v>252</v>
      </c>
      <c r="G2" s="639"/>
      <c r="H2" s="638" t="s">
        <v>252</v>
      </c>
      <c r="I2" s="639"/>
      <c r="J2" s="634"/>
      <c r="K2" s="634"/>
      <c r="L2" s="634"/>
      <c r="M2" s="634"/>
      <c r="N2" s="634"/>
      <c r="O2" s="634"/>
      <c r="P2" s="634"/>
      <c r="Q2" s="634"/>
    </row>
    <row r="3" spans="1:18" ht="39" x14ac:dyDescent="0.3">
      <c r="A3" s="1" t="s">
        <v>253</v>
      </c>
      <c r="B3" s="333" t="s">
        <v>186</v>
      </c>
      <c r="C3" s="333" t="s">
        <v>168</v>
      </c>
      <c r="D3" s="366" t="s">
        <v>188</v>
      </c>
      <c r="E3" s="366" t="s">
        <v>189</v>
      </c>
      <c r="F3" s="310" t="s">
        <v>254</v>
      </c>
      <c r="G3" s="271" t="s">
        <v>255</v>
      </c>
      <c r="H3" s="470" t="s">
        <v>256</v>
      </c>
      <c r="I3" s="271" t="s">
        <v>257</v>
      </c>
      <c r="J3" s="469" t="s">
        <v>258</v>
      </c>
      <c r="K3" s="469" t="s">
        <v>259</v>
      </c>
      <c r="L3" s="469" t="s">
        <v>260</v>
      </c>
      <c r="M3" s="469" t="s">
        <v>261</v>
      </c>
      <c r="N3" s="469" t="s">
        <v>262</v>
      </c>
      <c r="O3" s="469" t="s">
        <v>263</v>
      </c>
      <c r="P3" s="469" t="s">
        <v>264</v>
      </c>
      <c r="Q3" s="469" t="s">
        <v>265</v>
      </c>
      <c r="R3" s="1" t="s">
        <v>184</v>
      </c>
    </row>
    <row r="4" spans="1:18" ht="14.5" x14ac:dyDescent="0.3">
      <c r="A4" s="318">
        <v>1</v>
      </c>
      <c r="B4" s="440" t="s">
        <v>219</v>
      </c>
      <c r="C4" s="274" t="s">
        <v>214</v>
      </c>
      <c r="D4" s="6">
        <v>250</v>
      </c>
      <c r="E4" s="377">
        <v>250</v>
      </c>
      <c r="F4" s="443">
        <v>6.6339999999999996E-2</v>
      </c>
      <c r="G4" s="301">
        <v>3.3169999999999998E-2</v>
      </c>
      <c r="H4" s="301"/>
      <c r="I4" s="301"/>
      <c r="J4" s="312">
        <f>IF(Dermal_Exp[[#This Row],[Worker Type]]&lt;&gt;"",(Dermal_Exp[[#This Row],[High-End Exposure to Liquid]]+Dermal_Exp[[#This Row],[High-End Exposure to Solids]]),"Not Assessed")</f>
        <v>6.6339999999999996E-2</v>
      </c>
      <c r="K4" s="453">
        <f>IF(Dermal_Exp[[#This Row],[Worker Type]]&lt;&gt;"",(Dermal_Exp[[#This Row],[ Central Tendency Exposure to Liquids]]+Dermal_Exp[[#This Row],[Central Tendency  Exposure to Solids]]),"Not Assessed")</f>
        <v>3.3169999999999998E-2</v>
      </c>
      <c r="L4" s="311">
        <f>IFERROR(Dermal_Exp[[#This Row],[High-End AD (mg/kg-day)]]*IF(Dermal_Exp[[#This Row],[ED_High-End]]&gt;EFID,EFID,Dermal_Exp[[#This Row],[ED_High-End]])/ID,"Not Assessed")</f>
        <v>4.8649333333333329E-2</v>
      </c>
      <c r="M4" s="311">
        <f>IFERROR(Dermal_Exp[[#This Row],[Central Tendency AD (mg/kg-day)]]*IF(Dermal_Exp[[#This Row],[ED_Central Tendency]]&gt;EFID,EFID,Dermal_Exp[[#This Row],[ED_Central Tendency]])/ID,"Not Assessed")</f>
        <v>2.4324666666666665E-2</v>
      </c>
      <c r="N4" s="313">
        <f>IFERROR(Dermal_Exp[[#This Row],[High-End AD (mg/kg-day)]]*Dermal_Exp[[#This Row],[ED_High-End]]*WY_high/(365*WY_high),"Not Assessed")</f>
        <v>4.5438356164383555E-2</v>
      </c>
      <c r="O4" s="313">
        <f>IFERROR(Dermal_Exp[[#This Row],[Central Tendency AD (mg/kg-day)]]*Dermal_Exp[[#This Row],[ED_Central Tendency]]*WY_mid/(365*WY_mid),"Not Assessed")</f>
        <v>2.2719178082191774E-2</v>
      </c>
      <c r="P4" s="313">
        <f>IFERROR(Dermal_Exp[[#This Row],[High-End AD (mg/kg-day)]]*Dermal_Exp[[#This Row],[ED_High-End]]*WY_high/(365*LT),"Not Assessed")</f>
        <v>2.3301721109940284E-2</v>
      </c>
      <c r="Q4" s="313">
        <f>IFERROR(Dermal_Exp[[#This Row],[Central Tendency AD (mg/kg-day)]]*Dermal_Exp[[#This Row],[ED_Central Tendency]]*WY_mid/(365*LT),"Not Assessed")</f>
        <v>9.0294169301018603E-3</v>
      </c>
      <c r="R4" s="369">
        <f>Dermal_Exp[[#This Row],[High-End AD (mg/kg-day)]]*80</f>
        <v>5.3071999999999999</v>
      </c>
    </row>
    <row r="5" spans="1:18" ht="14.5" x14ac:dyDescent="0.3">
      <c r="A5" s="318">
        <v>1</v>
      </c>
      <c r="B5" s="440" t="s">
        <v>219</v>
      </c>
      <c r="C5" s="274" t="s">
        <v>74</v>
      </c>
      <c r="D5" s="6">
        <v>250</v>
      </c>
      <c r="E5" s="377">
        <v>250</v>
      </c>
      <c r="F5" s="301">
        <v>6.0972375690607726E-2</v>
      </c>
      <c r="G5" s="301">
        <v>3.0486187845303863E-2</v>
      </c>
      <c r="H5" s="379"/>
      <c r="I5" s="379"/>
      <c r="J5" s="312">
        <f>IF(Dermal_Exp[[#This Row],[Worker Type]]&lt;&gt;"",(Dermal_Exp[[#This Row],[High-End Exposure to Liquid]]+Dermal_Exp[[#This Row],[High-End Exposure to Solids]]),"Not Assessed")</f>
        <v>6.0972375690607726E-2</v>
      </c>
      <c r="K5" s="312">
        <f>IF(Dermal_Exp[[#This Row],[Worker Type]]&lt;&gt;"",(Dermal_Exp[[#This Row],[ Central Tendency Exposure to Liquids]]+Dermal_Exp[[#This Row],[Central Tendency  Exposure to Solids]]),"Not Assessed")</f>
        <v>3.0486187845303863E-2</v>
      </c>
      <c r="L5" s="311">
        <f>IFERROR(Dermal_Exp[[#This Row],[High-End AD (mg/kg-day)]]*IF(Dermal_Exp[[#This Row],[ED_High-End]]&gt;EFID,EFID,Dermal_Exp[[#This Row],[ED_High-End]])/ID,"Not Assessed")</f>
        <v>4.4713075506445668E-2</v>
      </c>
      <c r="M5" s="311">
        <f>IFERROR(Dermal_Exp[[#This Row],[Central Tendency AD (mg/kg-day)]]*IF(Dermal_Exp[[#This Row],[ED_Central Tendency]]&gt;EFID,EFID,Dermal_Exp[[#This Row],[ED_Central Tendency]])/ID,"Not Assessed")</f>
        <v>2.2356537753222834E-2</v>
      </c>
      <c r="N5" s="313">
        <f>IFERROR(Dermal_Exp[[#This Row],[High-End AD (mg/kg-day)]]*Dermal_Exp[[#This Row],[ED_High-End]]*WY_high/(365*WY_high),"Not Assessed")</f>
        <v>4.1761901157950497E-2</v>
      </c>
      <c r="O5" s="313">
        <f>IFERROR(Dermal_Exp[[#This Row],[Central Tendency AD (mg/kg-day)]]*Dermal_Exp[[#This Row],[ED_Central Tendency]]*WY_mid/(365*WY_mid),"Not Assessed")</f>
        <v>2.0880950578975249E-2</v>
      </c>
      <c r="P5" s="313">
        <f>IFERROR(Dermal_Exp[[#This Row],[High-End AD (mg/kg-day)]]*Dermal_Exp[[#This Row],[ED_High-End]]*WY_high/(365*LT),"Not Assessed")</f>
        <v>2.1416359568179742E-2</v>
      </c>
      <c r="Q5" s="313">
        <f>IFERROR(Dermal_Exp[[#This Row],[Central Tendency AD (mg/kg-day)]]*Dermal_Exp[[#This Row],[ED_Central Tendency]]*WY_mid/(365*LT),"Not Assessed")</f>
        <v>8.2988393326696493E-3</v>
      </c>
      <c r="R5" s="369">
        <f>Dermal_Exp[[#This Row],[High-End AD (mg/kg-day)]]*80</f>
        <v>4.8777900552486182</v>
      </c>
    </row>
    <row r="6" spans="1:18" ht="14.5" x14ac:dyDescent="0.3">
      <c r="A6" s="318">
        <v>1</v>
      </c>
      <c r="B6" s="440" t="s">
        <v>210</v>
      </c>
      <c r="C6" s="274" t="s">
        <v>214</v>
      </c>
      <c r="D6" s="6">
        <v>250</v>
      </c>
      <c r="E6" s="377">
        <v>208</v>
      </c>
      <c r="F6" s="443">
        <v>6.6339999999999996E-2</v>
      </c>
      <c r="G6" s="301">
        <v>3.3169999999999998E-2</v>
      </c>
      <c r="H6" s="379"/>
      <c r="I6" s="379"/>
      <c r="J6" s="312">
        <f>IF(Dermal_Exp[[#This Row],[Worker Type]]&lt;&gt;"",(Dermal_Exp[[#This Row],[High-End Exposure to Liquid]]+Dermal_Exp[[#This Row],[High-End Exposure to Solids]]),"Not Assessed")</f>
        <v>6.6339999999999996E-2</v>
      </c>
      <c r="K6" s="312">
        <f>IF(Dermal_Exp[[#This Row],[Worker Type]]&lt;&gt;"",(Dermal_Exp[[#This Row],[ Central Tendency Exposure to Liquids]]+Dermal_Exp[[#This Row],[Central Tendency  Exposure to Solids]]),"Not Assessed")</f>
        <v>3.3169999999999998E-2</v>
      </c>
      <c r="L6" s="311">
        <f>IFERROR(Dermal_Exp[[#This Row],[High-End AD (mg/kg-day)]]*IF(Dermal_Exp[[#This Row],[ED_High-End]]&gt;EFID,EFID,Dermal_Exp[[#This Row],[ED_High-End]])/ID,"Not Assessed")</f>
        <v>4.8649333333333329E-2</v>
      </c>
      <c r="M6" s="311">
        <f>IFERROR(Dermal_Exp[[#This Row],[Central Tendency AD (mg/kg-day)]]*IF(Dermal_Exp[[#This Row],[ED_Central Tendency]]&gt;EFID,EFID,Dermal_Exp[[#This Row],[ED_Central Tendency]])/ID,"Not Assessed")</f>
        <v>2.4324666666666665E-2</v>
      </c>
      <c r="N6" s="313">
        <f>IFERROR(Dermal_Exp[[#This Row],[High-End AD (mg/kg-day)]]*Dermal_Exp[[#This Row],[ED_High-End]]*WY_high/(365*WY_high),"Not Assessed")</f>
        <v>4.5438356164383555E-2</v>
      </c>
      <c r="O6" s="313">
        <f>IFERROR(Dermal_Exp[[#This Row],[Central Tendency AD (mg/kg-day)]]*Dermal_Exp[[#This Row],[ED_Central Tendency]]*WY_mid/(365*WY_mid),"Not Assessed")</f>
        <v>1.8902356164383561E-2</v>
      </c>
      <c r="P6" s="313">
        <f>IFERROR(Dermal_Exp[[#This Row],[High-End AD (mg/kg-day)]]*Dermal_Exp[[#This Row],[ED_High-End]]*WY_high/(365*LT),"Not Assessed")</f>
        <v>2.3301721109940284E-2</v>
      </c>
      <c r="Q6" s="313">
        <f>IFERROR(Dermal_Exp[[#This Row],[Central Tendency AD (mg/kg-day)]]*Dermal_Exp[[#This Row],[ED_Central Tendency]]*WY_mid/(365*LT),"Not Assessed")</f>
        <v>7.5124748858447481E-3</v>
      </c>
      <c r="R6" s="369">
        <f>Dermal_Exp[[#This Row],[High-End AD (mg/kg-day)]]*80</f>
        <v>5.3071999999999999</v>
      </c>
    </row>
    <row r="7" spans="1:18" ht="14.5" x14ac:dyDescent="0.3">
      <c r="A7" s="318">
        <v>1</v>
      </c>
      <c r="B7" s="440" t="s">
        <v>210</v>
      </c>
      <c r="C7" s="274" t="s">
        <v>74</v>
      </c>
      <c r="D7" s="6">
        <v>250</v>
      </c>
      <c r="E7" s="377">
        <v>208</v>
      </c>
      <c r="F7" s="301">
        <v>6.0972375690607726E-2</v>
      </c>
      <c r="G7" s="301">
        <v>3.0486187845303863E-2</v>
      </c>
      <c r="H7" s="379"/>
      <c r="I7" s="379"/>
      <c r="J7" s="312">
        <f>IF(Dermal_Exp[[#This Row],[Worker Type]]&lt;&gt;"",(Dermal_Exp[[#This Row],[High-End Exposure to Liquid]]+Dermal_Exp[[#This Row],[High-End Exposure to Solids]]),"Not Assessed")</f>
        <v>6.0972375690607726E-2</v>
      </c>
      <c r="K7" s="301">
        <f>IF(Dermal_Exp[[#This Row],[Worker Type]]&lt;&gt;"",(Dermal_Exp[[#This Row],[ Central Tendency Exposure to Liquids]]+Dermal_Exp[[#This Row],[Central Tendency  Exposure to Solids]]),"Not Assessed")</f>
        <v>3.0486187845303863E-2</v>
      </c>
      <c r="L7" s="311">
        <f>IFERROR(Dermal_Exp[[#This Row],[High-End AD (mg/kg-day)]]*IF(Dermal_Exp[[#This Row],[ED_High-End]]&gt;EFID,EFID,Dermal_Exp[[#This Row],[ED_High-End]])/ID,"Not Assessed")</f>
        <v>4.4713075506445668E-2</v>
      </c>
      <c r="M7" s="311">
        <f>IFERROR(Dermal_Exp[[#This Row],[Central Tendency AD (mg/kg-day)]]*IF(Dermal_Exp[[#This Row],[ED_Central Tendency]]&gt;EFID,EFID,Dermal_Exp[[#This Row],[ED_Central Tendency]])/ID,"Not Assessed")</f>
        <v>2.2356537753222834E-2</v>
      </c>
      <c r="N7" s="323">
        <f>IFERROR(Dermal_Exp[[#This Row],[High-End AD (mg/kg-day)]]*Dermal_Exp[[#This Row],[ED_High-End]]*WY_high/(365*WY_high),"Not Assessed")</f>
        <v>4.1761901157950497E-2</v>
      </c>
      <c r="O7" s="323">
        <f>IFERROR(Dermal_Exp[[#This Row],[Central Tendency AD (mg/kg-day)]]*Dermal_Exp[[#This Row],[ED_Central Tendency]]*WY_mid/(365*WY_mid),"Not Assessed")</f>
        <v>1.7372950881707407E-2</v>
      </c>
      <c r="P7" s="323">
        <f>IFERROR(Dermal_Exp[[#This Row],[High-End AD (mg/kg-day)]]*Dermal_Exp[[#This Row],[ED_High-End]]*WY_high/(365*LT),"Not Assessed")</f>
        <v>2.1416359568179742E-2</v>
      </c>
      <c r="Q7" s="313">
        <f>IFERROR(Dermal_Exp[[#This Row],[Central Tendency AD (mg/kg-day)]]*Dermal_Exp[[#This Row],[ED_Central Tendency]]*WY_mid/(365*LT),"Not Assessed")</f>
        <v>6.9046343247811497E-3</v>
      </c>
      <c r="R7" s="369">
        <f>Dermal_Exp[[#This Row],[High-End AD (mg/kg-day)]]*80</f>
        <v>4.8777900552486182</v>
      </c>
    </row>
    <row r="8" spans="1:18" ht="14.5" x14ac:dyDescent="0.3">
      <c r="A8" s="318">
        <v>1</v>
      </c>
      <c r="B8" s="440" t="s">
        <v>215</v>
      </c>
      <c r="C8" s="274" t="s">
        <v>214</v>
      </c>
      <c r="D8" s="6">
        <v>250</v>
      </c>
      <c r="E8" s="377">
        <v>208</v>
      </c>
      <c r="F8" s="301"/>
      <c r="G8" s="301"/>
      <c r="H8" s="301">
        <v>1.1909099999999999E-2</v>
      </c>
      <c r="I8" s="301">
        <v>5.9545499999999994E-3</v>
      </c>
      <c r="J8" s="312">
        <f>IF(Dermal_Exp[[#This Row],[Worker Type]]&lt;&gt;"",(Dermal_Exp[[#This Row],[High-End Exposure to Liquid]]+Dermal_Exp[[#This Row],[High-End Exposure to Solids]]),"Not Assessed")</f>
        <v>1.1909099999999999E-2</v>
      </c>
      <c r="K8" s="301">
        <f>IF(Dermal_Exp[[#This Row],[Worker Type]]&lt;&gt;"",(Dermal_Exp[[#This Row],[ Central Tendency Exposure to Liquids]]+Dermal_Exp[[#This Row],[Central Tendency  Exposure to Solids]]),"Not Assessed")</f>
        <v>5.9545499999999994E-3</v>
      </c>
      <c r="L8" s="311">
        <f>IFERROR(Dermal_Exp[[#This Row],[High-End AD (mg/kg-day)]]*IF(Dermal_Exp[[#This Row],[ED_High-End]]&gt;EFID,EFID,Dermal_Exp[[#This Row],[ED_High-End]])/ID,"Not Assessed")</f>
        <v>8.7333399999999992E-3</v>
      </c>
      <c r="M8" s="311">
        <f>IFERROR(Dermal_Exp[[#This Row],[Central Tendency AD (mg/kg-day)]]*IF(Dermal_Exp[[#This Row],[ED_Central Tendency]]&gt;EFID,EFID,Dermal_Exp[[#This Row],[ED_Central Tendency]])/ID,"Not Assessed")</f>
        <v>4.3666699999999996E-3</v>
      </c>
      <c r="N8" s="323">
        <f>IFERROR(Dermal_Exp[[#This Row],[High-End AD (mg/kg-day)]]*Dermal_Exp[[#This Row],[ED_High-End]]*WY_high/(365*WY_high),"Not Assessed")</f>
        <v>8.156917808219177E-3</v>
      </c>
      <c r="O8" s="323">
        <f>IFERROR(Dermal_Exp[[#This Row],[Central Tendency AD (mg/kg-day)]]*Dermal_Exp[[#This Row],[ED_Central Tendency]]*WY_mid/(365*WY_mid),"Not Assessed")</f>
        <v>3.3932778082191783E-3</v>
      </c>
      <c r="P8" s="323">
        <f>IFERROR(Dermal_Exp[[#This Row],[High-End AD (mg/kg-day)]]*Dermal_Exp[[#This Row],[ED_High-End]]*WY_high/(365*LT),"Not Assessed")</f>
        <v>4.1830347734457315E-3</v>
      </c>
      <c r="Q8" s="313">
        <f>IFERROR(Dermal_Exp[[#This Row],[Central Tendency AD (mg/kg-day)]]*Dermal_Exp[[#This Row],[ED_Central Tendency]]*WY_mid/(365*LT),"Not Assessed")</f>
        <v>1.3486104109589041E-3</v>
      </c>
      <c r="R8" s="369">
        <f>Dermal_Exp[[#This Row],[High-End AD (mg/kg-day)]]*80</f>
        <v>0.95272799999999991</v>
      </c>
    </row>
    <row r="9" spans="1:18" ht="14.5" x14ac:dyDescent="0.3">
      <c r="A9" s="318">
        <v>1</v>
      </c>
      <c r="B9" s="440" t="s">
        <v>215</v>
      </c>
      <c r="C9" s="274" t="s">
        <v>74</v>
      </c>
      <c r="D9" s="6">
        <v>250</v>
      </c>
      <c r="E9" s="377">
        <v>208</v>
      </c>
      <c r="F9" s="301"/>
      <c r="G9" s="301"/>
      <c r="H9" s="301">
        <v>1.0945524861878452E-2</v>
      </c>
      <c r="I9" s="301">
        <v>5.4727624309392261E-3</v>
      </c>
      <c r="J9" s="312">
        <f>IF(Dermal_Exp[[#This Row],[Worker Type]]&lt;&gt;"",(Dermal_Exp[[#This Row],[High-End Exposure to Liquid]]+Dermal_Exp[[#This Row],[High-End Exposure to Solids]]),"Not Assessed")</f>
        <v>1.0945524861878452E-2</v>
      </c>
      <c r="K9" s="301">
        <f>IF(Dermal_Exp[[#This Row],[Worker Type]]&lt;&gt;"",(Dermal_Exp[[#This Row],[ Central Tendency Exposure to Liquids]]+Dermal_Exp[[#This Row],[Central Tendency  Exposure to Solids]]),"Not Assessed")</f>
        <v>5.4727624309392261E-3</v>
      </c>
      <c r="L9" s="311">
        <f>IFERROR(Dermal_Exp[[#This Row],[High-End AD (mg/kg-day)]]*IF(Dermal_Exp[[#This Row],[ED_High-End]]&gt;EFID,EFID,Dermal_Exp[[#This Row],[ED_High-End]])/ID,"Not Assessed")</f>
        <v>8.0267182320441985E-3</v>
      </c>
      <c r="M9" s="311">
        <f>IFERROR(Dermal_Exp[[#This Row],[Central Tendency AD (mg/kg-day)]]*IF(Dermal_Exp[[#This Row],[ED_Central Tendency]]&gt;EFID,EFID,Dermal_Exp[[#This Row],[ED_Central Tendency]])/ID,"Not Assessed")</f>
        <v>4.0133591160220992E-3</v>
      </c>
      <c r="N9" s="301">
        <f>IFERROR(Dermal_Exp[[#This Row],[High-End AD (mg/kg-day)]]*Dermal_Exp[[#This Row],[ED_High-End]]*WY_high/(365*WY_high),"Not Assessed")</f>
        <v>7.4969348369030497E-3</v>
      </c>
      <c r="O9" s="301">
        <f>IFERROR(Dermal_Exp[[#This Row],[Central Tendency AD (mg/kg-day)]]*Dermal_Exp[[#This Row],[ED_Central Tendency]]*WY_mid/(365*WY_mid),"Not Assessed")</f>
        <v>3.1187248921516687E-3</v>
      </c>
      <c r="P9" s="301">
        <f>IFERROR(Dermal_Exp[[#This Row],[High-End AD (mg/kg-day)]]*Dermal_Exp[[#This Row],[ED_High-End]]*WY_high/(365*LT),"Not Assessed")</f>
        <v>3.8445819676425894E-3</v>
      </c>
      <c r="Q9" s="313">
        <f>IFERROR(Dermal_Exp[[#This Row],[Central Tendency AD (mg/kg-day)]]*Dermal_Exp[[#This Row],[ED_Central Tendency]]*WY_mid/(365*LT),"Not Assessed")</f>
        <v>1.239493226367971E-3</v>
      </c>
      <c r="R9" s="369">
        <f>Dermal_Exp[[#This Row],[High-End AD (mg/kg-day)]]*80</f>
        <v>0.87564198895027623</v>
      </c>
    </row>
    <row r="10" spans="1:18" ht="14.5" x14ac:dyDescent="0.3">
      <c r="A10" s="318">
        <v>1</v>
      </c>
      <c r="B10" s="440" t="s">
        <v>215</v>
      </c>
      <c r="C10" s="274" t="s">
        <v>94</v>
      </c>
      <c r="D10" s="6">
        <v>250</v>
      </c>
      <c r="E10" s="377">
        <v>208</v>
      </c>
      <c r="F10" s="301"/>
      <c r="G10" s="301"/>
      <c r="H10" s="301">
        <v>2.9828399999999996E-3</v>
      </c>
      <c r="I10" s="301">
        <v>2.9828399999999996E-3</v>
      </c>
      <c r="J10" s="312">
        <f>IF(Dermal_Exp[[#This Row],[Worker Type]]&lt;&gt;"",(Dermal_Exp[[#This Row],[High-End Exposure to Liquid]]+Dermal_Exp[[#This Row],[High-End Exposure to Solids]]),"Not Assessed")</f>
        <v>2.9828399999999996E-3</v>
      </c>
      <c r="K10" s="338">
        <f>IF(Dermal_Exp[[#This Row],[Worker Type]]&lt;&gt;"",(Dermal_Exp[[#This Row],[ Central Tendency Exposure to Liquids]]+Dermal_Exp[[#This Row],[Central Tendency  Exposure to Solids]]),"Not Assessed")</f>
        <v>2.9828399999999996E-3</v>
      </c>
      <c r="L10" s="311">
        <f>IFERROR(Dermal_Exp[[#This Row],[High-End AD (mg/kg-day)]]*IF(Dermal_Exp[[#This Row],[ED_High-End]]&gt;EFID,EFID,Dermal_Exp[[#This Row],[ED_High-End]])/ID,"Not Assessed")</f>
        <v>2.1874159999999998E-3</v>
      </c>
      <c r="M10" s="311">
        <f>IFERROR(Dermal_Exp[[#This Row],[Central Tendency AD (mg/kg-day)]]*IF(Dermal_Exp[[#This Row],[ED_Central Tendency]]&gt;EFID,EFID,Dermal_Exp[[#This Row],[ED_Central Tendency]])/ID,"Not Assessed")</f>
        <v>2.1874159999999998E-3</v>
      </c>
      <c r="N10" s="301">
        <f>IFERROR(Dermal_Exp[[#This Row],[High-End AD (mg/kg-day)]]*Dermal_Exp[[#This Row],[ED_High-End]]*WY_high/(365*WY_high),"Not Assessed")</f>
        <v>2.0430410958904104E-3</v>
      </c>
      <c r="O10" s="301">
        <f>IFERROR(Dermal_Exp[[#This Row],[Central Tendency AD (mg/kg-day)]]*Dermal_Exp[[#This Row],[ED_Central Tendency]]*WY_mid/(365*WY_mid),"Not Assessed")</f>
        <v>1.6998101917808214E-3</v>
      </c>
      <c r="P10" s="301">
        <f>IFERROR(Dermal_Exp[[#This Row],[High-End AD (mg/kg-day)]]*Dermal_Exp[[#This Row],[ED_High-End]]*WY_high/(365*LT),"Not Assessed")</f>
        <v>1.047713382507903E-3</v>
      </c>
      <c r="Q10" s="313">
        <f>IFERROR(Dermal_Exp[[#This Row],[Central Tendency AD (mg/kg-day)]]*Dermal_Exp[[#This Row],[ED_Central Tendency]]*WY_mid/(365*LT),"Not Assessed")</f>
        <v>6.7556558904109567E-4</v>
      </c>
      <c r="R10" s="369">
        <f>Dermal_Exp[[#This Row],[High-End AD (mg/kg-day)]]*80</f>
        <v>0.23862719999999998</v>
      </c>
    </row>
    <row r="11" spans="1:18" ht="26.25" customHeight="1" x14ac:dyDescent="0.3">
      <c r="A11" s="319">
        <v>2</v>
      </c>
      <c r="B11" s="441" t="s">
        <v>222</v>
      </c>
      <c r="C11" s="274" t="s">
        <v>214</v>
      </c>
      <c r="D11" s="6">
        <v>250</v>
      </c>
      <c r="E11" s="377">
        <v>250</v>
      </c>
      <c r="F11" s="443">
        <v>6.6339999999999996E-2</v>
      </c>
      <c r="G11" s="301">
        <v>3.3169999999999998E-2</v>
      </c>
      <c r="H11" s="379"/>
      <c r="I11" s="379"/>
      <c r="J11" s="312">
        <f>IF(Dermal_Exp[[#This Row],[Worker Type]]&lt;&gt;"",(Dermal_Exp[[#This Row],[High-End Exposure to Liquid]]+Dermal_Exp[[#This Row],[High-End Exposure to Solids]]),"Not Assessed")</f>
        <v>6.6339999999999996E-2</v>
      </c>
      <c r="K11" s="301">
        <f>IF(Dermal_Exp[[#This Row],[Worker Type]]&lt;&gt;"",(Dermal_Exp[[#This Row],[ Central Tendency Exposure to Liquids]]+Dermal_Exp[[#This Row],[Central Tendency  Exposure to Solids]]),"Not Assessed")</f>
        <v>3.3169999999999998E-2</v>
      </c>
      <c r="L11" s="311">
        <f>IFERROR(Dermal_Exp[[#This Row],[High-End AD (mg/kg-day)]]*IF(Dermal_Exp[[#This Row],[ED_High-End]]&gt;EFID,EFID,Dermal_Exp[[#This Row],[ED_High-End]])/ID,"Not Assessed")</f>
        <v>4.8649333333333329E-2</v>
      </c>
      <c r="M11" s="311">
        <f>IFERROR(Dermal_Exp[[#This Row],[Central Tendency AD (mg/kg-day)]]*IF(Dermal_Exp[[#This Row],[ED_Central Tendency]]&gt;EFID,EFID,Dermal_Exp[[#This Row],[ED_Central Tendency]])/ID,"Not Assessed")</f>
        <v>2.4324666666666665E-2</v>
      </c>
      <c r="N11" s="301">
        <f>IFERROR(Dermal_Exp[[#This Row],[High-End AD (mg/kg-day)]]*Dermal_Exp[[#This Row],[ED_High-End]]*WY_high/(365*WY_high),"Not Assessed")</f>
        <v>4.5438356164383555E-2</v>
      </c>
      <c r="O11" s="301">
        <f>IFERROR(Dermal_Exp[[#This Row],[Central Tendency AD (mg/kg-day)]]*Dermal_Exp[[#This Row],[ED_Central Tendency]]*WY_mid/(365*WY_mid),"Not Assessed")</f>
        <v>2.2719178082191774E-2</v>
      </c>
      <c r="P11" s="301">
        <f>IFERROR(Dermal_Exp[[#This Row],[High-End AD (mg/kg-day)]]*Dermal_Exp[[#This Row],[ED_High-End]]*WY_high/(365*LT),"Not Assessed")</f>
        <v>2.3301721109940284E-2</v>
      </c>
      <c r="Q11" s="313">
        <f>IFERROR(Dermal_Exp[[#This Row],[Central Tendency AD (mg/kg-day)]]*Dermal_Exp[[#This Row],[ED_Central Tendency]]*WY_mid/(365*LT),"Not Assessed")</f>
        <v>9.0294169301018603E-3</v>
      </c>
      <c r="R11" s="369">
        <f>Dermal_Exp[[#This Row],[High-End AD (mg/kg-day)]]*80</f>
        <v>5.3071999999999999</v>
      </c>
    </row>
    <row r="12" spans="1:18" ht="26.25" customHeight="1" x14ac:dyDescent="0.3">
      <c r="A12" s="319">
        <v>2</v>
      </c>
      <c r="B12" s="441" t="s">
        <v>222</v>
      </c>
      <c r="C12" s="274" t="s">
        <v>74</v>
      </c>
      <c r="D12" s="6">
        <v>250</v>
      </c>
      <c r="E12" s="377">
        <v>250</v>
      </c>
      <c r="F12" s="301">
        <v>6.0972375690607726E-2</v>
      </c>
      <c r="G12" s="301">
        <v>3.0486187845303863E-2</v>
      </c>
      <c r="H12" s="379"/>
      <c r="I12" s="379"/>
      <c r="J12" s="312">
        <f>IF(Dermal_Exp[[#This Row],[Worker Type]]&lt;&gt;"",(Dermal_Exp[[#This Row],[High-End Exposure to Liquid]]+Dermal_Exp[[#This Row],[High-End Exposure to Solids]]),"Not Assessed")</f>
        <v>6.0972375690607726E-2</v>
      </c>
      <c r="K12" s="301">
        <f>IF(Dermal_Exp[[#This Row],[Worker Type]]&lt;&gt;"",(Dermal_Exp[[#This Row],[ Central Tendency Exposure to Liquids]]+Dermal_Exp[[#This Row],[Central Tendency  Exposure to Solids]]),"Not Assessed")</f>
        <v>3.0486187845303863E-2</v>
      </c>
      <c r="L12" s="311">
        <f>IFERROR(Dermal_Exp[[#This Row],[High-End AD (mg/kg-day)]]*IF(Dermal_Exp[[#This Row],[ED_High-End]]&gt;EFID,EFID,Dermal_Exp[[#This Row],[ED_High-End]])/ID,"Not Assessed")</f>
        <v>4.4713075506445668E-2</v>
      </c>
      <c r="M12" s="311">
        <f>IFERROR(Dermal_Exp[[#This Row],[Central Tendency AD (mg/kg-day)]]*IF(Dermal_Exp[[#This Row],[ED_Central Tendency]]&gt;EFID,EFID,Dermal_Exp[[#This Row],[ED_Central Tendency]])/ID,"Not Assessed")</f>
        <v>2.2356537753222834E-2</v>
      </c>
      <c r="N12" s="323">
        <f>IFERROR(Dermal_Exp[[#This Row],[High-End AD (mg/kg-day)]]*Dermal_Exp[[#This Row],[ED_High-End]]*WY_high/(365*WY_high),"Not Assessed")</f>
        <v>4.1761901157950497E-2</v>
      </c>
      <c r="O12" s="323">
        <f>IFERROR(Dermal_Exp[[#This Row],[Central Tendency AD (mg/kg-day)]]*Dermal_Exp[[#This Row],[ED_Central Tendency]]*WY_mid/(365*WY_mid),"Not Assessed")</f>
        <v>2.0880950578975249E-2</v>
      </c>
      <c r="P12" s="323">
        <f>IFERROR(Dermal_Exp[[#This Row],[High-End AD (mg/kg-day)]]*Dermal_Exp[[#This Row],[ED_High-End]]*WY_high/(365*LT),"Not Assessed")</f>
        <v>2.1416359568179742E-2</v>
      </c>
      <c r="Q12" s="313">
        <f>IFERROR(Dermal_Exp[[#This Row],[Central Tendency AD (mg/kg-day)]]*Dermal_Exp[[#This Row],[ED_Central Tendency]]*WY_mid/(365*LT),"Not Assessed")</f>
        <v>8.2988393326696493E-3</v>
      </c>
      <c r="R12" s="369">
        <f>Dermal_Exp[[#This Row],[High-End AD (mg/kg-day)]]*80</f>
        <v>4.8777900552486182</v>
      </c>
    </row>
    <row r="13" spans="1:18" ht="16.5" customHeight="1" x14ac:dyDescent="0.3">
      <c r="A13" s="319">
        <v>2</v>
      </c>
      <c r="B13" s="441" t="s">
        <v>224</v>
      </c>
      <c r="C13" s="274" t="s">
        <v>214</v>
      </c>
      <c r="D13" s="6">
        <v>250</v>
      </c>
      <c r="E13" s="377">
        <v>250</v>
      </c>
      <c r="F13" s="301"/>
      <c r="G13" s="301"/>
      <c r="H13" s="379">
        <v>1.1909099999999999E-2</v>
      </c>
      <c r="I13" s="379">
        <v>5.9545499999999994E-3</v>
      </c>
      <c r="J13" s="312">
        <f>IF(Dermal_Exp[[#This Row],[Worker Type]]&lt;&gt;"",(Dermal_Exp[[#This Row],[High-End Exposure to Liquid]]+Dermal_Exp[[#This Row],[High-End Exposure to Solids]]),"Not Assessed")</f>
        <v>1.1909099999999999E-2</v>
      </c>
      <c r="K13" s="301">
        <f>IF(Dermal_Exp[[#This Row],[Worker Type]]&lt;&gt;"",(Dermal_Exp[[#This Row],[ Central Tendency Exposure to Liquids]]+Dermal_Exp[[#This Row],[Central Tendency  Exposure to Solids]]),"Not Assessed")</f>
        <v>5.9545499999999994E-3</v>
      </c>
      <c r="L13" s="311">
        <f>IFERROR(Dermal_Exp[[#This Row],[High-End AD (mg/kg-day)]]*IF(Dermal_Exp[[#This Row],[ED_High-End]]&gt;EFID,EFID,Dermal_Exp[[#This Row],[ED_High-End]])/ID,"Not Assessed")</f>
        <v>8.7333399999999992E-3</v>
      </c>
      <c r="M13" s="311">
        <f>IFERROR(Dermal_Exp[[#This Row],[Central Tendency AD (mg/kg-day)]]*IF(Dermal_Exp[[#This Row],[ED_Central Tendency]]&gt;EFID,EFID,Dermal_Exp[[#This Row],[ED_Central Tendency]])/ID,"Not Assessed")</f>
        <v>4.3666699999999996E-3</v>
      </c>
      <c r="N13" s="301">
        <f>IFERROR(Dermal_Exp[[#This Row],[High-End AD (mg/kg-day)]]*Dermal_Exp[[#This Row],[ED_High-End]]*WY_high/(365*WY_high),"Not Assessed")</f>
        <v>8.156917808219177E-3</v>
      </c>
      <c r="O13" s="301">
        <f>IFERROR(Dermal_Exp[[#This Row],[Central Tendency AD (mg/kg-day)]]*Dermal_Exp[[#This Row],[ED_Central Tendency]]*WY_mid/(365*WY_mid),"Not Assessed")</f>
        <v>4.0784589041095885E-3</v>
      </c>
      <c r="P13" s="301">
        <f>IFERROR(Dermal_Exp[[#This Row],[High-End AD (mg/kg-day)]]*Dermal_Exp[[#This Row],[ED_High-End]]*WY_high/(365*LT),"Not Assessed")</f>
        <v>4.1830347734457315E-3</v>
      </c>
      <c r="Q13" s="313">
        <f>IFERROR(Dermal_Exp[[#This Row],[Central Tendency AD (mg/kg-day)]]*Dermal_Exp[[#This Row],[ED_Central Tendency]]*WY_mid/(365*LT),"Not Assessed")</f>
        <v>1.620925974710221E-3</v>
      </c>
      <c r="R13" s="369">
        <f>Dermal_Exp[[#This Row],[High-End AD (mg/kg-day)]]*80</f>
        <v>0.95272799999999991</v>
      </c>
    </row>
    <row r="14" spans="1:18" ht="16.5" customHeight="1" x14ac:dyDescent="0.3">
      <c r="A14" s="319">
        <v>2</v>
      </c>
      <c r="B14" s="441" t="s">
        <v>224</v>
      </c>
      <c r="C14" s="274" t="s">
        <v>74</v>
      </c>
      <c r="D14" s="6">
        <v>250</v>
      </c>
      <c r="E14" s="377">
        <v>250</v>
      </c>
      <c r="F14" s="301"/>
      <c r="G14" s="301"/>
      <c r="H14" s="379">
        <v>1.0945524861878452E-2</v>
      </c>
      <c r="I14" s="379">
        <v>5.4727624309392261E-3</v>
      </c>
      <c r="J14" s="312">
        <f>IF(Dermal_Exp[[#This Row],[Worker Type]]&lt;&gt;"",(Dermal_Exp[[#This Row],[High-End Exposure to Liquid]]+Dermal_Exp[[#This Row],[High-End Exposure to Solids]]),"Not Assessed")</f>
        <v>1.0945524861878452E-2</v>
      </c>
      <c r="K14" s="301">
        <f>IF(Dermal_Exp[[#This Row],[Worker Type]]&lt;&gt;"",(Dermal_Exp[[#This Row],[ Central Tendency Exposure to Liquids]]+Dermal_Exp[[#This Row],[Central Tendency  Exposure to Solids]]),"Not Assessed")</f>
        <v>5.4727624309392261E-3</v>
      </c>
      <c r="L14" s="311">
        <f>IFERROR(Dermal_Exp[[#This Row],[High-End AD (mg/kg-day)]]*IF(Dermal_Exp[[#This Row],[ED_High-End]]&gt;EFID,EFID,Dermal_Exp[[#This Row],[ED_High-End]])/ID,"Not Assessed")</f>
        <v>8.0267182320441985E-3</v>
      </c>
      <c r="M14" s="311">
        <f>IFERROR(Dermal_Exp[[#This Row],[Central Tendency AD (mg/kg-day)]]*IF(Dermal_Exp[[#This Row],[ED_Central Tendency]]&gt;EFID,EFID,Dermal_Exp[[#This Row],[ED_Central Tendency]])/ID,"Not Assessed")</f>
        <v>4.0133591160220992E-3</v>
      </c>
      <c r="N14" s="323">
        <f>IFERROR(Dermal_Exp[[#This Row],[High-End AD (mg/kg-day)]]*Dermal_Exp[[#This Row],[ED_High-End]]*WY_high/(365*WY_high),"Not Assessed")</f>
        <v>7.4969348369030497E-3</v>
      </c>
      <c r="O14" s="323">
        <f>IFERROR(Dermal_Exp[[#This Row],[Central Tendency AD (mg/kg-day)]]*Dermal_Exp[[#This Row],[ED_Central Tendency]]*WY_mid/(365*WY_mid),"Not Assessed")</f>
        <v>3.7484674184515249E-3</v>
      </c>
      <c r="P14" s="323">
        <f>IFERROR(Dermal_Exp[[#This Row],[High-End AD (mg/kg-day)]]*Dermal_Exp[[#This Row],[ED_High-End]]*WY_high/(365*LT),"Not Assessed")</f>
        <v>3.8445819676425894E-3</v>
      </c>
      <c r="Q14" s="313">
        <f>IFERROR(Dermal_Exp[[#This Row],[Central Tendency AD (mg/kg-day)]]*Dermal_Exp[[#This Row],[ED_Central Tendency]]*WY_mid/(365*LT),"Not Assessed")</f>
        <v>1.4897755124615036E-3</v>
      </c>
      <c r="R14" s="369">
        <f>Dermal_Exp[[#This Row],[High-End AD (mg/kg-day)]]*80</f>
        <v>0.87564198895027623</v>
      </c>
    </row>
    <row r="15" spans="1:18" ht="16.5" customHeight="1" x14ac:dyDescent="0.3">
      <c r="A15" s="319">
        <v>2</v>
      </c>
      <c r="B15" s="441" t="s">
        <v>224</v>
      </c>
      <c r="C15" s="274" t="s">
        <v>94</v>
      </c>
      <c r="D15" s="6">
        <v>250</v>
      </c>
      <c r="E15" s="377">
        <v>250</v>
      </c>
      <c r="F15" s="301"/>
      <c r="G15" s="301"/>
      <c r="H15" s="301">
        <v>2.9828399999999996E-3</v>
      </c>
      <c r="I15" s="301">
        <v>2.9828399999999996E-3</v>
      </c>
      <c r="J15" s="312">
        <f>IF(Dermal_Exp[[#This Row],[Worker Type]]&lt;&gt;"",(Dermal_Exp[[#This Row],[High-End Exposure to Liquid]]+Dermal_Exp[[#This Row],[High-End Exposure to Solids]]),"Not Assessed")</f>
        <v>2.9828399999999996E-3</v>
      </c>
      <c r="K15" s="338">
        <f>IF(Dermal_Exp[[#This Row],[Worker Type]]&lt;&gt;"",(Dermal_Exp[[#This Row],[ Central Tendency Exposure to Liquids]]+Dermal_Exp[[#This Row],[Central Tendency  Exposure to Solids]]),"Not Assessed")</f>
        <v>2.9828399999999996E-3</v>
      </c>
      <c r="L15" s="311">
        <f>IFERROR(Dermal_Exp[[#This Row],[High-End AD (mg/kg-day)]]*IF(Dermal_Exp[[#This Row],[ED_High-End]]&gt;EFID,EFID,Dermal_Exp[[#This Row],[ED_High-End]])/ID,"Not Assessed")</f>
        <v>2.1874159999999998E-3</v>
      </c>
      <c r="M15" s="311">
        <f>IFERROR(Dermal_Exp[[#This Row],[Central Tendency AD (mg/kg-day)]]*IF(Dermal_Exp[[#This Row],[ED_Central Tendency]]&gt;EFID,EFID,Dermal_Exp[[#This Row],[ED_Central Tendency]])/ID,"Not Assessed")</f>
        <v>2.1874159999999998E-3</v>
      </c>
      <c r="N15" s="301">
        <f>IFERROR(Dermal_Exp[[#This Row],[High-End AD (mg/kg-day)]]*Dermal_Exp[[#This Row],[ED_High-End]]*WY_high/(365*WY_high),"Not Assessed")</f>
        <v>2.0430410958904104E-3</v>
      </c>
      <c r="O15" s="301">
        <f>IFERROR(Dermal_Exp[[#This Row],[Central Tendency AD (mg/kg-day)]]*Dermal_Exp[[#This Row],[ED_Central Tendency]]*WY_mid/(365*WY_mid),"Not Assessed")</f>
        <v>2.0430410958904108E-3</v>
      </c>
      <c r="P15" s="301">
        <f>IFERROR(Dermal_Exp[[#This Row],[High-End AD (mg/kg-day)]]*Dermal_Exp[[#This Row],[ED_High-End]]*WY_high/(365*LT),"Not Assessed")</f>
        <v>1.047713382507903E-3</v>
      </c>
      <c r="Q15" s="313">
        <f>IFERROR(Dermal_Exp[[#This Row],[Central Tendency AD (mg/kg-day)]]*Dermal_Exp[[#This Row],[ED_Central Tendency]]*WY_mid/(365*LT),"Not Assessed")</f>
        <v>8.119778714436248E-4</v>
      </c>
      <c r="R15" s="369">
        <f>Dermal_Exp[[#This Row],[High-End AD (mg/kg-day)]]*80</f>
        <v>0.23862719999999998</v>
      </c>
    </row>
    <row r="16" spans="1:18" ht="14.5" x14ac:dyDescent="0.3">
      <c r="A16" s="319">
        <v>2</v>
      </c>
      <c r="B16" s="441" t="s">
        <v>227</v>
      </c>
      <c r="C16" s="274" t="s">
        <v>214</v>
      </c>
      <c r="D16" s="6">
        <v>250</v>
      </c>
      <c r="E16" s="377">
        <v>250</v>
      </c>
      <c r="F16" s="443">
        <v>6.6339999999999996E-2</v>
      </c>
      <c r="G16" s="301">
        <v>3.3169999999999998E-2</v>
      </c>
      <c r="H16" s="379"/>
      <c r="I16" s="379"/>
      <c r="J16" s="312">
        <f>IF(Dermal_Exp[[#This Row],[Worker Type]]&lt;&gt;"",(Dermal_Exp[[#This Row],[High-End Exposure to Liquid]]+Dermal_Exp[[#This Row],[High-End Exposure to Solids]]),"Not Assessed")</f>
        <v>6.6339999999999996E-2</v>
      </c>
      <c r="K16" s="301">
        <f>IF(Dermal_Exp[[#This Row],[Worker Type]]&lt;&gt;"",(Dermal_Exp[[#This Row],[ Central Tendency Exposure to Liquids]]+Dermal_Exp[[#This Row],[Central Tendency  Exposure to Solids]]),"Not Assessed")</f>
        <v>3.3169999999999998E-2</v>
      </c>
      <c r="L16" s="311">
        <f>IFERROR(Dermal_Exp[[#This Row],[High-End AD (mg/kg-day)]]*IF(Dermal_Exp[[#This Row],[ED_High-End]]&gt;EFID,EFID,Dermal_Exp[[#This Row],[ED_High-End]])/ID,"Not Assessed")</f>
        <v>4.8649333333333329E-2</v>
      </c>
      <c r="M16" s="311">
        <f>IFERROR(Dermal_Exp[[#This Row],[Central Tendency AD (mg/kg-day)]]*IF(Dermal_Exp[[#This Row],[ED_Central Tendency]]&gt;EFID,EFID,Dermal_Exp[[#This Row],[ED_Central Tendency]])/ID,"Not Assessed")</f>
        <v>2.4324666666666665E-2</v>
      </c>
      <c r="N16" s="301">
        <f>IFERROR(Dermal_Exp[[#This Row],[High-End AD (mg/kg-day)]]*Dermal_Exp[[#This Row],[ED_High-End]]*WY_high/(365*WY_high),"Not Assessed")</f>
        <v>4.5438356164383555E-2</v>
      </c>
      <c r="O16" s="301">
        <f>IFERROR(Dermal_Exp[[#This Row],[Central Tendency AD (mg/kg-day)]]*Dermal_Exp[[#This Row],[ED_Central Tendency]]*WY_mid/(365*WY_mid),"Not Assessed")</f>
        <v>2.2719178082191774E-2</v>
      </c>
      <c r="P16" s="301">
        <f>IFERROR(Dermal_Exp[[#This Row],[High-End AD (mg/kg-day)]]*Dermal_Exp[[#This Row],[ED_High-End]]*WY_high/(365*LT),"Not Assessed")</f>
        <v>2.3301721109940284E-2</v>
      </c>
      <c r="Q16" s="313">
        <f>IFERROR(Dermal_Exp[[#This Row],[Central Tendency AD (mg/kg-day)]]*Dermal_Exp[[#This Row],[ED_Central Tendency]]*WY_mid/(365*LT),"Not Assessed")</f>
        <v>9.0294169301018603E-3</v>
      </c>
      <c r="R16" s="369">
        <f>Dermal_Exp[[#This Row],[High-End AD (mg/kg-day)]]*80</f>
        <v>5.3071999999999999</v>
      </c>
    </row>
    <row r="17" spans="1:18" ht="14.5" x14ac:dyDescent="0.3">
      <c r="A17" s="319">
        <v>2</v>
      </c>
      <c r="B17" s="441" t="s">
        <v>227</v>
      </c>
      <c r="C17" s="274" t="s">
        <v>74</v>
      </c>
      <c r="D17" s="6">
        <v>250</v>
      </c>
      <c r="E17" s="377">
        <v>250</v>
      </c>
      <c r="F17" s="301">
        <v>6.0972375690607726E-2</v>
      </c>
      <c r="G17" s="301">
        <v>3.0486187845303863E-2</v>
      </c>
      <c r="H17" s="379"/>
      <c r="I17" s="379"/>
      <c r="J17" s="312">
        <f>IF(Dermal_Exp[[#This Row],[Worker Type]]&lt;&gt;"",(Dermal_Exp[[#This Row],[High-End Exposure to Liquid]]+Dermal_Exp[[#This Row],[High-End Exposure to Solids]]),"Not Assessed")</f>
        <v>6.0972375690607726E-2</v>
      </c>
      <c r="K17" s="301">
        <f>IF(Dermal_Exp[[#This Row],[Worker Type]]&lt;&gt;"",(Dermal_Exp[[#This Row],[ Central Tendency Exposure to Liquids]]+Dermal_Exp[[#This Row],[Central Tendency  Exposure to Solids]]),"Not Assessed")</f>
        <v>3.0486187845303863E-2</v>
      </c>
      <c r="L17" s="311">
        <f>IFERROR(Dermal_Exp[[#This Row],[High-End AD (mg/kg-day)]]*IF(Dermal_Exp[[#This Row],[ED_High-End]]&gt;EFID,EFID,Dermal_Exp[[#This Row],[ED_High-End]])/ID,"Not Assessed")</f>
        <v>4.4713075506445668E-2</v>
      </c>
      <c r="M17" s="311">
        <f>IFERROR(Dermal_Exp[[#This Row],[Central Tendency AD (mg/kg-day)]]*IF(Dermal_Exp[[#This Row],[ED_Central Tendency]]&gt;EFID,EFID,Dermal_Exp[[#This Row],[ED_Central Tendency]])/ID,"Not Assessed")</f>
        <v>2.2356537753222834E-2</v>
      </c>
      <c r="N17" s="301">
        <f>IFERROR(Dermal_Exp[[#This Row],[High-End AD (mg/kg-day)]]*Dermal_Exp[[#This Row],[ED_High-End]]*WY_high/(365*WY_high),"Not Assessed")</f>
        <v>4.1761901157950497E-2</v>
      </c>
      <c r="O17" s="301">
        <f>IFERROR(Dermal_Exp[[#This Row],[Central Tendency AD (mg/kg-day)]]*Dermal_Exp[[#This Row],[ED_Central Tendency]]*WY_mid/(365*WY_mid),"Not Assessed")</f>
        <v>2.0880950578975249E-2</v>
      </c>
      <c r="P17" s="301">
        <f>IFERROR(Dermal_Exp[[#This Row],[High-End AD (mg/kg-day)]]*Dermal_Exp[[#This Row],[ED_High-End]]*WY_high/(365*LT),"Not Assessed")</f>
        <v>2.1416359568179742E-2</v>
      </c>
      <c r="Q17" s="313">
        <f>IFERROR(Dermal_Exp[[#This Row],[Central Tendency AD (mg/kg-day)]]*Dermal_Exp[[#This Row],[ED_Central Tendency]]*WY_mid/(365*LT),"Not Assessed")</f>
        <v>8.2988393326696493E-3</v>
      </c>
      <c r="R17" s="369">
        <f>Dermal_Exp[[#This Row],[High-End AD (mg/kg-day)]]*80</f>
        <v>4.8777900552486182</v>
      </c>
    </row>
    <row r="18" spans="1:18" ht="28" x14ac:dyDescent="0.3">
      <c r="A18" s="319">
        <v>2</v>
      </c>
      <c r="B18" s="441" t="s">
        <v>225</v>
      </c>
      <c r="C18" s="274" t="s">
        <v>214</v>
      </c>
      <c r="D18" s="6">
        <v>250</v>
      </c>
      <c r="E18" s="377">
        <v>250</v>
      </c>
      <c r="F18" s="443">
        <v>6.6339999999999996E-2</v>
      </c>
      <c r="G18" s="301">
        <v>3.3169999999999998E-2</v>
      </c>
      <c r="H18" s="379"/>
      <c r="I18" s="379"/>
      <c r="J18" s="312">
        <f>IF(Dermal_Exp[[#This Row],[Worker Type]]&lt;&gt;"",(Dermal_Exp[[#This Row],[High-End Exposure to Liquid]]+Dermal_Exp[[#This Row],[High-End Exposure to Solids]]),"Not Assessed")</f>
        <v>6.6339999999999996E-2</v>
      </c>
      <c r="K18" s="301">
        <f>IF(Dermal_Exp[[#This Row],[Worker Type]]&lt;&gt;"",(Dermal_Exp[[#This Row],[ Central Tendency Exposure to Liquids]]+Dermal_Exp[[#This Row],[Central Tendency  Exposure to Solids]]),"Not Assessed")</f>
        <v>3.3169999999999998E-2</v>
      </c>
      <c r="L18" s="311">
        <f>IFERROR(Dermal_Exp[[#This Row],[High-End AD (mg/kg-day)]]*IF(Dermal_Exp[[#This Row],[ED_High-End]]&gt;EFID,EFID,Dermal_Exp[[#This Row],[ED_High-End]])/ID,"Not Assessed")</f>
        <v>4.8649333333333329E-2</v>
      </c>
      <c r="M18" s="311">
        <f>IFERROR(Dermal_Exp[[#This Row],[Central Tendency AD (mg/kg-day)]]*IF(Dermal_Exp[[#This Row],[ED_Central Tendency]]&gt;EFID,EFID,Dermal_Exp[[#This Row],[ED_Central Tendency]])/ID,"Not Assessed")</f>
        <v>2.4324666666666665E-2</v>
      </c>
      <c r="N18" s="323">
        <f>IFERROR(Dermal_Exp[[#This Row],[High-End AD (mg/kg-day)]]*Dermal_Exp[[#This Row],[ED_High-End]]*WY_high/(365*WY_high),"Not Assessed")</f>
        <v>4.5438356164383555E-2</v>
      </c>
      <c r="O18" s="323">
        <f>IFERROR(Dermal_Exp[[#This Row],[Central Tendency AD (mg/kg-day)]]*Dermal_Exp[[#This Row],[ED_Central Tendency]]*WY_mid/(365*WY_mid),"Not Assessed")</f>
        <v>2.2719178082191774E-2</v>
      </c>
      <c r="P18" s="323">
        <f>IFERROR(Dermal_Exp[[#This Row],[High-End AD (mg/kg-day)]]*Dermal_Exp[[#This Row],[ED_High-End]]*WY_high/(365*LT),"Not Assessed")</f>
        <v>2.3301721109940284E-2</v>
      </c>
      <c r="Q18" s="313">
        <f>IFERROR(Dermal_Exp[[#This Row],[Central Tendency AD (mg/kg-day)]]*Dermal_Exp[[#This Row],[ED_Central Tendency]]*WY_mid/(365*LT),"Not Assessed")</f>
        <v>9.0294169301018603E-3</v>
      </c>
      <c r="R18" s="369">
        <f>Dermal_Exp[[#This Row],[High-End AD (mg/kg-day)]]*80</f>
        <v>5.3071999999999999</v>
      </c>
    </row>
    <row r="19" spans="1:18" ht="28" x14ac:dyDescent="0.3">
      <c r="A19" s="319">
        <v>2</v>
      </c>
      <c r="B19" s="441" t="s">
        <v>225</v>
      </c>
      <c r="C19" s="274" t="s">
        <v>74</v>
      </c>
      <c r="D19" s="6">
        <v>250</v>
      </c>
      <c r="E19" s="377">
        <v>250</v>
      </c>
      <c r="F19" s="301">
        <v>6.0972375690607726E-2</v>
      </c>
      <c r="G19" s="301">
        <v>3.0486187845303863E-2</v>
      </c>
      <c r="H19" s="379"/>
      <c r="I19" s="379"/>
      <c r="J19" s="312">
        <f>IF(Dermal_Exp[[#This Row],[Worker Type]]&lt;&gt;"",(Dermal_Exp[[#This Row],[High-End Exposure to Liquid]]+Dermal_Exp[[#This Row],[High-End Exposure to Solids]]),"Not Assessed")</f>
        <v>6.0972375690607726E-2</v>
      </c>
      <c r="K19" s="301">
        <f>IF(Dermal_Exp[[#This Row],[Worker Type]]&lt;&gt;"",(Dermal_Exp[[#This Row],[ Central Tendency Exposure to Liquids]]+Dermal_Exp[[#This Row],[Central Tendency  Exposure to Solids]]),"Not Assessed")</f>
        <v>3.0486187845303863E-2</v>
      </c>
      <c r="L19" s="311">
        <f>IFERROR(Dermal_Exp[[#This Row],[High-End AD (mg/kg-day)]]*IF(Dermal_Exp[[#This Row],[ED_High-End]]&gt;EFID,EFID,Dermal_Exp[[#This Row],[ED_High-End]])/ID,"Not Assessed")</f>
        <v>4.4713075506445668E-2</v>
      </c>
      <c r="M19" s="311">
        <f>IFERROR(Dermal_Exp[[#This Row],[Central Tendency AD (mg/kg-day)]]*IF(Dermal_Exp[[#This Row],[ED_Central Tendency]]&gt;EFID,EFID,Dermal_Exp[[#This Row],[ED_Central Tendency]])/ID,"Not Assessed")</f>
        <v>2.2356537753222834E-2</v>
      </c>
      <c r="N19" s="301">
        <f>IFERROR(Dermal_Exp[[#This Row],[High-End AD (mg/kg-day)]]*Dermal_Exp[[#This Row],[ED_High-End]]*WY_high/(365*WY_high),"Not Assessed")</f>
        <v>4.1761901157950497E-2</v>
      </c>
      <c r="O19" s="301">
        <f>IFERROR(Dermal_Exp[[#This Row],[Central Tendency AD (mg/kg-day)]]*Dermal_Exp[[#This Row],[ED_Central Tendency]]*WY_mid/(365*WY_mid),"Not Assessed")</f>
        <v>2.0880950578975249E-2</v>
      </c>
      <c r="P19" s="301">
        <f>IFERROR(Dermal_Exp[[#This Row],[High-End AD (mg/kg-day)]]*Dermal_Exp[[#This Row],[ED_High-End]]*WY_high/(365*LT),"Not Assessed")</f>
        <v>2.1416359568179742E-2</v>
      </c>
      <c r="Q19" s="313">
        <f>IFERROR(Dermal_Exp[[#This Row],[Central Tendency AD (mg/kg-day)]]*Dermal_Exp[[#This Row],[ED_Central Tendency]]*WY_mid/(365*LT),"Not Assessed")</f>
        <v>8.2988393326696493E-3</v>
      </c>
      <c r="R19" s="369">
        <f>Dermal_Exp[[#This Row],[High-End AD (mg/kg-day)]]*80</f>
        <v>4.8777900552486182</v>
      </c>
    </row>
    <row r="20" spans="1:18" ht="14.5" x14ac:dyDescent="0.3">
      <c r="A20" s="319">
        <v>3</v>
      </c>
      <c r="B20" s="441" t="s">
        <v>141</v>
      </c>
      <c r="C20" s="274" t="s">
        <v>214</v>
      </c>
      <c r="D20" s="6">
        <v>250</v>
      </c>
      <c r="E20" s="377">
        <v>223</v>
      </c>
      <c r="F20" s="443">
        <v>6.6339999999999996E-2</v>
      </c>
      <c r="G20" s="301">
        <v>3.3169999999999998E-2</v>
      </c>
      <c r="H20" s="301">
        <v>1.1909099999999999E-2</v>
      </c>
      <c r="I20" s="301">
        <v>5.9545499999999994E-3</v>
      </c>
      <c r="J20" s="312">
        <f>IF(Dermal_Exp[[#This Row],[Worker Type]]&lt;&gt;"",(Dermal_Exp[[#This Row],[High-End Exposure to Liquid]]+Dermal_Exp[[#This Row],[High-End Exposure to Solids]]),"Not Assessed")</f>
        <v>7.8249099999999988E-2</v>
      </c>
      <c r="K20" s="301">
        <f>IF(Dermal_Exp[[#This Row],[Worker Type]]&lt;&gt;"",(Dermal_Exp[[#This Row],[ Central Tendency Exposure to Liquids]]+Dermal_Exp[[#This Row],[Central Tendency  Exposure to Solids]]),"Not Assessed")</f>
        <v>3.9124549999999994E-2</v>
      </c>
      <c r="L20" s="311">
        <f>IFERROR(Dermal_Exp[[#This Row],[High-End AD (mg/kg-day)]]*IF(Dermal_Exp[[#This Row],[ED_High-End]]&gt;EFID,EFID,Dermal_Exp[[#This Row],[ED_High-End]])/ID,"Not Assessed")</f>
        <v>5.7382673333333328E-2</v>
      </c>
      <c r="M20" s="311">
        <f>IFERROR(Dermal_Exp[[#This Row],[Central Tendency AD (mg/kg-day)]]*IF(Dermal_Exp[[#This Row],[ED_Central Tendency]]&gt;EFID,EFID,Dermal_Exp[[#This Row],[ED_Central Tendency]])/ID,"Not Assessed")</f>
        <v>2.8691336666666664E-2</v>
      </c>
      <c r="N20" s="323">
        <f>IFERROR(Dermal_Exp[[#This Row],[High-End AD (mg/kg-day)]]*Dermal_Exp[[#This Row],[ED_High-End]]*WY_high/(365*WY_high),"Not Assessed")</f>
        <v>5.3595273972602733E-2</v>
      </c>
      <c r="O20" s="323">
        <f>IFERROR(Dermal_Exp[[#This Row],[Central Tendency AD (mg/kg-day)]]*Dermal_Exp[[#This Row],[ED_Central Tendency]]*WY_mid/(365*WY_mid),"Not Assessed")</f>
        <v>2.3903492191780822E-2</v>
      </c>
      <c r="P20" s="323">
        <f>IFERROR(Dermal_Exp[[#This Row],[High-End AD (mg/kg-day)]]*Dermal_Exp[[#This Row],[ED_High-End]]*WY_high/(365*LT),"Not Assessed")</f>
        <v>2.7484755883386017E-2</v>
      </c>
      <c r="Q20" s="313">
        <f>IFERROR(Dermal_Exp[[#This Row],[Central Tendency AD (mg/kg-day)]]*Dermal_Exp[[#This Row],[ED_Central Tendency]]*WY_mid/(365*LT),"Not Assessed")</f>
        <v>9.5001058710923771E-3</v>
      </c>
      <c r="R20" s="369">
        <f>Dermal_Exp[[#This Row],[High-End AD (mg/kg-day)]]*80</f>
        <v>6.2599279999999986</v>
      </c>
    </row>
    <row r="21" spans="1:18" ht="14.5" x14ac:dyDescent="0.3">
      <c r="A21" s="319">
        <v>3</v>
      </c>
      <c r="B21" s="441" t="s">
        <v>141</v>
      </c>
      <c r="C21" s="274" t="s">
        <v>74</v>
      </c>
      <c r="D21" s="6">
        <v>250</v>
      </c>
      <c r="E21" s="377">
        <v>223</v>
      </c>
      <c r="F21" s="301">
        <v>6.0972375690607726E-2</v>
      </c>
      <c r="G21" s="301">
        <v>3.0486187845303863E-2</v>
      </c>
      <c r="H21" s="301">
        <v>1.0945524861878452E-2</v>
      </c>
      <c r="I21" s="301">
        <v>5.4727624309392261E-3</v>
      </c>
      <c r="J21" s="312">
        <f>IF(Dermal_Exp[[#This Row],[Worker Type]]&lt;&gt;"",(Dermal_Exp[[#This Row],[High-End Exposure to Liquid]]+Dermal_Exp[[#This Row],[High-End Exposure to Solids]]),"Not Assessed")</f>
        <v>7.1917900552486175E-2</v>
      </c>
      <c r="K21" s="301">
        <f>IF(Dermal_Exp[[#This Row],[Worker Type]]&lt;&gt;"",(Dermal_Exp[[#This Row],[ Central Tendency Exposure to Liquids]]+Dermal_Exp[[#This Row],[Central Tendency  Exposure to Solids]]),"Not Assessed")</f>
        <v>3.5958950276243087E-2</v>
      </c>
      <c r="L21" s="311">
        <f>IFERROR(Dermal_Exp[[#This Row],[High-End AD (mg/kg-day)]]*IF(Dermal_Exp[[#This Row],[ED_High-End]]&gt;EFID,EFID,Dermal_Exp[[#This Row],[ED_High-End]])/ID,"Not Assessed")</f>
        <v>5.2739793738489867E-2</v>
      </c>
      <c r="M21" s="311">
        <f>IFERROR(Dermal_Exp[[#This Row],[Central Tendency AD (mg/kg-day)]]*IF(Dermal_Exp[[#This Row],[ED_Central Tendency]]&gt;EFID,EFID,Dermal_Exp[[#This Row],[ED_Central Tendency]])/ID,"Not Assessed")</f>
        <v>2.6369896869244933E-2</v>
      </c>
      <c r="N21" s="301">
        <f>IFERROR(Dermal_Exp[[#This Row],[High-End AD (mg/kg-day)]]*Dermal_Exp[[#This Row],[ED_High-End]]*WY_high/(365*WY_high),"Not Assessed")</f>
        <v>4.9258835994853541E-2</v>
      </c>
      <c r="O21" s="301">
        <f>IFERROR(Dermal_Exp[[#This Row],[Central Tendency AD (mg/kg-day)]]*Dermal_Exp[[#This Row],[ED_Central Tendency]]*WY_mid/(365*WY_mid),"Not Assessed")</f>
        <v>2.196944085370468E-2</v>
      </c>
      <c r="P21" s="301">
        <f>IFERROR(Dermal_Exp[[#This Row],[High-End AD (mg/kg-day)]]*Dermal_Exp[[#This Row],[ED_High-End]]*WY_high/(365*LT),"Not Assessed")</f>
        <v>2.526094153582233E-2</v>
      </c>
      <c r="Q21" s="313">
        <f>IFERROR(Dermal_Exp[[#This Row],[Central Tendency AD (mg/kg-day)]]*Dermal_Exp[[#This Row],[ED_Central Tendency]]*WY_mid/(365*LT),"Not Assessed")</f>
        <v>8.7314444418569882E-3</v>
      </c>
      <c r="R21" s="369">
        <f>Dermal_Exp[[#This Row],[High-End AD (mg/kg-day)]]*80</f>
        <v>5.7534320441988935</v>
      </c>
    </row>
    <row r="22" spans="1:18" ht="14.5" x14ac:dyDescent="0.3">
      <c r="A22" s="319">
        <v>3</v>
      </c>
      <c r="B22" s="441" t="s">
        <v>141</v>
      </c>
      <c r="C22" s="274" t="s">
        <v>94</v>
      </c>
      <c r="D22" s="6">
        <v>250</v>
      </c>
      <c r="E22" s="377">
        <v>223</v>
      </c>
      <c r="F22" s="301"/>
      <c r="G22" s="301"/>
      <c r="H22" s="301">
        <v>2.9828399999999996E-3</v>
      </c>
      <c r="I22" s="301">
        <v>2.9828399999999996E-3</v>
      </c>
      <c r="J22" s="312">
        <f>IF(Dermal_Exp[[#This Row],[Worker Type]]&lt;&gt;"",(Dermal_Exp[[#This Row],[High-End Exposure to Liquid]]+Dermal_Exp[[#This Row],[High-End Exposure to Solids]]),"Not Assessed")</f>
        <v>2.9828399999999996E-3</v>
      </c>
      <c r="K22" s="301">
        <f>IF(Dermal_Exp[[#This Row],[Worker Type]]&lt;&gt;"",(Dermal_Exp[[#This Row],[ Central Tendency Exposure to Liquids]]+Dermal_Exp[[#This Row],[Central Tendency  Exposure to Solids]]),"Not Assessed")</f>
        <v>2.9828399999999996E-3</v>
      </c>
      <c r="L22" s="311">
        <f>IFERROR(Dermal_Exp[[#This Row],[High-End AD (mg/kg-day)]]*IF(Dermal_Exp[[#This Row],[ED_High-End]]&gt;EFID,EFID,Dermal_Exp[[#This Row],[ED_High-End]])/ID,"Not Assessed")</f>
        <v>2.1874159999999998E-3</v>
      </c>
      <c r="M22" s="311">
        <f>IFERROR(Dermal_Exp[[#This Row],[Central Tendency AD (mg/kg-day)]]*IF(Dermal_Exp[[#This Row],[ED_Central Tendency]]&gt;EFID,EFID,Dermal_Exp[[#This Row],[ED_Central Tendency]])/ID,"Not Assessed")</f>
        <v>2.1874159999999998E-3</v>
      </c>
      <c r="N22" s="323">
        <f>IFERROR(Dermal_Exp[[#This Row],[High-End AD (mg/kg-day)]]*Dermal_Exp[[#This Row],[ED_High-End]]*WY_high/(365*WY_high),"Not Assessed")</f>
        <v>2.0430410958904104E-3</v>
      </c>
      <c r="O22" s="323">
        <f>IFERROR(Dermal_Exp[[#This Row],[Central Tendency AD (mg/kg-day)]]*Dermal_Exp[[#This Row],[ED_Central Tendency]]*WY_mid/(365*WY_mid),"Not Assessed")</f>
        <v>1.8223926575342464E-3</v>
      </c>
      <c r="P22" s="323">
        <f>IFERROR(Dermal_Exp[[#This Row],[High-End AD (mg/kg-day)]]*Dermal_Exp[[#This Row],[ED_High-End]]*WY_high/(365*LT),"Not Assessed")</f>
        <v>1.047713382507903E-3</v>
      </c>
      <c r="Q22" s="313">
        <f>IFERROR(Dermal_Exp[[#This Row],[Central Tendency AD (mg/kg-day)]]*Dermal_Exp[[#This Row],[ED_Central Tendency]]*WY_mid/(365*LT),"Not Assessed")</f>
        <v>7.2428426132771333E-4</v>
      </c>
      <c r="R22" s="369">
        <f>Dermal_Exp[[#This Row],[High-End AD (mg/kg-day)]]*80</f>
        <v>0.23862719999999998</v>
      </c>
    </row>
    <row r="23" spans="1:18" ht="14.5" x14ac:dyDescent="0.3">
      <c r="A23" s="319">
        <v>3</v>
      </c>
      <c r="B23" s="441" t="s">
        <v>232</v>
      </c>
      <c r="C23" s="274" t="s">
        <v>214</v>
      </c>
      <c r="D23" s="6">
        <v>250</v>
      </c>
      <c r="E23" s="377">
        <v>219</v>
      </c>
      <c r="F23" s="301"/>
      <c r="G23" s="301"/>
      <c r="H23" s="301">
        <v>1.1909099999999999E-2</v>
      </c>
      <c r="I23" s="301">
        <v>5.9545499999999994E-3</v>
      </c>
      <c r="J23" s="312">
        <f>IF(Dermal_Exp[[#This Row],[Worker Type]]&lt;&gt;"",(Dermal_Exp[[#This Row],[High-End Exposure to Liquid]]+Dermal_Exp[[#This Row],[High-End Exposure to Solids]]),"Not Assessed")</f>
        <v>1.1909099999999999E-2</v>
      </c>
      <c r="K23" s="301">
        <f>IF(Dermal_Exp[[#This Row],[Worker Type]]&lt;&gt;"",(Dermal_Exp[[#This Row],[ Central Tendency Exposure to Liquids]]+Dermal_Exp[[#This Row],[Central Tendency  Exposure to Solids]]),"Not Assessed")</f>
        <v>5.9545499999999994E-3</v>
      </c>
      <c r="L23" s="311">
        <f>IFERROR(Dermal_Exp[[#This Row],[High-End AD (mg/kg-day)]]*IF(Dermal_Exp[[#This Row],[ED_High-End]]&gt;EFID,EFID,Dermal_Exp[[#This Row],[ED_High-End]])/ID,"Not Assessed")</f>
        <v>8.7333399999999992E-3</v>
      </c>
      <c r="M23" s="311">
        <f>IFERROR(Dermal_Exp[[#This Row],[Central Tendency AD (mg/kg-day)]]*IF(Dermal_Exp[[#This Row],[ED_Central Tendency]]&gt;EFID,EFID,Dermal_Exp[[#This Row],[ED_Central Tendency]])/ID,"Not Assessed")</f>
        <v>4.3666699999999996E-3</v>
      </c>
      <c r="N23" s="301">
        <f>IFERROR(Dermal_Exp[[#This Row],[High-End AD (mg/kg-day)]]*Dermal_Exp[[#This Row],[ED_High-End]]*WY_high/(365*WY_high),"Not Assessed")</f>
        <v>8.156917808219177E-3</v>
      </c>
      <c r="O23" s="301">
        <f>IFERROR(Dermal_Exp[[#This Row],[Central Tendency AD (mg/kg-day)]]*Dermal_Exp[[#This Row],[ED_Central Tendency]]*WY_mid/(365*WY_mid),"Not Assessed")</f>
        <v>3.5727299999999997E-3</v>
      </c>
      <c r="P23" s="301">
        <f>IFERROR(Dermal_Exp[[#This Row],[High-End AD (mg/kg-day)]]*Dermal_Exp[[#This Row],[ED_High-End]]*WY_high/(365*LT),"Not Assessed")</f>
        <v>4.1830347734457315E-3</v>
      </c>
      <c r="Q23" s="313">
        <f>IFERROR(Dermal_Exp[[#This Row],[Central Tendency AD (mg/kg-day)]]*Dermal_Exp[[#This Row],[ED_Central Tendency]]*WY_mid/(365*LT),"Not Assessed")</f>
        <v>1.4199311538461538E-3</v>
      </c>
      <c r="R23" s="369">
        <f>Dermal_Exp[[#This Row],[High-End AD (mg/kg-day)]]*80</f>
        <v>0.95272799999999991</v>
      </c>
    </row>
    <row r="24" spans="1:18" ht="14.5" x14ac:dyDescent="0.3">
      <c r="A24" s="319">
        <v>3</v>
      </c>
      <c r="B24" s="441" t="s">
        <v>232</v>
      </c>
      <c r="C24" s="274" t="s">
        <v>74</v>
      </c>
      <c r="D24" s="6">
        <v>250</v>
      </c>
      <c r="E24" s="377">
        <v>219</v>
      </c>
      <c r="F24" s="338"/>
      <c r="G24" s="338"/>
      <c r="H24" s="301">
        <v>1.0945524861878452E-2</v>
      </c>
      <c r="I24" s="301">
        <v>5.4727624309392261E-3</v>
      </c>
      <c r="J24" s="312">
        <f>IF(Dermal_Exp[[#This Row],[Worker Type]]&lt;&gt;"",(Dermal_Exp[[#This Row],[High-End Exposure to Liquid]]+Dermal_Exp[[#This Row],[High-End Exposure to Solids]]),"Not Assessed")</f>
        <v>1.0945524861878452E-2</v>
      </c>
      <c r="K24" s="301">
        <f>IF(Dermal_Exp[[#This Row],[Worker Type]]&lt;&gt;"",(Dermal_Exp[[#This Row],[ Central Tendency Exposure to Liquids]]+Dermal_Exp[[#This Row],[Central Tendency  Exposure to Solids]]),"Not Assessed")</f>
        <v>5.4727624309392261E-3</v>
      </c>
      <c r="L24" s="311">
        <f>IFERROR(Dermal_Exp[[#This Row],[High-End AD (mg/kg-day)]]*IF(Dermal_Exp[[#This Row],[ED_High-End]]&gt;EFID,EFID,Dermal_Exp[[#This Row],[ED_High-End]])/ID,"Not Assessed")</f>
        <v>8.0267182320441985E-3</v>
      </c>
      <c r="M24" s="311">
        <f>IFERROR(Dermal_Exp[[#This Row],[Central Tendency AD (mg/kg-day)]]*IF(Dermal_Exp[[#This Row],[ED_Central Tendency]]&gt;EFID,EFID,Dermal_Exp[[#This Row],[ED_Central Tendency]])/ID,"Not Assessed")</f>
        <v>4.0133591160220992E-3</v>
      </c>
      <c r="N24" s="323">
        <f>IFERROR(Dermal_Exp[[#This Row],[High-End AD (mg/kg-day)]]*Dermal_Exp[[#This Row],[ED_High-End]]*WY_high/(365*WY_high),"Not Assessed")</f>
        <v>7.4969348369030497E-3</v>
      </c>
      <c r="O24" s="323">
        <f>IFERROR(Dermal_Exp[[#This Row],[Central Tendency AD (mg/kg-day)]]*Dermal_Exp[[#This Row],[ED_Central Tendency]]*WY_mid/(365*WY_mid),"Not Assessed")</f>
        <v>3.2836574585635358E-3</v>
      </c>
      <c r="P24" s="323">
        <f>IFERROR(Dermal_Exp[[#This Row],[High-End AD (mg/kg-day)]]*Dermal_Exp[[#This Row],[ED_High-End]]*WY_high/(365*LT),"Not Assessed")</f>
        <v>3.8445819676425894E-3</v>
      </c>
      <c r="Q24" s="313">
        <f>IFERROR(Dermal_Exp[[#This Row],[Central Tendency AD (mg/kg-day)]]*Dermal_Exp[[#This Row],[ED_Central Tendency]]*WY_mid/(365*LT),"Not Assessed")</f>
        <v>1.305043348916277E-3</v>
      </c>
      <c r="R24" s="369">
        <f>Dermal_Exp[[#This Row],[High-End AD (mg/kg-day)]]*80</f>
        <v>0.87564198895027623</v>
      </c>
    </row>
    <row r="25" spans="1:18" ht="14.5" x14ac:dyDescent="0.3">
      <c r="A25" s="319">
        <v>3</v>
      </c>
      <c r="B25" s="441" t="s">
        <v>232</v>
      </c>
      <c r="C25" s="274" t="s">
        <v>94</v>
      </c>
      <c r="D25" s="6">
        <v>250</v>
      </c>
      <c r="E25" s="377">
        <v>219</v>
      </c>
      <c r="F25" s="301"/>
      <c r="G25" s="301"/>
      <c r="H25" s="301">
        <v>2.9828399999999996E-3</v>
      </c>
      <c r="I25" s="301">
        <v>2.9828399999999996E-3</v>
      </c>
      <c r="J25" s="312">
        <f>IF(Dermal_Exp[[#This Row],[Worker Type]]&lt;&gt;"",(Dermal_Exp[[#This Row],[High-End Exposure to Liquid]]+Dermal_Exp[[#This Row],[High-End Exposure to Solids]]),"Not Assessed")</f>
        <v>2.9828399999999996E-3</v>
      </c>
      <c r="K25" s="301">
        <f>IF(Dermal_Exp[[#This Row],[Worker Type]]&lt;&gt;"",(Dermal_Exp[[#This Row],[ Central Tendency Exposure to Liquids]]+Dermal_Exp[[#This Row],[Central Tendency  Exposure to Solids]]),"Not Assessed")</f>
        <v>2.9828399999999996E-3</v>
      </c>
      <c r="L25" s="311">
        <f>IFERROR(Dermal_Exp[[#This Row],[High-End AD (mg/kg-day)]]*IF(Dermal_Exp[[#This Row],[ED_High-End]]&gt;EFID,EFID,Dermal_Exp[[#This Row],[ED_High-End]])/ID,"Not Assessed")</f>
        <v>2.1874159999999998E-3</v>
      </c>
      <c r="M25" s="311">
        <f>IFERROR(Dermal_Exp[[#This Row],[Central Tendency AD (mg/kg-day)]]*IF(Dermal_Exp[[#This Row],[ED_Central Tendency]]&gt;EFID,EFID,Dermal_Exp[[#This Row],[ED_Central Tendency]])/ID,"Not Assessed")</f>
        <v>2.1874159999999998E-3</v>
      </c>
      <c r="N25" s="301">
        <f>IFERROR(Dermal_Exp[[#This Row],[High-End AD (mg/kg-day)]]*Dermal_Exp[[#This Row],[ED_High-End]]*WY_high/(365*WY_high),"Not Assessed")</f>
        <v>2.0430410958904104E-3</v>
      </c>
      <c r="O25" s="301">
        <f>IFERROR(Dermal_Exp[[#This Row],[Central Tendency AD (mg/kg-day)]]*Dermal_Exp[[#This Row],[ED_Central Tendency]]*WY_mid/(365*WY_mid),"Not Assessed")</f>
        <v>1.7897039999999998E-3</v>
      </c>
      <c r="P25" s="301">
        <f>IFERROR(Dermal_Exp[[#This Row],[High-End AD (mg/kg-day)]]*Dermal_Exp[[#This Row],[ED_High-End]]*WY_high/(365*LT),"Not Assessed")</f>
        <v>1.047713382507903E-3</v>
      </c>
      <c r="Q25" s="313">
        <f>IFERROR(Dermal_Exp[[#This Row],[Central Tendency AD (mg/kg-day)]]*Dermal_Exp[[#This Row],[ED_Central Tendency]]*WY_mid/(365*LT),"Not Assessed")</f>
        <v>7.1129261538461531E-4</v>
      </c>
      <c r="R25" s="369">
        <f>Dermal_Exp[[#This Row],[High-End AD (mg/kg-day)]]*80</f>
        <v>0.23862719999999998</v>
      </c>
    </row>
    <row r="26" spans="1:18" ht="14.5" x14ac:dyDescent="0.3">
      <c r="A26" s="319">
        <v>3</v>
      </c>
      <c r="B26" s="441" t="s">
        <v>229</v>
      </c>
      <c r="C26" s="274" t="s">
        <v>214</v>
      </c>
      <c r="D26" s="6">
        <v>250</v>
      </c>
      <c r="E26" s="377">
        <v>234</v>
      </c>
      <c r="F26" s="443">
        <v>6.6339999999999996E-2</v>
      </c>
      <c r="G26" s="301">
        <v>3.3169999999999998E-2</v>
      </c>
      <c r="H26" s="301">
        <v>1.1900000000000001E-2</v>
      </c>
      <c r="I26" s="323">
        <v>6.0000000000000001E-3</v>
      </c>
      <c r="J26" s="312">
        <f>IF(Dermal_Exp[[#This Row],[Worker Type]]&lt;&gt;"",(Dermal_Exp[[#This Row],[High-End Exposure to Liquid]]+Dermal_Exp[[#This Row],[High-End Exposure to Solids]]),"Not Assessed")</f>
        <v>7.8240000000000004E-2</v>
      </c>
      <c r="K26" s="301">
        <f>IF(Dermal_Exp[[#This Row],[Worker Type]]&lt;&gt;"",(Dermal_Exp[[#This Row],[ Central Tendency Exposure to Liquids]]+Dermal_Exp[[#This Row],[Central Tendency  Exposure to Solids]]),"Not Assessed")</f>
        <v>3.9169999999999996E-2</v>
      </c>
      <c r="L26" s="311">
        <f>IFERROR(Dermal_Exp[[#This Row],[High-End AD (mg/kg-day)]]*IF(Dermal_Exp[[#This Row],[ED_High-End]]&gt;EFID,EFID,Dermal_Exp[[#This Row],[ED_High-End]])/ID,"Not Assessed")</f>
        <v>5.7376000000000003E-2</v>
      </c>
      <c r="M26" s="311">
        <f>IFERROR(Dermal_Exp[[#This Row],[Central Tendency AD (mg/kg-day)]]*IF(Dermal_Exp[[#This Row],[ED_Central Tendency]]&gt;EFID,EFID,Dermal_Exp[[#This Row],[ED_Central Tendency]])/ID,"Not Assessed")</f>
        <v>2.8724666666666666E-2</v>
      </c>
      <c r="N26" s="323">
        <f>IFERROR(Dermal_Exp[[#This Row],[High-End AD (mg/kg-day)]]*Dermal_Exp[[#This Row],[ED_High-End]]*WY_high/(365*WY_high),"Not Assessed")</f>
        <v>5.3589041095890418E-2</v>
      </c>
      <c r="O26" s="323">
        <f>IFERROR(Dermal_Exp[[#This Row],[Central Tendency AD (mg/kg-day)]]*Dermal_Exp[[#This Row],[ED_Central Tendency]]*WY_mid/(365*WY_mid),"Not Assessed")</f>
        <v>2.5111726027397262E-2</v>
      </c>
      <c r="P26" s="323">
        <f>IFERROR(Dermal_Exp[[#This Row],[High-End AD (mg/kg-day)]]*Dermal_Exp[[#This Row],[ED_High-End]]*WY_high/(365*LT),"Not Assessed")</f>
        <v>2.7481559536354061E-2</v>
      </c>
      <c r="Q26" s="313">
        <f>IFERROR(Dermal_Exp[[#This Row],[Central Tendency AD (mg/kg-day)]]*Dermal_Exp[[#This Row],[ED_Central Tendency]]*WY_mid/(365*LT),"Not Assessed")</f>
        <v>9.9803013698630139E-3</v>
      </c>
      <c r="R26" s="369">
        <f>Dermal_Exp[[#This Row],[High-End AD (mg/kg-day)]]*80</f>
        <v>6.2591999999999999</v>
      </c>
    </row>
    <row r="27" spans="1:18" ht="14.5" x14ac:dyDescent="0.3">
      <c r="A27" s="319">
        <v>3</v>
      </c>
      <c r="B27" s="441" t="s">
        <v>229</v>
      </c>
      <c r="C27" s="274" t="s">
        <v>74</v>
      </c>
      <c r="D27" s="6">
        <v>250</v>
      </c>
      <c r="E27" s="377">
        <v>234</v>
      </c>
      <c r="F27" s="301">
        <v>6.0972375690607726E-2</v>
      </c>
      <c r="G27" s="301">
        <v>3.0486187845303863E-2</v>
      </c>
      <c r="H27" s="301">
        <v>1.0945524861878452E-2</v>
      </c>
      <c r="I27" s="301">
        <v>5.4727624309392261E-3</v>
      </c>
      <c r="J27" s="312">
        <f>IF(Dermal_Exp[[#This Row],[Worker Type]]&lt;&gt;"",(Dermal_Exp[[#This Row],[High-End Exposure to Liquid]]+Dermal_Exp[[#This Row],[High-End Exposure to Solids]]),"Not Assessed")</f>
        <v>7.1917900552486175E-2</v>
      </c>
      <c r="K27" s="301">
        <f>IF(Dermal_Exp[[#This Row],[Worker Type]]&lt;&gt;"",(Dermal_Exp[[#This Row],[ Central Tendency Exposure to Liquids]]+Dermal_Exp[[#This Row],[Central Tendency  Exposure to Solids]]),"Not Assessed")</f>
        <v>3.5958950276243087E-2</v>
      </c>
      <c r="L27" s="311">
        <f>IFERROR(Dermal_Exp[[#This Row],[High-End AD (mg/kg-day)]]*IF(Dermal_Exp[[#This Row],[ED_High-End]]&gt;EFID,EFID,Dermal_Exp[[#This Row],[ED_High-End]])/ID,"Not Assessed")</f>
        <v>5.2739793738489867E-2</v>
      </c>
      <c r="M27" s="311">
        <f>IFERROR(Dermal_Exp[[#This Row],[Central Tendency AD (mg/kg-day)]]*IF(Dermal_Exp[[#This Row],[ED_Central Tendency]]&gt;EFID,EFID,Dermal_Exp[[#This Row],[ED_Central Tendency]])/ID,"Not Assessed")</f>
        <v>2.6369896869244933E-2</v>
      </c>
      <c r="N27" s="301">
        <f>IFERROR(Dermal_Exp[[#This Row],[High-End AD (mg/kg-day)]]*Dermal_Exp[[#This Row],[ED_High-End]]*WY_high/(365*WY_high),"Not Assessed")</f>
        <v>4.9258835994853541E-2</v>
      </c>
      <c r="O27" s="301">
        <f>IFERROR(Dermal_Exp[[#This Row],[Central Tendency AD (mg/kg-day)]]*Dermal_Exp[[#This Row],[ED_Central Tendency]]*WY_mid/(365*WY_mid),"Not Assessed")</f>
        <v>2.3053135245591459E-2</v>
      </c>
      <c r="P27" s="301">
        <f>IFERROR(Dermal_Exp[[#This Row],[High-End AD (mg/kg-day)]]*Dermal_Exp[[#This Row],[ED_High-End]]*WY_high/(365*LT),"Not Assessed")</f>
        <v>2.526094153582233E-2</v>
      </c>
      <c r="Q27" s="313">
        <f>IFERROR(Dermal_Exp[[#This Row],[Central Tendency AD (mg/kg-day)]]*Dermal_Exp[[#This Row],[ED_Central Tendency]]*WY_mid/(365*LT),"Not Assessed")</f>
        <v>9.1621434950427596E-3</v>
      </c>
      <c r="R27" s="369">
        <f>Dermal_Exp[[#This Row],[High-End AD (mg/kg-day)]]*80</f>
        <v>5.7534320441988935</v>
      </c>
    </row>
    <row r="28" spans="1:18" ht="14.5" x14ac:dyDescent="0.3">
      <c r="A28" s="319">
        <v>3</v>
      </c>
      <c r="B28" s="441" t="s">
        <v>229</v>
      </c>
      <c r="C28" s="274" t="s">
        <v>94</v>
      </c>
      <c r="D28" s="6">
        <v>250</v>
      </c>
      <c r="E28" s="377">
        <v>234</v>
      </c>
      <c r="F28" s="301"/>
      <c r="G28" s="301"/>
      <c r="H28" s="301">
        <v>2.9828399999999996E-3</v>
      </c>
      <c r="I28" s="301">
        <v>2.9828399999999996E-3</v>
      </c>
      <c r="J28" s="312">
        <f>IF(Dermal_Exp[[#This Row],[Worker Type]]&lt;&gt;"",(Dermal_Exp[[#This Row],[High-End Exposure to Liquid]]+Dermal_Exp[[#This Row],[High-End Exposure to Solids]]),"Not Assessed")</f>
        <v>2.9828399999999996E-3</v>
      </c>
      <c r="K28" s="301">
        <f>IF(Dermal_Exp[[#This Row],[Worker Type]]&lt;&gt;"",(Dermal_Exp[[#This Row],[ Central Tendency Exposure to Liquids]]+Dermal_Exp[[#This Row],[Central Tendency  Exposure to Solids]]),"Not Assessed")</f>
        <v>2.9828399999999996E-3</v>
      </c>
      <c r="L28" s="311">
        <f>IFERROR(Dermal_Exp[[#This Row],[High-End AD (mg/kg-day)]]*IF(Dermal_Exp[[#This Row],[ED_High-End]]&gt;EFID,EFID,Dermal_Exp[[#This Row],[ED_High-End]])/ID,"Not Assessed")</f>
        <v>2.1874159999999998E-3</v>
      </c>
      <c r="M28" s="311">
        <f>IFERROR(Dermal_Exp[[#This Row],[Central Tendency AD (mg/kg-day)]]*IF(Dermal_Exp[[#This Row],[ED_Central Tendency]]&gt;EFID,EFID,Dermal_Exp[[#This Row],[ED_Central Tendency]])/ID,"Not Assessed")</f>
        <v>2.1874159999999998E-3</v>
      </c>
      <c r="N28" s="301">
        <f>IFERROR(Dermal_Exp[[#This Row],[High-End AD (mg/kg-day)]]*Dermal_Exp[[#This Row],[ED_High-End]]*WY_high/(365*WY_high),"Not Assessed")</f>
        <v>2.0430410958904104E-3</v>
      </c>
      <c r="O28" s="301">
        <f>IFERROR(Dermal_Exp[[#This Row],[Central Tendency AD (mg/kg-day)]]*Dermal_Exp[[#This Row],[ED_Central Tendency]]*WY_mid/(365*WY_mid),"Not Assessed")</f>
        <v>1.9122864657534243E-3</v>
      </c>
      <c r="P28" s="301">
        <f>IFERROR(Dermal_Exp[[#This Row],[High-End AD (mg/kg-day)]]*Dermal_Exp[[#This Row],[ED_High-End]]*WY_high/(365*LT),"Not Assessed")</f>
        <v>1.047713382507903E-3</v>
      </c>
      <c r="Q28" s="313">
        <f>IFERROR(Dermal_Exp[[#This Row],[Central Tendency AD (mg/kg-day)]]*Dermal_Exp[[#This Row],[ED_Central Tendency]]*WY_mid/(365*LT),"Not Assessed")</f>
        <v>7.6001128767123275E-4</v>
      </c>
      <c r="R28" s="369">
        <f>Dermal_Exp[[#This Row],[High-End AD (mg/kg-day)]]*80</f>
        <v>0.23862719999999998</v>
      </c>
    </row>
    <row r="29" spans="1:18" ht="14.5" x14ac:dyDescent="0.3">
      <c r="A29" s="319">
        <v>3</v>
      </c>
      <c r="B29" s="441" t="s">
        <v>231</v>
      </c>
      <c r="C29" s="274" t="s">
        <v>214</v>
      </c>
      <c r="D29" s="6">
        <v>250</v>
      </c>
      <c r="E29" s="377">
        <v>219</v>
      </c>
      <c r="F29" s="338"/>
      <c r="G29" s="338"/>
      <c r="H29" s="301">
        <v>1.1909099999999999E-2</v>
      </c>
      <c r="I29" s="301">
        <v>5.9545499999999994E-3</v>
      </c>
      <c r="J29" s="312">
        <f>IF(Dermal_Exp[[#This Row],[Worker Type]]&lt;&gt;"",(Dermal_Exp[[#This Row],[High-End Exposure to Liquid]]+Dermal_Exp[[#This Row],[High-End Exposure to Solids]]),"Not Assessed")</f>
        <v>1.1909099999999999E-2</v>
      </c>
      <c r="K29" s="301">
        <f>IF(Dermal_Exp[[#This Row],[Worker Type]]&lt;&gt;"",(Dermal_Exp[[#This Row],[ Central Tendency Exposure to Liquids]]+Dermal_Exp[[#This Row],[Central Tendency  Exposure to Solids]]),"Not Assessed")</f>
        <v>5.9545499999999994E-3</v>
      </c>
      <c r="L29" s="311">
        <f>IFERROR(Dermal_Exp[[#This Row],[High-End AD (mg/kg-day)]]*IF(Dermal_Exp[[#This Row],[ED_High-End]]&gt;EFID,EFID,Dermal_Exp[[#This Row],[ED_High-End]])/ID,"Not Assessed")</f>
        <v>8.7333399999999992E-3</v>
      </c>
      <c r="M29" s="311">
        <f>IFERROR(Dermal_Exp[[#This Row],[Central Tendency AD (mg/kg-day)]]*IF(Dermal_Exp[[#This Row],[ED_Central Tendency]]&gt;EFID,EFID,Dermal_Exp[[#This Row],[ED_Central Tendency]])/ID,"Not Assessed")</f>
        <v>4.3666699999999996E-3</v>
      </c>
      <c r="N29" s="301">
        <f>IFERROR(Dermal_Exp[[#This Row],[High-End AD (mg/kg-day)]]*Dermal_Exp[[#This Row],[ED_High-End]]*WY_high/(365*WY_high),"Not Assessed")</f>
        <v>8.156917808219177E-3</v>
      </c>
      <c r="O29" s="301">
        <f>IFERROR(Dermal_Exp[[#This Row],[Central Tendency AD (mg/kg-day)]]*Dermal_Exp[[#This Row],[ED_Central Tendency]]*WY_mid/(365*WY_mid),"Not Assessed")</f>
        <v>3.5727299999999997E-3</v>
      </c>
      <c r="P29" s="301">
        <f>IFERROR(Dermal_Exp[[#This Row],[High-End AD (mg/kg-day)]]*Dermal_Exp[[#This Row],[ED_High-End]]*WY_high/(365*LT),"Not Assessed")</f>
        <v>4.1830347734457315E-3</v>
      </c>
      <c r="Q29" s="313">
        <f>IFERROR(Dermal_Exp[[#This Row],[Central Tendency AD (mg/kg-day)]]*Dermal_Exp[[#This Row],[ED_Central Tendency]]*WY_mid/(365*LT),"Not Assessed")</f>
        <v>1.4199311538461538E-3</v>
      </c>
      <c r="R29" s="369">
        <f>Dermal_Exp[[#This Row],[High-End AD (mg/kg-day)]]*80</f>
        <v>0.95272799999999991</v>
      </c>
    </row>
    <row r="30" spans="1:18" ht="14.5" x14ac:dyDescent="0.3">
      <c r="A30" s="319">
        <v>3</v>
      </c>
      <c r="B30" s="441" t="s">
        <v>231</v>
      </c>
      <c r="C30" s="274" t="s">
        <v>74</v>
      </c>
      <c r="D30" s="6">
        <v>250</v>
      </c>
      <c r="E30" s="377">
        <v>219</v>
      </c>
      <c r="F30" s="301"/>
      <c r="G30" s="301"/>
      <c r="H30" s="301">
        <v>1.0945524861878452E-2</v>
      </c>
      <c r="I30" s="301">
        <v>5.4727624309392261E-3</v>
      </c>
      <c r="J30" s="312">
        <f>IF(Dermal_Exp[[#This Row],[Worker Type]]&lt;&gt;"",(Dermal_Exp[[#This Row],[High-End Exposure to Liquid]]+Dermal_Exp[[#This Row],[High-End Exposure to Solids]]),"Not Assessed")</f>
        <v>1.0945524861878452E-2</v>
      </c>
      <c r="K30" s="301">
        <f>IF(Dermal_Exp[[#This Row],[Worker Type]]&lt;&gt;"",(Dermal_Exp[[#This Row],[ Central Tendency Exposure to Liquids]]+Dermal_Exp[[#This Row],[Central Tendency  Exposure to Solids]]),"Not Assessed")</f>
        <v>5.4727624309392261E-3</v>
      </c>
      <c r="L30" s="311">
        <f>IFERROR(Dermal_Exp[[#This Row],[High-End AD (mg/kg-day)]]*IF(Dermal_Exp[[#This Row],[ED_High-End]]&gt;EFID,EFID,Dermal_Exp[[#This Row],[ED_High-End]])/ID,"Not Assessed")</f>
        <v>8.0267182320441985E-3</v>
      </c>
      <c r="M30" s="311">
        <f>IFERROR(Dermal_Exp[[#This Row],[Central Tendency AD (mg/kg-day)]]*IF(Dermal_Exp[[#This Row],[ED_Central Tendency]]&gt;EFID,EFID,Dermal_Exp[[#This Row],[ED_Central Tendency]])/ID,"Not Assessed")</f>
        <v>4.0133591160220992E-3</v>
      </c>
      <c r="N30" s="323">
        <f>IFERROR(Dermal_Exp[[#This Row],[High-End AD (mg/kg-day)]]*Dermal_Exp[[#This Row],[ED_High-End]]*WY_high/(365*WY_high),"Not Assessed")</f>
        <v>7.4969348369030497E-3</v>
      </c>
      <c r="O30" s="323">
        <f>IFERROR(Dermal_Exp[[#This Row],[Central Tendency AD (mg/kg-day)]]*Dermal_Exp[[#This Row],[ED_Central Tendency]]*WY_mid/(365*WY_mid),"Not Assessed")</f>
        <v>3.2836574585635358E-3</v>
      </c>
      <c r="P30" s="323">
        <f>IFERROR(Dermal_Exp[[#This Row],[High-End AD (mg/kg-day)]]*Dermal_Exp[[#This Row],[ED_High-End]]*WY_high/(365*LT),"Not Assessed")</f>
        <v>3.8445819676425894E-3</v>
      </c>
      <c r="Q30" s="313">
        <f>IFERROR(Dermal_Exp[[#This Row],[Central Tendency AD (mg/kg-day)]]*Dermal_Exp[[#This Row],[ED_Central Tendency]]*WY_mid/(365*LT),"Not Assessed")</f>
        <v>1.305043348916277E-3</v>
      </c>
      <c r="R30" s="369">
        <f>Dermal_Exp[[#This Row],[High-End AD (mg/kg-day)]]*80</f>
        <v>0.87564198895027623</v>
      </c>
    </row>
    <row r="31" spans="1:18" ht="14.5" x14ac:dyDescent="0.3">
      <c r="A31" s="319">
        <v>3</v>
      </c>
      <c r="B31" s="441" t="s">
        <v>231</v>
      </c>
      <c r="C31" s="274" t="s">
        <v>94</v>
      </c>
      <c r="D31" s="6">
        <v>250</v>
      </c>
      <c r="E31" s="377">
        <v>219</v>
      </c>
      <c r="F31" s="301"/>
      <c r="G31" s="301"/>
      <c r="H31" s="301">
        <v>2.9828399999999996E-3</v>
      </c>
      <c r="I31" s="301">
        <v>2.9828399999999996E-3</v>
      </c>
      <c r="J31" s="312">
        <f>IF(Dermal_Exp[[#This Row],[Worker Type]]&lt;&gt;"",(Dermal_Exp[[#This Row],[High-End Exposure to Liquid]]+Dermal_Exp[[#This Row],[High-End Exposure to Solids]]),"Not Assessed")</f>
        <v>2.9828399999999996E-3</v>
      </c>
      <c r="K31" s="301">
        <f>IF(Dermal_Exp[[#This Row],[Worker Type]]&lt;&gt;"",(Dermal_Exp[[#This Row],[ Central Tendency Exposure to Liquids]]+Dermal_Exp[[#This Row],[Central Tendency  Exposure to Solids]]),"Not Assessed")</f>
        <v>2.9828399999999996E-3</v>
      </c>
      <c r="L31" s="311">
        <f>IFERROR(Dermal_Exp[[#This Row],[High-End AD (mg/kg-day)]]*IF(Dermal_Exp[[#This Row],[ED_High-End]]&gt;EFID,EFID,Dermal_Exp[[#This Row],[ED_High-End]])/ID,"Not Assessed")</f>
        <v>2.1874159999999998E-3</v>
      </c>
      <c r="M31" s="311">
        <f>IFERROR(Dermal_Exp[[#This Row],[Central Tendency AD (mg/kg-day)]]*IF(Dermal_Exp[[#This Row],[ED_Central Tendency]]&gt;EFID,EFID,Dermal_Exp[[#This Row],[ED_Central Tendency]])/ID,"Not Assessed")</f>
        <v>2.1874159999999998E-3</v>
      </c>
      <c r="N31" s="301">
        <f>IFERROR(Dermal_Exp[[#This Row],[High-End AD (mg/kg-day)]]*Dermal_Exp[[#This Row],[ED_High-End]]*WY_high/(365*WY_high),"Not Assessed")</f>
        <v>2.0430410958904104E-3</v>
      </c>
      <c r="O31" s="301">
        <f>IFERROR(Dermal_Exp[[#This Row],[Central Tendency AD (mg/kg-day)]]*Dermal_Exp[[#This Row],[ED_Central Tendency]]*WY_mid/(365*WY_mid),"Not Assessed")</f>
        <v>1.7897039999999998E-3</v>
      </c>
      <c r="P31" s="301">
        <f>IFERROR(Dermal_Exp[[#This Row],[High-End AD (mg/kg-day)]]*Dermal_Exp[[#This Row],[ED_High-End]]*WY_high/(365*LT),"Not Assessed")</f>
        <v>1.047713382507903E-3</v>
      </c>
      <c r="Q31" s="313">
        <f>IFERROR(Dermal_Exp[[#This Row],[Central Tendency AD (mg/kg-day)]]*Dermal_Exp[[#This Row],[ED_Central Tendency]]*WY_mid/(365*LT),"Not Assessed")</f>
        <v>7.1129261538461531E-4</v>
      </c>
      <c r="R31" s="369">
        <f>Dermal_Exp[[#This Row],[High-End AD (mg/kg-day)]]*80</f>
        <v>0.23862719999999998</v>
      </c>
    </row>
    <row r="32" spans="1:18" ht="14.5" x14ac:dyDescent="0.3">
      <c r="A32" s="319">
        <v>4</v>
      </c>
      <c r="B32" s="441" t="s">
        <v>266</v>
      </c>
      <c r="C32" s="274" t="s">
        <v>214</v>
      </c>
      <c r="D32" s="6">
        <v>250</v>
      </c>
      <c r="E32" s="377">
        <v>250</v>
      </c>
      <c r="F32" s="443">
        <v>6.6339999999999996E-2</v>
      </c>
      <c r="G32" s="301">
        <v>3.3169999999999998E-2</v>
      </c>
      <c r="H32" s="301"/>
      <c r="I32" s="301"/>
      <c r="J32" s="312">
        <f>IF(Dermal_Exp[[#This Row],[Worker Type]]&lt;&gt;"",(Dermal_Exp[[#This Row],[High-End Exposure to Liquid]]+Dermal_Exp[[#This Row],[High-End Exposure to Solids]]),"Not Assessed")</f>
        <v>6.6339999999999996E-2</v>
      </c>
      <c r="K32" s="301">
        <f>IF(Dermal_Exp[[#This Row],[Worker Type]]&lt;&gt;"",(Dermal_Exp[[#This Row],[ Central Tendency Exposure to Liquids]]+Dermal_Exp[[#This Row],[Central Tendency  Exposure to Solids]]),"Not Assessed")</f>
        <v>3.3169999999999998E-2</v>
      </c>
      <c r="L32" s="311">
        <f>IFERROR(Dermal_Exp[[#This Row],[High-End AD (mg/kg-day)]]*IF(Dermal_Exp[[#This Row],[ED_High-End]]&gt;EFID,EFID,Dermal_Exp[[#This Row],[ED_High-End]])/ID,"Not Assessed")</f>
        <v>4.8649333333333329E-2</v>
      </c>
      <c r="M32" s="311">
        <f>IFERROR(Dermal_Exp[[#This Row],[Central Tendency AD (mg/kg-day)]]*IF(Dermal_Exp[[#This Row],[ED_Central Tendency]]&gt;EFID,EFID,Dermal_Exp[[#This Row],[ED_Central Tendency]])/ID,"Not Assessed")</f>
        <v>2.4324666666666665E-2</v>
      </c>
      <c r="N32" s="301">
        <f>IFERROR(Dermal_Exp[[#This Row],[High-End AD (mg/kg-day)]]*Dermal_Exp[[#This Row],[ED_High-End]]*WY_high/(365*WY_high),"Not Assessed")</f>
        <v>4.5438356164383555E-2</v>
      </c>
      <c r="O32" s="301">
        <f>IFERROR(Dermal_Exp[[#This Row],[Central Tendency AD (mg/kg-day)]]*Dermal_Exp[[#This Row],[ED_Central Tendency]]*WY_mid/(365*WY_mid),"Not Assessed")</f>
        <v>2.2719178082191774E-2</v>
      </c>
      <c r="P32" s="301">
        <f>IFERROR(Dermal_Exp[[#This Row],[High-End AD (mg/kg-day)]]*Dermal_Exp[[#This Row],[ED_High-End]]*WY_high/(365*LT),"Not Assessed")</f>
        <v>2.3301721109940284E-2</v>
      </c>
      <c r="Q32" s="313">
        <f>IFERROR(Dermal_Exp[[#This Row],[Central Tendency AD (mg/kg-day)]]*Dermal_Exp[[#This Row],[ED_Central Tendency]]*WY_mid/(365*LT),"Not Assessed")</f>
        <v>9.0294169301018603E-3</v>
      </c>
      <c r="R32" s="369">
        <f>Dermal_Exp[[#This Row],[High-End AD (mg/kg-day)]]*80</f>
        <v>5.3071999999999999</v>
      </c>
    </row>
    <row r="33" spans="1:18" ht="14.5" x14ac:dyDescent="0.3">
      <c r="A33" s="319">
        <v>4</v>
      </c>
      <c r="B33" s="441" t="s">
        <v>266</v>
      </c>
      <c r="C33" s="274" t="s">
        <v>74</v>
      </c>
      <c r="D33" s="6">
        <v>250</v>
      </c>
      <c r="E33" s="377">
        <v>250</v>
      </c>
      <c r="F33" s="301">
        <v>6.0972375690607726E-2</v>
      </c>
      <c r="G33" s="301">
        <v>3.0486187845303863E-2</v>
      </c>
      <c r="H33" s="301"/>
      <c r="I33" s="301"/>
      <c r="J33" s="312">
        <f>IF(Dermal_Exp[[#This Row],[Worker Type]]&lt;&gt;"",(Dermal_Exp[[#This Row],[High-End Exposure to Liquid]]+Dermal_Exp[[#This Row],[High-End Exposure to Solids]]),"Not Assessed")</f>
        <v>6.0972375690607726E-2</v>
      </c>
      <c r="K33" s="301">
        <f>IF(Dermal_Exp[[#This Row],[Worker Type]]&lt;&gt;"",(Dermal_Exp[[#This Row],[ Central Tendency Exposure to Liquids]]+Dermal_Exp[[#This Row],[Central Tendency  Exposure to Solids]]),"Not Assessed")</f>
        <v>3.0486187845303863E-2</v>
      </c>
      <c r="L33" s="311">
        <f>IFERROR(Dermal_Exp[[#This Row],[High-End AD (mg/kg-day)]]*IF(Dermal_Exp[[#This Row],[ED_High-End]]&gt;EFID,EFID,Dermal_Exp[[#This Row],[ED_High-End]])/ID,"Not Assessed")</f>
        <v>4.4713075506445668E-2</v>
      </c>
      <c r="M33" s="311">
        <f>IFERROR(Dermal_Exp[[#This Row],[Central Tendency AD (mg/kg-day)]]*IF(Dermal_Exp[[#This Row],[ED_Central Tendency]]&gt;EFID,EFID,Dermal_Exp[[#This Row],[ED_Central Tendency]])/ID,"Not Assessed")</f>
        <v>2.2356537753222834E-2</v>
      </c>
      <c r="N33" s="323">
        <f>IFERROR(Dermal_Exp[[#This Row],[High-End AD (mg/kg-day)]]*Dermal_Exp[[#This Row],[ED_High-End]]*WY_high/(365*WY_high),"Not Assessed")</f>
        <v>4.1761901157950497E-2</v>
      </c>
      <c r="O33" s="323">
        <f>IFERROR(Dermal_Exp[[#This Row],[Central Tendency AD (mg/kg-day)]]*Dermal_Exp[[#This Row],[ED_Central Tendency]]*WY_mid/(365*WY_mid),"Not Assessed")</f>
        <v>2.0880950578975249E-2</v>
      </c>
      <c r="P33" s="323">
        <f>IFERROR(Dermal_Exp[[#This Row],[High-End AD (mg/kg-day)]]*Dermal_Exp[[#This Row],[ED_High-End]]*WY_high/(365*LT),"Not Assessed")</f>
        <v>2.1416359568179742E-2</v>
      </c>
      <c r="Q33" s="313">
        <f>IFERROR(Dermal_Exp[[#This Row],[Central Tendency AD (mg/kg-day)]]*Dermal_Exp[[#This Row],[ED_Central Tendency]]*WY_mid/(365*LT),"Not Assessed")</f>
        <v>8.2988393326696493E-3</v>
      </c>
      <c r="R33" s="369">
        <f>Dermal_Exp[[#This Row],[High-End AD (mg/kg-day)]]*80</f>
        <v>4.8777900552486182</v>
      </c>
    </row>
    <row r="34" spans="1:18" ht="14.5" x14ac:dyDescent="0.3">
      <c r="A34" s="319">
        <v>4</v>
      </c>
      <c r="B34" s="441" t="s">
        <v>266</v>
      </c>
      <c r="C34" s="274" t="s">
        <v>94</v>
      </c>
      <c r="D34" s="6">
        <v>250</v>
      </c>
      <c r="E34" s="377">
        <v>250</v>
      </c>
      <c r="F34" s="301">
        <v>1.6584999999999999E-2</v>
      </c>
      <c r="G34" s="301">
        <v>1.6584999999999999E-2</v>
      </c>
      <c r="H34" s="301"/>
      <c r="I34" s="301"/>
      <c r="J34" s="312">
        <f>IF(Dermal_Exp[[#This Row],[Worker Type]]&lt;&gt;"",(Dermal_Exp[[#This Row],[High-End Exposure to Liquid]]+Dermal_Exp[[#This Row],[High-End Exposure to Solids]]),"Not Assessed")</f>
        <v>1.6584999999999999E-2</v>
      </c>
      <c r="K34" s="301">
        <f>IF(Dermal_Exp[[#This Row],[Worker Type]]&lt;&gt;"",(Dermal_Exp[[#This Row],[ Central Tendency Exposure to Liquids]]+Dermal_Exp[[#This Row],[Central Tendency  Exposure to Solids]]),"Not Assessed")</f>
        <v>1.6584999999999999E-2</v>
      </c>
      <c r="L34" s="311">
        <f>IFERROR(Dermal_Exp[[#This Row],[High-End AD (mg/kg-day)]]*IF(Dermal_Exp[[#This Row],[ED_High-End]]&gt;EFID,EFID,Dermal_Exp[[#This Row],[ED_High-End]])/ID,"Not Assessed")</f>
        <v>1.2162333333333332E-2</v>
      </c>
      <c r="M34" s="311">
        <f>IFERROR(Dermal_Exp[[#This Row],[Central Tendency AD (mg/kg-day)]]*IF(Dermal_Exp[[#This Row],[ED_Central Tendency]]&gt;EFID,EFID,Dermal_Exp[[#This Row],[ED_Central Tendency]])/ID,"Not Assessed")</f>
        <v>1.2162333333333332E-2</v>
      </c>
      <c r="N34" s="301">
        <f>IFERROR(Dermal_Exp[[#This Row],[High-End AD (mg/kg-day)]]*Dermal_Exp[[#This Row],[ED_High-End]]*WY_high/(365*WY_high),"Not Assessed")</f>
        <v>1.1359589041095889E-2</v>
      </c>
      <c r="O34" s="301">
        <f>IFERROR(Dermal_Exp[[#This Row],[Central Tendency AD (mg/kg-day)]]*Dermal_Exp[[#This Row],[ED_Central Tendency]]*WY_mid/(365*WY_mid),"Not Assessed")</f>
        <v>1.1359589041095887E-2</v>
      </c>
      <c r="P34" s="301">
        <f>IFERROR(Dermal_Exp[[#This Row],[High-End AD (mg/kg-day)]]*Dermal_Exp[[#This Row],[ED_High-End]]*WY_high/(365*LT),"Not Assessed")</f>
        <v>5.8254302774850709E-3</v>
      </c>
      <c r="Q34" s="313">
        <f>IFERROR(Dermal_Exp[[#This Row],[Central Tendency AD (mg/kg-day)]]*Dermal_Exp[[#This Row],[ED_Central Tendency]]*WY_mid/(365*LT),"Not Assessed")</f>
        <v>4.5147084650509301E-3</v>
      </c>
      <c r="R34" s="369">
        <f>Dermal_Exp[[#This Row],[High-End AD (mg/kg-day)]]*80</f>
        <v>1.3268</v>
      </c>
    </row>
    <row r="35" spans="1:18" ht="14.5" x14ac:dyDescent="0.3">
      <c r="A35" s="319">
        <v>4</v>
      </c>
      <c r="B35" s="441" t="s">
        <v>234</v>
      </c>
      <c r="C35" s="274" t="s">
        <v>214</v>
      </c>
      <c r="D35" s="6">
        <v>250</v>
      </c>
      <c r="E35" s="377">
        <v>232</v>
      </c>
      <c r="F35" s="443">
        <v>6.6339999999999996E-2</v>
      </c>
      <c r="G35" s="301">
        <v>3.3169999999999998E-2</v>
      </c>
      <c r="H35" s="301"/>
      <c r="I35" s="301"/>
      <c r="J35" s="312">
        <f>IF(Dermal_Exp[[#This Row],[Worker Type]]&lt;&gt;"",(Dermal_Exp[[#This Row],[High-End Exposure to Liquid]]+Dermal_Exp[[#This Row],[High-End Exposure to Solids]]),"Not Assessed")</f>
        <v>6.6339999999999996E-2</v>
      </c>
      <c r="K35" s="301">
        <f>IF(Dermal_Exp[[#This Row],[Worker Type]]&lt;&gt;"",(Dermal_Exp[[#This Row],[ Central Tendency Exposure to Liquids]]+Dermal_Exp[[#This Row],[Central Tendency  Exposure to Solids]]),"Not Assessed")</f>
        <v>3.3169999999999998E-2</v>
      </c>
      <c r="L35" s="311">
        <f>IFERROR(Dermal_Exp[[#This Row],[High-End AD (mg/kg-day)]]*IF(Dermal_Exp[[#This Row],[ED_High-End]]&gt;EFID,EFID,Dermal_Exp[[#This Row],[ED_High-End]])/ID,"Not Assessed")</f>
        <v>4.8649333333333329E-2</v>
      </c>
      <c r="M35" s="311">
        <f>IFERROR(Dermal_Exp[[#This Row],[Central Tendency AD (mg/kg-day)]]*IF(Dermal_Exp[[#This Row],[ED_Central Tendency]]&gt;EFID,EFID,Dermal_Exp[[#This Row],[ED_Central Tendency]])/ID,"Not Assessed")</f>
        <v>2.4324666666666665E-2</v>
      </c>
      <c r="N35" s="301">
        <f>IFERROR(Dermal_Exp[[#This Row],[High-End AD (mg/kg-day)]]*Dermal_Exp[[#This Row],[ED_High-End]]*WY_high/(365*WY_high),"Not Assessed")</f>
        <v>4.5438356164383555E-2</v>
      </c>
      <c r="O35" s="301">
        <f>IFERROR(Dermal_Exp[[#This Row],[Central Tendency AD (mg/kg-day)]]*Dermal_Exp[[#This Row],[ED_Central Tendency]]*WY_mid/(365*WY_mid),"Not Assessed")</f>
        <v>2.1083397260273973E-2</v>
      </c>
      <c r="P35" s="301">
        <f>IFERROR(Dermal_Exp[[#This Row],[High-End AD (mg/kg-day)]]*Dermal_Exp[[#This Row],[ED_High-End]]*WY_high/(365*LT),"Not Assessed")</f>
        <v>2.3301721109940284E-2</v>
      </c>
      <c r="Q35" s="313">
        <f>IFERROR(Dermal_Exp[[#This Row],[Central Tendency AD (mg/kg-day)]]*Dermal_Exp[[#This Row],[ED_Central Tendency]]*WY_mid/(365*LT),"Not Assessed")</f>
        <v>8.3792989111345275E-3</v>
      </c>
      <c r="R35" s="369">
        <f>Dermal_Exp[[#This Row],[High-End AD (mg/kg-day)]]*80</f>
        <v>5.3071999999999999</v>
      </c>
    </row>
    <row r="36" spans="1:18" ht="14.5" x14ac:dyDescent="0.3">
      <c r="A36" s="319">
        <v>4</v>
      </c>
      <c r="B36" s="441" t="s">
        <v>234</v>
      </c>
      <c r="C36" s="274" t="s">
        <v>74</v>
      </c>
      <c r="D36" s="6">
        <v>250</v>
      </c>
      <c r="E36" s="377">
        <v>232</v>
      </c>
      <c r="F36" s="301">
        <v>6.0972375690607726E-2</v>
      </c>
      <c r="G36" s="301">
        <v>3.0486187845303863E-2</v>
      </c>
      <c r="H36" s="301"/>
      <c r="I36" s="301"/>
      <c r="J36" s="312">
        <f>IF(Dermal_Exp[[#This Row],[Worker Type]]&lt;&gt;"",(Dermal_Exp[[#This Row],[High-End Exposure to Liquid]]+Dermal_Exp[[#This Row],[High-End Exposure to Solids]]),"Not Assessed")</f>
        <v>6.0972375690607726E-2</v>
      </c>
      <c r="K36" s="301">
        <f>IF(Dermal_Exp[[#This Row],[Worker Type]]&lt;&gt;"",(Dermal_Exp[[#This Row],[ Central Tendency Exposure to Liquids]]+Dermal_Exp[[#This Row],[Central Tendency  Exposure to Solids]]),"Not Assessed")</f>
        <v>3.0486187845303863E-2</v>
      </c>
      <c r="L36" s="311">
        <f>IFERROR(Dermal_Exp[[#This Row],[High-End AD (mg/kg-day)]]*IF(Dermal_Exp[[#This Row],[ED_High-End]]&gt;EFID,EFID,Dermal_Exp[[#This Row],[ED_High-End]])/ID,"Not Assessed")</f>
        <v>4.4713075506445668E-2</v>
      </c>
      <c r="M36" s="311">
        <f>IFERROR(Dermal_Exp[[#This Row],[Central Tendency AD (mg/kg-day)]]*IF(Dermal_Exp[[#This Row],[ED_Central Tendency]]&gt;EFID,EFID,Dermal_Exp[[#This Row],[ED_Central Tendency]])/ID,"Not Assessed")</f>
        <v>2.2356537753222834E-2</v>
      </c>
      <c r="N36" s="301">
        <f>IFERROR(Dermal_Exp[[#This Row],[High-End AD (mg/kg-day)]]*Dermal_Exp[[#This Row],[ED_High-End]]*WY_high/(365*WY_high),"Not Assessed")</f>
        <v>4.1761901157950497E-2</v>
      </c>
      <c r="O36" s="301">
        <f>IFERROR(Dermal_Exp[[#This Row],[Central Tendency AD (mg/kg-day)]]*Dermal_Exp[[#This Row],[ED_Central Tendency]]*WY_mid/(365*WY_mid),"Not Assessed")</f>
        <v>1.9377522137289029E-2</v>
      </c>
      <c r="P36" s="301">
        <f>IFERROR(Dermal_Exp[[#This Row],[High-End AD (mg/kg-day)]]*Dermal_Exp[[#This Row],[ED_High-End]]*WY_high/(365*LT),"Not Assessed")</f>
        <v>2.1416359568179742E-2</v>
      </c>
      <c r="Q36" s="313">
        <f>IFERROR(Dermal_Exp[[#This Row],[Central Tendency AD (mg/kg-day)]]*Dermal_Exp[[#This Row],[ED_Central Tendency]]*WY_mid/(365*LT),"Not Assessed")</f>
        <v>7.7013229007174347E-3</v>
      </c>
      <c r="R36" s="369">
        <f>Dermal_Exp[[#This Row],[High-End AD (mg/kg-day)]]*80</f>
        <v>4.8777900552486182</v>
      </c>
    </row>
    <row r="37" spans="1:18" ht="14.5" x14ac:dyDescent="0.3">
      <c r="A37" s="319">
        <v>4</v>
      </c>
      <c r="B37" s="441" t="s">
        <v>237</v>
      </c>
      <c r="C37" s="274" t="s">
        <v>214</v>
      </c>
      <c r="D37" s="6">
        <v>250</v>
      </c>
      <c r="E37" s="377">
        <v>235</v>
      </c>
      <c r="F37" s="443">
        <v>6.6339999999999996E-2</v>
      </c>
      <c r="G37" s="301">
        <v>3.3169999999999998E-2</v>
      </c>
      <c r="H37" s="301"/>
      <c r="I37" s="301"/>
      <c r="J37" s="312">
        <f>IF(Dermal_Exp[[#This Row],[Worker Type]]&lt;&gt;"",(Dermal_Exp[[#This Row],[High-End Exposure to Liquid]]+Dermal_Exp[[#This Row],[High-End Exposure to Solids]]),"Not Assessed")</f>
        <v>6.6339999999999996E-2</v>
      </c>
      <c r="K37" s="301">
        <f>IF(Dermal_Exp[[#This Row],[Worker Type]]&lt;&gt;"",(Dermal_Exp[[#This Row],[ Central Tendency Exposure to Liquids]]+Dermal_Exp[[#This Row],[Central Tendency  Exposure to Solids]]),"Not Assessed")</f>
        <v>3.3169999999999998E-2</v>
      </c>
      <c r="L37" s="311">
        <f>IFERROR(Dermal_Exp[[#This Row],[High-End AD (mg/kg-day)]]*IF(Dermal_Exp[[#This Row],[ED_High-End]]&gt;EFID,EFID,Dermal_Exp[[#This Row],[ED_High-End]])/ID,"Not Assessed")</f>
        <v>4.8649333333333329E-2</v>
      </c>
      <c r="M37" s="311">
        <f>IFERROR(Dermal_Exp[[#This Row],[Central Tendency AD (mg/kg-day)]]*IF(Dermal_Exp[[#This Row],[ED_Central Tendency]]&gt;EFID,EFID,Dermal_Exp[[#This Row],[ED_Central Tendency]])/ID,"Not Assessed")</f>
        <v>2.4324666666666665E-2</v>
      </c>
      <c r="N37" s="301">
        <f>IFERROR(Dermal_Exp[[#This Row],[High-End AD (mg/kg-day)]]*Dermal_Exp[[#This Row],[ED_High-End]]*WY_high/(365*WY_high),"Not Assessed")</f>
        <v>4.5438356164383555E-2</v>
      </c>
      <c r="O37" s="301">
        <f>IFERROR(Dermal_Exp[[#This Row],[Central Tendency AD (mg/kg-day)]]*Dermal_Exp[[#This Row],[ED_Central Tendency]]*WY_mid/(365*WY_mid),"Not Assessed")</f>
        <v>2.1356027397260273E-2</v>
      </c>
      <c r="P37" s="301">
        <f>IFERROR(Dermal_Exp[[#This Row],[High-End AD (mg/kg-day)]]*Dermal_Exp[[#This Row],[ED_High-End]]*WY_high/(365*LT),"Not Assessed")</f>
        <v>2.3301721109940284E-2</v>
      </c>
      <c r="Q37" s="313">
        <f>IFERROR(Dermal_Exp[[#This Row],[Central Tendency AD (mg/kg-day)]]*Dermal_Exp[[#This Row],[ED_Central Tendency]]*WY_mid/(365*LT),"Not Assessed")</f>
        <v>8.4876519142957491E-3</v>
      </c>
      <c r="R37" s="369">
        <f>Dermal_Exp[[#This Row],[High-End AD (mg/kg-day)]]*80</f>
        <v>5.3071999999999999</v>
      </c>
    </row>
    <row r="38" spans="1:18" ht="14.5" x14ac:dyDescent="0.3">
      <c r="A38" s="319">
        <v>4</v>
      </c>
      <c r="B38" s="441" t="s">
        <v>237</v>
      </c>
      <c r="C38" s="274" t="s">
        <v>74</v>
      </c>
      <c r="D38" s="6">
        <v>250</v>
      </c>
      <c r="E38" s="377">
        <v>235</v>
      </c>
      <c r="F38" s="301">
        <v>6.0972375690607726E-2</v>
      </c>
      <c r="G38" s="301">
        <v>3.0486187845303863E-2</v>
      </c>
      <c r="H38" s="301"/>
      <c r="I38" s="301"/>
      <c r="J38" s="312">
        <f>IF(Dermal_Exp[[#This Row],[Worker Type]]&lt;&gt;"",(Dermal_Exp[[#This Row],[High-End Exposure to Liquid]]+Dermal_Exp[[#This Row],[High-End Exposure to Solids]]),"Not Assessed")</f>
        <v>6.0972375690607726E-2</v>
      </c>
      <c r="K38" s="301">
        <f>IF(Dermal_Exp[[#This Row],[Worker Type]]&lt;&gt;"",(Dermal_Exp[[#This Row],[ Central Tendency Exposure to Liquids]]+Dermal_Exp[[#This Row],[Central Tendency  Exposure to Solids]]),"Not Assessed")</f>
        <v>3.0486187845303863E-2</v>
      </c>
      <c r="L38" s="311">
        <f>IFERROR(Dermal_Exp[[#This Row],[High-End AD (mg/kg-day)]]*IF(Dermal_Exp[[#This Row],[ED_High-End]]&gt;EFID,EFID,Dermal_Exp[[#This Row],[ED_High-End]])/ID,"Not Assessed")</f>
        <v>4.4713075506445668E-2</v>
      </c>
      <c r="M38" s="311">
        <f>IFERROR(Dermal_Exp[[#This Row],[Central Tendency AD (mg/kg-day)]]*IF(Dermal_Exp[[#This Row],[ED_Central Tendency]]&gt;EFID,EFID,Dermal_Exp[[#This Row],[ED_Central Tendency]])/ID,"Not Assessed")</f>
        <v>2.2356537753222834E-2</v>
      </c>
      <c r="N38" s="301">
        <f>IFERROR(Dermal_Exp[[#This Row],[High-End AD (mg/kg-day)]]*Dermal_Exp[[#This Row],[ED_High-End]]*WY_high/(365*WY_high),"Not Assessed")</f>
        <v>4.1761901157950497E-2</v>
      </c>
      <c r="O38" s="301">
        <f>IFERROR(Dermal_Exp[[#This Row],[Central Tendency AD (mg/kg-day)]]*Dermal_Exp[[#This Row],[ED_Central Tendency]]*WY_mid/(365*WY_mid),"Not Assessed")</f>
        <v>1.9628093544236735E-2</v>
      </c>
      <c r="P38" s="301">
        <f>IFERROR(Dermal_Exp[[#This Row],[High-End AD (mg/kg-day)]]*Dermal_Exp[[#This Row],[ED_High-End]]*WY_high/(365*LT),"Not Assessed")</f>
        <v>2.1416359568179742E-2</v>
      </c>
      <c r="Q38" s="313">
        <f>IFERROR(Dermal_Exp[[#This Row],[Central Tendency AD (mg/kg-day)]]*Dermal_Exp[[#This Row],[ED_Central Tendency]]*WY_mid/(365*LT),"Not Assessed")</f>
        <v>7.8009089727094716E-3</v>
      </c>
      <c r="R38" s="369">
        <f>Dermal_Exp[[#This Row],[High-End AD (mg/kg-day)]]*80</f>
        <v>4.8777900552486182</v>
      </c>
    </row>
    <row r="39" spans="1:18" ht="14.5" x14ac:dyDescent="0.3">
      <c r="A39" s="319">
        <v>4</v>
      </c>
      <c r="B39" s="441" t="s">
        <v>238</v>
      </c>
      <c r="C39" s="274" t="s">
        <v>214</v>
      </c>
      <c r="D39" s="6">
        <v>250</v>
      </c>
      <c r="E39" s="377">
        <v>235</v>
      </c>
      <c r="F39" s="301"/>
      <c r="G39" s="301"/>
      <c r="H39" s="301">
        <v>1.1909099999999999E-2</v>
      </c>
      <c r="I39" s="301">
        <v>5.9545499999999994E-3</v>
      </c>
      <c r="J39" s="312">
        <f>IF(Dermal_Exp[[#This Row],[Worker Type]]&lt;&gt;"",(Dermal_Exp[[#This Row],[High-End Exposure to Liquid]]+Dermal_Exp[[#This Row],[High-End Exposure to Solids]]),"Not Assessed")</f>
        <v>1.1909099999999999E-2</v>
      </c>
      <c r="K39" s="301">
        <f>IF(Dermal_Exp[[#This Row],[Worker Type]]&lt;&gt;"",(Dermal_Exp[[#This Row],[ Central Tendency Exposure to Liquids]]+Dermal_Exp[[#This Row],[Central Tendency  Exposure to Solids]]),"Not Assessed")</f>
        <v>5.9545499999999994E-3</v>
      </c>
      <c r="L39" s="311">
        <f>IFERROR(Dermal_Exp[[#This Row],[High-End AD (mg/kg-day)]]*IF(Dermal_Exp[[#This Row],[ED_High-End]]&gt;EFID,EFID,Dermal_Exp[[#This Row],[ED_High-End]])/ID,"Not Assessed")</f>
        <v>8.7333399999999992E-3</v>
      </c>
      <c r="M39" s="311">
        <f>IFERROR(Dermal_Exp[[#This Row],[Central Tendency AD (mg/kg-day)]]*IF(Dermal_Exp[[#This Row],[ED_Central Tendency]]&gt;EFID,EFID,Dermal_Exp[[#This Row],[ED_Central Tendency]])/ID,"Not Assessed")</f>
        <v>4.3666699999999996E-3</v>
      </c>
      <c r="N39" s="301">
        <f>IFERROR(Dermal_Exp[[#This Row],[High-End AD (mg/kg-day)]]*Dermal_Exp[[#This Row],[ED_High-End]]*WY_high/(365*WY_high),"Not Assessed")</f>
        <v>8.156917808219177E-3</v>
      </c>
      <c r="O39" s="301">
        <f>IFERROR(Dermal_Exp[[#This Row],[Central Tendency AD (mg/kg-day)]]*Dermal_Exp[[#This Row],[ED_Central Tendency]]*WY_mid/(365*WY_mid),"Not Assessed")</f>
        <v>3.8337513698630133E-3</v>
      </c>
      <c r="P39" s="301">
        <f>IFERROR(Dermal_Exp[[#This Row],[High-End AD (mg/kg-day)]]*Dermal_Exp[[#This Row],[ED_High-End]]*WY_high/(365*LT),"Not Assessed")</f>
        <v>4.1830347734457315E-3</v>
      </c>
      <c r="Q39" s="313">
        <f>IFERROR(Dermal_Exp[[#This Row],[Central Tendency AD (mg/kg-day)]]*Dermal_Exp[[#This Row],[ED_Central Tendency]]*WY_mid/(365*LT),"Not Assessed")</f>
        <v>1.5236704162276079E-3</v>
      </c>
      <c r="R39" s="369">
        <f>Dermal_Exp[[#This Row],[High-End AD (mg/kg-day)]]*80</f>
        <v>0.95272799999999991</v>
      </c>
    </row>
    <row r="40" spans="1:18" ht="14.5" x14ac:dyDescent="0.3">
      <c r="A40" s="319">
        <v>4</v>
      </c>
      <c r="B40" s="441" t="s">
        <v>238</v>
      </c>
      <c r="C40" s="274" t="s">
        <v>74</v>
      </c>
      <c r="D40" s="6">
        <v>250</v>
      </c>
      <c r="E40" s="377">
        <v>235</v>
      </c>
      <c r="F40" s="301"/>
      <c r="G40" s="301"/>
      <c r="H40" s="301">
        <v>1.0945524861878452E-2</v>
      </c>
      <c r="I40" s="301">
        <v>5.4727624309392261E-3</v>
      </c>
      <c r="J40" s="312">
        <f>IF(Dermal_Exp[[#This Row],[Worker Type]]&lt;&gt;"",(Dermal_Exp[[#This Row],[High-End Exposure to Liquid]]+Dermal_Exp[[#This Row],[High-End Exposure to Solids]]),"Not Assessed")</f>
        <v>1.0945524861878452E-2</v>
      </c>
      <c r="K40" s="301">
        <f>IF(Dermal_Exp[[#This Row],[Worker Type]]&lt;&gt;"",(Dermal_Exp[[#This Row],[ Central Tendency Exposure to Liquids]]+Dermal_Exp[[#This Row],[Central Tendency  Exposure to Solids]]),"Not Assessed")</f>
        <v>5.4727624309392261E-3</v>
      </c>
      <c r="L40" s="311">
        <f>IFERROR(Dermal_Exp[[#This Row],[High-End AD (mg/kg-day)]]*IF(Dermal_Exp[[#This Row],[ED_High-End]]&gt;EFID,EFID,Dermal_Exp[[#This Row],[ED_High-End]])/ID,"Not Assessed")</f>
        <v>8.0267182320441985E-3</v>
      </c>
      <c r="M40" s="311">
        <f>IFERROR(Dermal_Exp[[#This Row],[Central Tendency AD (mg/kg-day)]]*IF(Dermal_Exp[[#This Row],[ED_Central Tendency]]&gt;EFID,EFID,Dermal_Exp[[#This Row],[ED_Central Tendency]])/ID,"Not Assessed")</f>
        <v>4.0133591160220992E-3</v>
      </c>
      <c r="N40" s="301">
        <f>IFERROR(Dermal_Exp[[#This Row],[High-End AD (mg/kg-day)]]*Dermal_Exp[[#This Row],[ED_High-End]]*WY_high/(365*WY_high),"Not Assessed")</f>
        <v>7.4969348369030497E-3</v>
      </c>
      <c r="O40" s="301">
        <f>IFERROR(Dermal_Exp[[#This Row],[Central Tendency AD (mg/kg-day)]]*Dermal_Exp[[#This Row],[ED_Central Tendency]]*WY_mid/(365*WY_mid),"Not Assessed")</f>
        <v>3.523559373344433E-3</v>
      </c>
      <c r="P40" s="301">
        <f>IFERROR(Dermal_Exp[[#This Row],[High-End AD (mg/kg-day)]]*Dermal_Exp[[#This Row],[ED_High-End]]*WY_high/(365*LT),"Not Assessed")</f>
        <v>3.8445819676425894E-3</v>
      </c>
      <c r="Q40" s="313">
        <f>IFERROR(Dermal_Exp[[#This Row],[Central Tendency AD (mg/kg-day)]]*Dermal_Exp[[#This Row],[ED_Central Tendency]]*WY_mid/(365*LT),"Not Assessed")</f>
        <v>1.4003889817138131E-3</v>
      </c>
      <c r="R40" s="369">
        <f>Dermal_Exp[[#This Row],[High-End AD (mg/kg-day)]]*80</f>
        <v>0.87564198895027623</v>
      </c>
    </row>
    <row r="41" spans="1:18" ht="14.5" x14ac:dyDescent="0.3">
      <c r="A41" s="319">
        <v>4</v>
      </c>
      <c r="B41" s="441" t="s">
        <v>238</v>
      </c>
      <c r="C41" s="274" t="s">
        <v>94</v>
      </c>
      <c r="D41" s="6">
        <v>250</v>
      </c>
      <c r="E41" s="377">
        <v>235</v>
      </c>
      <c r="F41" s="301"/>
      <c r="G41" s="301"/>
      <c r="H41" s="301">
        <v>2.9828399999999996E-3</v>
      </c>
      <c r="I41" s="301">
        <v>2.9828399999999996E-3</v>
      </c>
      <c r="J41" s="312">
        <f>IF(Dermal_Exp[[#This Row],[Worker Type]]&lt;&gt;"",(Dermal_Exp[[#This Row],[High-End Exposure to Liquid]]+Dermal_Exp[[#This Row],[High-End Exposure to Solids]]),"Not Assessed")</f>
        <v>2.9828399999999996E-3</v>
      </c>
      <c r="K41" s="301">
        <f>IF(Dermal_Exp[[#This Row],[Worker Type]]&lt;&gt;"",(Dermal_Exp[[#This Row],[ Central Tendency Exposure to Liquids]]+Dermal_Exp[[#This Row],[Central Tendency  Exposure to Solids]]),"Not Assessed")</f>
        <v>2.9828399999999996E-3</v>
      </c>
      <c r="L41" s="311">
        <f>IFERROR(Dermal_Exp[[#This Row],[High-End AD (mg/kg-day)]]*IF(Dermal_Exp[[#This Row],[ED_High-End]]&gt;EFID,EFID,Dermal_Exp[[#This Row],[ED_High-End]])/ID,"Not Assessed")</f>
        <v>2.1874159999999998E-3</v>
      </c>
      <c r="M41" s="311">
        <f>IFERROR(Dermal_Exp[[#This Row],[Central Tendency AD (mg/kg-day)]]*IF(Dermal_Exp[[#This Row],[ED_Central Tendency]]&gt;EFID,EFID,Dermal_Exp[[#This Row],[ED_Central Tendency]])/ID,"Not Assessed")</f>
        <v>2.1874159999999998E-3</v>
      </c>
      <c r="N41" s="301">
        <f>IFERROR(Dermal_Exp[[#This Row],[High-End AD (mg/kg-day)]]*Dermal_Exp[[#This Row],[ED_High-End]]*WY_high/(365*WY_high),"Not Assessed")</f>
        <v>2.0430410958904104E-3</v>
      </c>
      <c r="O41" s="301">
        <f>IFERROR(Dermal_Exp[[#This Row],[Central Tendency AD (mg/kg-day)]]*Dermal_Exp[[#This Row],[ED_Central Tendency]]*WY_mid/(365*WY_mid),"Not Assessed")</f>
        <v>1.9204586301369861E-3</v>
      </c>
      <c r="P41" s="301">
        <f>IFERROR(Dermal_Exp[[#This Row],[High-End AD (mg/kg-day)]]*Dermal_Exp[[#This Row],[ED_High-End]]*WY_high/(365*LT),"Not Assessed")</f>
        <v>1.047713382507903E-3</v>
      </c>
      <c r="Q41" s="313">
        <f>IFERROR(Dermal_Exp[[#This Row],[Central Tendency AD (mg/kg-day)]]*Dermal_Exp[[#This Row],[ED_Central Tendency]]*WY_mid/(365*LT),"Not Assessed")</f>
        <v>7.6325919915700726E-4</v>
      </c>
      <c r="R41" s="369">
        <f>Dermal_Exp[[#This Row],[High-End AD (mg/kg-day)]]*80</f>
        <v>0.23862719999999998</v>
      </c>
    </row>
    <row r="42" spans="1:18" ht="14.5" x14ac:dyDescent="0.3">
      <c r="A42" s="319">
        <v>4</v>
      </c>
      <c r="B42" s="441" t="s">
        <v>167</v>
      </c>
      <c r="C42" s="274" t="s">
        <v>214</v>
      </c>
      <c r="D42" s="6">
        <v>4</v>
      </c>
      <c r="E42" s="377">
        <v>2</v>
      </c>
      <c r="F42" s="443">
        <v>6.6339999999999996E-2</v>
      </c>
      <c r="G42" s="301">
        <v>3.3169999999999998E-2</v>
      </c>
      <c r="H42" s="301"/>
      <c r="I42" s="301"/>
      <c r="J42" s="312">
        <f>IF(Dermal_Exp[[#This Row],[Worker Type]]&lt;&gt;"",(Dermal_Exp[[#This Row],[High-End Exposure to Liquid]]+Dermal_Exp[[#This Row],[High-End Exposure to Solids]]),"Not Assessed")</f>
        <v>6.6339999999999996E-2</v>
      </c>
      <c r="K42" s="301">
        <f>IF(Dermal_Exp[[#This Row],[Worker Type]]&lt;&gt;"",(Dermal_Exp[[#This Row],[ Central Tendency Exposure to Liquids]]+Dermal_Exp[[#This Row],[Central Tendency  Exposure to Solids]]),"Not Assessed")</f>
        <v>3.3169999999999998E-2</v>
      </c>
      <c r="L42" s="311">
        <f>IFERROR(Dermal_Exp[[#This Row],[High-End AD (mg/kg-day)]]*IF(Dermal_Exp[[#This Row],[ED_High-End]]&gt;EFID,EFID,Dermal_Exp[[#This Row],[ED_High-End]])/ID,"Not Assessed")</f>
        <v>8.8453333333333335E-3</v>
      </c>
      <c r="M42" s="311">
        <f>IFERROR(Dermal_Exp[[#This Row],[Central Tendency AD (mg/kg-day)]]*IF(Dermal_Exp[[#This Row],[ED_Central Tendency]]&gt;EFID,EFID,Dermal_Exp[[#This Row],[ED_Central Tendency]])/ID,"Not Assessed")</f>
        <v>2.2113333333333334E-3</v>
      </c>
      <c r="N42" s="301">
        <f>IFERROR(Dermal_Exp[[#This Row],[High-End AD (mg/kg-day)]]*Dermal_Exp[[#This Row],[ED_High-End]]*WY_high/(365*WY_high),"Not Assessed")</f>
        <v>7.2701369863013702E-4</v>
      </c>
      <c r="O42" s="301">
        <f>IFERROR(Dermal_Exp[[#This Row],[Central Tendency AD (mg/kg-day)]]*Dermal_Exp[[#This Row],[ED_Central Tendency]]*WY_mid/(365*WY_mid),"Not Assessed")</f>
        <v>1.8175342465753425E-4</v>
      </c>
      <c r="P42" s="301">
        <f>IFERROR(Dermal_Exp[[#This Row],[High-End AD (mg/kg-day)]]*Dermal_Exp[[#This Row],[ED_High-End]]*WY_high/(365*LT),"Not Assessed")</f>
        <v>3.728275377590446E-4</v>
      </c>
      <c r="Q42" s="313">
        <f>IFERROR(Dermal_Exp[[#This Row],[Central Tendency AD (mg/kg-day)]]*Dermal_Exp[[#This Row],[ED_Central Tendency]]*WY_mid/(365*LT),"Not Assessed")</f>
        <v>7.2235335440814897E-5</v>
      </c>
      <c r="R42" s="369">
        <f>Dermal_Exp[[#This Row],[High-End AD (mg/kg-day)]]*80</f>
        <v>5.3071999999999999</v>
      </c>
    </row>
    <row r="43" spans="1:18" ht="14.5" x14ac:dyDescent="0.3">
      <c r="A43" s="319">
        <v>4</v>
      </c>
      <c r="B43" s="441" t="s">
        <v>167</v>
      </c>
      <c r="C43" s="274" t="s">
        <v>74</v>
      </c>
      <c r="D43" s="6">
        <v>4</v>
      </c>
      <c r="E43" s="377">
        <v>2</v>
      </c>
      <c r="F43" s="301">
        <v>6.0972375690607726E-2</v>
      </c>
      <c r="G43" s="301">
        <v>3.0486187845303863E-2</v>
      </c>
      <c r="H43" s="301"/>
      <c r="I43" s="301"/>
      <c r="J43" s="312">
        <f>IF(Dermal_Exp[[#This Row],[Worker Type]]&lt;&gt;"",(Dermal_Exp[[#This Row],[High-End Exposure to Liquid]]+Dermal_Exp[[#This Row],[High-End Exposure to Solids]]),"Not Assessed")</f>
        <v>6.0972375690607726E-2</v>
      </c>
      <c r="K43" s="384">
        <f>IF(Dermal_Exp[[#This Row],[Worker Type]]&lt;&gt;"",(Dermal_Exp[[#This Row],[ Central Tendency Exposure to Liquids]]+Dermal_Exp[[#This Row],[Central Tendency  Exposure to Solids]]),"Not Assessed")</f>
        <v>3.0486187845303863E-2</v>
      </c>
      <c r="L43" s="385">
        <f>IFERROR(Dermal_Exp[[#This Row],[High-End AD (mg/kg-day)]]*IF(Dermal_Exp[[#This Row],[ED_High-End]]&gt;EFID,EFID,Dermal_Exp[[#This Row],[ED_High-End]])/ID,"Not Assessed")</f>
        <v>8.1296500920810307E-3</v>
      </c>
      <c r="M43" s="385">
        <f>IFERROR(Dermal_Exp[[#This Row],[Central Tendency AD (mg/kg-day)]]*IF(Dermal_Exp[[#This Row],[ED_Central Tendency]]&gt;EFID,EFID,Dermal_Exp[[#This Row],[ED_Central Tendency]])/ID,"Not Assessed")</f>
        <v>2.0324125230202577E-3</v>
      </c>
      <c r="N43" s="301">
        <f>IFERROR(Dermal_Exp[[#This Row],[High-End AD (mg/kg-day)]]*Dermal_Exp[[#This Row],[ED_High-End]]*WY_high/(365*WY_high),"Not Assessed")</f>
        <v>6.6819041852720794E-4</v>
      </c>
      <c r="O43" s="301">
        <f>IFERROR(Dermal_Exp[[#This Row],[Central Tendency AD (mg/kg-day)]]*Dermal_Exp[[#This Row],[ED_Central Tendency]]*WY_mid/(365*WY_mid),"Not Assessed")</f>
        <v>1.6704760463180198E-4</v>
      </c>
      <c r="P43" s="301">
        <f>IFERROR(Dermal_Exp[[#This Row],[High-End AD (mg/kg-day)]]*Dermal_Exp[[#This Row],[ED_High-End]]*WY_high/(365*LT),"Not Assessed")</f>
        <v>3.4266175309087587E-4</v>
      </c>
      <c r="Q43" s="383">
        <f>IFERROR(Dermal_Exp[[#This Row],[Central Tendency AD (mg/kg-day)]]*Dermal_Exp[[#This Row],[ED_Central Tendency]]*WY_mid/(365*LT),"Not Assessed")</f>
        <v>6.6390714661357199E-5</v>
      </c>
      <c r="R43" s="369">
        <f>Dermal_Exp[[#This Row],[High-End AD (mg/kg-day)]]*80</f>
        <v>4.8777900552486182</v>
      </c>
    </row>
    <row r="44" spans="1:18" ht="14.5" x14ac:dyDescent="0.3">
      <c r="A44" s="319">
        <v>6</v>
      </c>
      <c r="B44" s="441" t="s">
        <v>242</v>
      </c>
      <c r="C44" s="274" t="s">
        <v>214</v>
      </c>
      <c r="D44" s="6">
        <v>250</v>
      </c>
      <c r="E44" s="377">
        <v>223</v>
      </c>
      <c r="F44" s="301"/>
      <c r="G44" s="301"/>
      <c r="H44" s="301">
        <v>1.1909099999999999E-2</v>
      </c>
      <c r="I44" s="301">
        <v>5.9545499999999994E-3</v>
      </c>
      <c r="J44" s="312">
        <f>IF(Dermal_Exp[[#This Row],[Worker Type]]&lt;&gt;"",(Dermal_Exp[[#This Row],[High-End Exposure to Liquid]]+Dermal_Exp[[#This Row],[High-End Exposure to Solids]]),"Not Assessed")</f>
        <v>1.1909099999999999E-2</v>
      </c>
      <c r="K44" s="384">
        <f>IF(Dermal_Exp[[#This Row],[Worker Type]]&lt;&gt;"",(Dermal_Exp[[#This Row],[ Central Tendency Exposure to Liquids]]+Dermal_Exp[[#This Row],[Central Tendency  Exposure to Solids]]),"Not Assessed")</f>
        <v>5.9545499999999994E-3</v>
      </c>
      <c r="L44" s="385">
        <f>IFERROR(Dermal_Exp[[#This Row],[High-End AD (mg/kg-day)]]*IF(Dermal_Exp[[#This Row],[ED_High-End]]&gt;EFID,EFID,Dermal_Exp[[#This Row],[ED_High-End]])/ID,"Not Assessed")</f>
        <v>8.7333399999999992E-3</v>
      </c>
      <c r="M44" s="385">
        <f>IFERROR(Dermal_Exp[[#This Row],[Central Tendency AD (mg/kg-day)]]*IF(Dermal_Exp[[#This Row],[ED_Central Tendency]]&gt;EFID,EFID,Dermal_Exp[[#This Row],[ED_Central Tendency]])/ID,"Not Assessed")</f>
        <v>4.3666699999999996E-3</v>
      </c>
      <c r="N44" s="301">
        <f>IFERROR(Dermal_Exp[[#This Row],[High-End AD (mg/kg-day)]]*Dermal_Exp[[#This Row],[ED_High-End]]*WY_high/(365*WY_high),"Not Assessed")</f>
        <v>8.156917808219177E-3</v>
      </c>
      <c r="O44" s="301">
        <f>IFERROR(Dermal_Exp[[#This Row],[Central Tendency AD (mg/kg-day)]]*Dermal_Exp[[#This Row],[ED_Central Tendency]]*WY_mid/(365*WY_mid),"Not Assessed")</f>
        <v>3.6379853424657531E-3</v>
      </c>
      <c r="P44" s="301">
        <f>IFERROR(Dermal_Exp[[#This Row],[High-End AD (mg/kg-day)]]*Dermal_Exp[[#This Row],[ED_High-End]]*WY_high/(365*LT),"Not Assessed")</f>
        <v>4.1830347734457315E-3</v>
      </c>
      <c r="Q44" s="383">
        <f>IFERROR(Dermal_Exp[[#This Row],[Central Tendency AD (mg/kg-day)]]*Dermal_Exp[[#This Row],[ED_Central Tendency]]*WY_mid/(365*LT),"Not Assessed")</f>
        <v>1.4458659694415173E-3</v>
      </c>
      <c r="R44" s="369">
        <f>Dermal_Exp[[#This Row],[High-End AD (mg/kg-day)]]*80</f>
        <v>0.95272799999999991</v>
      </c>
    </row>
    <row r="45" spans="1:18" ht="14.5" x14ac:dyDescent="0.3">
      <c r="A45" s="319">
        <v>6</v>
      </c>
      <c r="B45" s="441" t="s">
        <v>242</v>
      </c>
      <c r="C45" s="274" t="s">
        <v>74</v>
      </c>
      <c r="D45" s="6">
        <v>250</v>
      </c>
      <c r="E45" s="377">
        <v>223</v>
      </c>
      <c r="F45" s="301"/>
      <c r="G45" s="301"/>
      <c r="H45" s="301">
        <v>1.0945524861878452E-2</v>
      </c>
      <c r="I45" s="301">
        <v>5.4727624309392261E-3</v>
      </c>
      <c r="J45" s="312">
        <f>IF(Dermal_Exp[[#This Row],[Worker Type]]&lt;&gt;"",(Dermal_Exp[[#This Row],[High-End Exposure to Liquid]]+Dermal_Exp[[#This Row],[High-End Exposure to Solids]]),"Not Assessed")</f>
        <v>1.0945524861878452E-2</v>
      </c>
      <c r="K45" s="384">
        <f>IF(Dermal_Exp[[#This Row],[Worker Type]]&lt;&gt;"",(Dermal_Exp[[#This Row],[ Central Tendency Exposure to Liquids]]+Dermal_Exp[[#This Row],[Central Tendency  Exposure to Solids]]),"Not Assessed")</f>
        <v>5.4727624309392261E-3</v>
      </c>
      <c r="L45" s="385">
        <f>IFERROR(Dermal_Exp[[#This Row],[High-End AD (mg/kg-day)]]*IF(Dermal_Exp[[#This Row],[ED_High-End]]&gt;EFID,EFID,Dermal_Exp[[#This Row],[ED_High-End]])/ID,"Not Assessed")</f>
        <v>8.0267182320441985E-3</v>
      </c>
      <c r="M45" s="385">
        <f>IFERROR(Dermal_Exp[[#This Row],[Central Tendency AD (mg/kg-day)]]*IF(Dermal_Exp[[#This Row],[ED_Central Tendency]]&gt;EFID,EFID,Dermal_Exp[[#This Row],[ED_Central Tendency]])/ID,"Not Assessed")</f>
        <v>4.0133591160220992E-3</v>
      </c>
      <c r="N45" s="301">
        <f>IFERROR(Dermal_Exp[[#This Row],[High-End AD (mg/kg-day)]]*Dermal_Exp[[#This Row],[ED_High-End]]*WY_high/(365*WY_high),"Not Assessed")</f>
        <v>7.4969348369030497E-3</v>
      </c>
      <c r="O45" s="301">
        <f>IFERROR(Dermal_Exp[[#This Row],[Central Tendency AD (mg/kg-day)]]*Dermal_Exp[[#This Row],[ED_Central Tendency]]*WY_mid/(365*WY_mid),"Not Assessed")</f>
        <v>3.3436329372587602E-3</v>
      </c>
      <c r="P45" s="301">
        <f>IFERROR(Dermal_Exp[[#This Row],[High-End AD (mg/kg-day)]]*Dermal_Exp[[#This Row],[ED_High-End]]*WY_high/(365*LT),"Not Assessed")</f>
        <v>3.8445819676425894E-3</v>
      </c>
      <c r="Q45" s="383">
        <f>IFERROR(Dermal_Exp[[#This Row],[Central Tendency AD (mg/kg-day)]]*Dermal_Exp[[#This Row],[ED_Central Tendency]]*WY_mid/(365*LT),"Not Assessed")</f>
        <v>1.328879757115661E-3</v>
      </c>
      <c r="R45" s="369">
        <f>Dermal_Exp[[#This Row],[High-End AD (mg/kg-day)]]*80</f>
        <v>0.87564198895027623</v>
      </c>
    </row>
    <row r="46" spans="1:18" ht="14.5" x14ac:dyDescent="0.3">
      <c r="A46" s="319">
        <v>6</v>
      </c>
      <c r="B46" s="441" t="s">
        <v>242</v>
      </c>
      <c r="C46" s="274" t="s">
        <v>94</v>
      </c>
      <c r="D46" s="6">
        <v>250</v>
      </c>
      <c r="E46" s="377">
        <v>223</v>
      </c>
      <c r="F46" s="301"/>
      <c r="G46" s="301"/>
      <c r="H46" s="301">
        <v>2.9828399999999996E-3</v>
      </c>
      <c r="I46" s="301">
        <v>2.9828399999999996E-3</v>
      </c>
      <c r="J46" s="312">
        <f>IF(Dermal_Exp[[#This Row],[Worker Type]]&lt;&gt;"",(Dermal_Exp[[#This Row],[High-End Exposure to Liquid]]+Dermal_Exp[[#This Row],[High-End Exposure to Solids]]),"Not Assessed")</f>
        <v>2.9828399999999996E-3</v>
      </c>
      <c r="K46" s="384">
        <f>IF(Dermal_Exp[[#This Row],[Worker Type]]&lt;&gt;"",(Dermal_Exp[[#This Row],[ Central Tendency Exposure to Liquids]]+Dermal_Exp[[#This Row],[Central Tendency  Exposure to Solids]]),"Not Assessed")</f>
        <v>2.9828399999999996E-3</v>
      </c>
      <c r="L46" s="385">
        <f>IFERROR(Dermal_Exp[[#This Row],[High-End AD (mg/kg-day)]]*IF(Dermal_Exp[[#This Row],[ED_High-End]]&gt;EFID,EFID,Dermal_Exp[[#This Row],[ED_High-End]])/ID,"Not Assessed")</f>
        <v>2.1874159999999998E-3</v>
      </c>
      <c r="M46" s="385">
        <f>IFERROR(Dermal_Exp[[#This Row],[Central Tendency AD (mg/kg-day)]]*IF(Dermal_Exp[[#This Row],[ED_Central Tendency]]&gt;EFID,EFID,Dermal_Exp[[#This Row],[ED_Central Tendency]])/ID,"Not Assessed")</f>
        <v>2.1874159999999998E-3</v>
      </c>
      <c r="N46" s="301">
        <f>IFERROR(Dermal_Exp[[#This Row],[High-End AD (mg/kg-day)]]*Dermal_Exp[[#This Row],[ED_High-End]]*WY_high/(365*WY_high),"Not Assessed")</f>
        <v>2.0430410958904104E-3</v>
      </c>
      <c r="O46" s="301">
        <f>IFERROR(Dermal_Exp[[#This Row],[Central Tendency AD (mg/kg-day)]]*Dermal_Exp[[#This Row],[ED_Central Tendency]]*WY_mid/(365*WY_mid),"Not Assessed")</f>
        <v>1.8223926575342464E-3</v>
      </c>
      <c r="P46" s="301">
        <f>IFERROR(Dermal_Exp[[#This Row],[High-End AD (mg/kg-day)]]*Dermal_Exp[[#This Row],[ED_High-End]]*WY_high/(365*LT),"Not Assessed")</f>
        <v>1.047713382507903E-3</v>
      </c>
      <c r="Q46" s="383">
        <f>IFERROR(Dermal_Exp[[#This Row],[Central Tendency AD (mg/kg-day)]]*Dermal_Exp[[#This Row],[ED_Central Tendency]]*WY_mid/(365*LT),"Not Assessed")</f>
        <v>7.2428426132771333E-4</v>
      </c>
      <c r="R46" s="369">
        <f>Dermal_Exp[[#This Row],[High-End AD (mg/kg-day)]]*80</f>
        <v>0.23862719999999998</v>
      </c>
    </row>
    <row r="47" spans="1:18" ht="14.5" x14ac:dyDescent="0.3">
      <c r="A47" s="319">
        <v>6</v>
      </c>
      <c r="B47" s="441" t="s">
        <v>240</v>
      </c>
      <c r="C47" s="274" t="s">
        <v>214</v>
      </c>
      <c r="D47" s="6">
        <v>250</v>
      </c>
      <c r="E47" s="377">
        <v>250</v>
      </c>
      <c r="F47" s="301"/>
      <c r="G47" s="301"/>
      <c r="H47" s="301">
        <v>1.1909099999999999E-2</v>
      </c>
      <c r="I47" s="301">
        <v>5.9545499999999994E-3</v>
      </c>
      <c r="J47" s="312">
        <f>IF(Dermal_Exp[[#This Row],[Worker Type]]&lt;&gt;"",(Dermal_Exp[[#This Row],[High-End Exposure to Liquid]]+Dermal_Exp[[#This Row],[High-End Exposure to Solids]]),"Not Assessed")</f>
        <v>1.1909099999999999E-2</v>
      </c>
      <c r="K47" s="384">
        <f>IF(Dermal_Exp[[#This Row],[Worker Type]]&lt;&gt;"",(Dermal_Exp[[#This Row],[ Central Tendency Exposure to Liquids]]+Dermal_Exp[[#This Row],[Central Tendency  Exposure to Solids]]),"Not Assessed")</f>
        <v>5.9545499999999994E-3</v>
      </c>
      <c r="L47" s="385">
        <f>IFERROR(Dermal_Exp[[#This Row],[High-End AD (mg/kg-day)]]*IF(Dermal_Exp[[#This Row],[ED_High-End]]&gt;EFID,EFID,Dermal_Exp[[#This Row],[ED_High-End]])/ID,"Not Assessed")</f>
        <v>8.7333399999999992E-3</v>
      </c>
      <c r="M47" s="385">
        <f>IFERROR(Dermal_Exp[[#This Row],[Central Tendency AD (mg/kg-day)]]*IF(Dermal_Exp[[#This Row],[ED_Central Tendency]]&gt;EFID,EFID,Dermal_Exp[[#This Row],[ED_Central Tendency]])/ID,"Not Assessed")</f>
        <v>4.3666699999999996E-3</v>
      </c>
      <c r="N47" s="301">
        <f>IFERROR(Dermal_Exp[[#This Row],[High-End AD (mg/kg-day)]]*Dermal_Exp[[#This Row],[ED_High-End]]*WY_high/(365*WY_high),"Not Assessed")</f>
        <v>8.156917808219177E-3</v>
      </c>
      <c r="O47" s="301">
        <f>IFERROR(Dermal_Exp[[#This Row],[Central Tendency AD (mg/kg-day)]]*Dermal_Exp[[#This Row],[ED_Central Tendency]]*WY_mid/(365*WY_mid),"Not Assessed")</f>
        <v>4.0784589041095885E-3</v>
      </c>
      <c r="P47" s="301">
        <f>IFERROR(Dermal_Exp[[#This Row],[High-End AD (mg/kg-day)]]*Dermal_Exp[[#This Row],[ED_High-End]]*WY_high/(365*LT),"Not Assessed")</f>
        <v>4.1830347734457315E-3</v>
      </c>
      <c r="Q47" s="383">
        <f>IFERROR(Dermal_Exp[[#This Row],[Central Tendency AD (mg/kg-day)]]*Dermal_Exp[[#This Row],[ED_Central Tendency]]*WY_mid/(365*LT),"Not Assessed")</f>
        <v>1.620925974710221E-3</v>
      </c>
      <c r="R47" s="369">
        <f>Dermal_Exp[[#This Row],[High-End AD (mg/kg-day)]]*80</f>
        <v>0.95272799999999991</v>
      </c>
    </row>
    <row r="48" spans="1:18" ht="14.5" x14ac:dyDescent="0.3">
      <c r="A48" s="319">
        <v>6</v>
      </c>
      <c r="B48" s="441" t="s">
        <v>240</v>
      </c>
      <c r="C48" s="274" t="s">
        <v>74</v>
      </c>
      <c r="D48" s="6">
        <v>250</v>
      </c>
      <c r="E48" s="377">
        <v>250</v>
      </c>
      <c r="F48" s="301"/>
      <c r="G48" s="301"/>
      <c r="H48" s="301">
        <v>1.0945524861878452E-2</v>
      </c>
      <c r="I48" s="301">
        <v>5.4727624309392261E-3</v>
      </c>
      <c r="J48" s="312">
        <f>IF(Dermal_Exp[[#This Row],[Worker Type]]&lt;&gt;"",(Dermal_Exp[[#This Row],[High-End Exposure to Liquid]]+Dermal_Exp[[#This Row],[High-End Exposure to Solids]]),"Not Assessed")</f>
        <v>1.0945524861878452E-2</v>
      </c>
      <c r="K48" s="384">
        <f>IF(Dermal_Exp[[#This Row],[Worker Type]]&lt;&gt;"",(Dermal_Exp[[#This Row],[ Central Tendency Exposure to Liquids]]+Dermal_Exp[[#This Row],[Central Tendency  Exposure to Solids]]),"Not Assessed")</f>
        <v>5.4727624309392261E-3</v>
      </c>
      <c r="L48" s="385">
        <f>IFERROR(Dermal_Exp[[#This Row],[High-End AD (mg/kg-day)]]*IF(Dermal_Exp[[#This Row],[ED_High-End]]&gt;EFID,EFID,Dermal_Exp[[#This Row],[ED_High-End]])/ID,"Not Assessed")</f>
        <v>8.0267182320441985E-3</v>
      </c>
      <c r="M48" s="385">
        <f>IFERROR(Dermal_Exp[[#This Row],[Central Tendency AD (mg/kg-day)]]*IF(Dermal_Exp[[#This Row],[ED_Central Tendency]]&gt;EFID,EFID,Dermal_Exp[[#This Row],[ED_Central Tendency]])/ID,"Not Assessed")</f>
        <v>4.0133591160220992E-3</v>
      </c>
      <c r="N48" s="301">
        <f>IFERROR(Dermal_Exp[[#This Row],[High-End AD (mg/kg-day)]]*Dermal_Exp[[#This Row],[ED_High-End]]*WY_high/(365*WY_high),"Not Assessed")</f>
        <v>7.4969348369030497E-3</v>
      </c>
      <c r="O48" s="301">
        <f>IFERROR(Dermal_Exp[[#This Row],[Central Tendency AD (mg/kg-day)]]*Dermal_Exp[[#This Row],[ED_Central Tendency]]*WY_mid/(365*WY_mid),"Not Assessed")</f>
        <v>3.7484674184515249E-3</v>
      </c>
      <c r="P48" s="301">
        <f>IFERROR(Dermal_Exp[[#This Row],[High-End AD (mg/kg-day)]]*Dermal_Exp[[#This Row],[ED_High-End]]*WY_high/(365*LT),"Not Assessed")</f>
        <v>3.8445819676425894E-3</v>
      </c>
      <c r="Q48" s="383">
        <f>IFERROR(Dermal_Exp[[#This Row],[Central Tendency AD (mg/kg-day)]]*Dermal_Exp[[#This Row],[ED_Central Tendency]]*WY_mid/(365*LT),"Not Assessed")</f>
        <v>1.4897755124615036E-3</v>
      </c>
      <c r="R48" s="369">
        <f>Dermal_Exp[[#This Row],[High-End AD (mg/kg-day)]]*80</f>
        <v>0.87564198895027623</v>
      </c>
    </row>
    <row r="49" spans="1:18" ht="14.5" x14ac:dyDescent="0.3">
      <c r="A49" s="319">
        <v>6</v>
      </c>
      <c r="B49" s="441" t="s">
        <v>240</v>
      </c>
      <c r="C49" s="274" t="s">
        <v>94</v>
      </c>
      <c r="D49" s="6">
        <v>250</v>
      </c>
      <c r="E49" s="377">
        <v>250</v>
      </c>
      <c r="F49" s="301"/>
      <c r="G49" s="301"/>
      <c r="H49" s="301">
        <v>2.9828399999999996E-3</v>
      </c>
      <c r="I49" s="301">
        <v>2.9828399999999996E-3</v>
      </c>
      <c r="J49" s="312">
        <f>IF(Dermal_Exp[[#This Row],[Worker Type]]&lt;&gt;"",(Dermal_Exp[[#This Row],[High-End Exposure to Liquid]]+Dermal_Exp[[#This Row],[High-End Exposure to Solids]]),"Not Assessed")</f>
        <v>2.9828399999999996E-3</v>
      </c>
      <c r="K49" s="384">
        <f>IF(Dermal_Exp[[#This Row],[Worker Type]]&lt;&gt;"",(Dermal_Exp[[#This Row],[ Central Tendency Exposure to Liquids]]+Dermal_Exp[[#This Row],[Central Tendency  Exposure to Solids]]),"Not Assessed")</f>
        <v>2.9828399999999996E-3</v>
      </c>
      <c r="L49" s="385">
        <f>IFERROR(Dermal_Exp[[#This Row],[High-End AD (mg/kg-day)]]*IF(Dermal_Exp[[#This Row],[ED_High-End]]&gt;EFID,EFID,Dermal_Exp[[#This Row],[ED_High-End]])/ID,"Not Assessed")</f>
        <v>2.1874159999999998E-3</v>
      </c>
      <c r="M49" s="385">
        <f>IFERROR(Dermal_Exp[[#This Row],[Central Tendency AD (mg/kg-day)]]*IF(Dermal_Exp[[#This Row],[ED_Central Tendency]]&gt;EFID,EFID,Dermal_Exp[[#This Row],[ED_Central Tendency]])/ID,"Not Assessed")</f>
        <v>2.1874159999999998E-3</v>
      </c>
      <c r="N49" s="301">
        <f>IFERROR(Dermal_Exp[[#This Row],[High-End AD (mg/kg-day)]]*Dermal_Exp[[#This Row],[ED_High-End]]*WY_high/(365*WY_high),"Not Assessed")</f>
        <v>2.0430410958904104E-3</v>
      </c>
      <c r="O49" s="301">
        <f>IFERROR(Dermal_Exp[[#This Row],[Central Tendency AD (mg/kg-day)]]*Dermal_Exp[[#This Row],[ED_Central Tendency]]*WY_mid/(365*WY_mid),"Not Assessed")</f>
        <v>2.0430410958904108E-3</v>
      </c>
      <c r="P49" s="301">
        <f>IFERROR(Dermal_Exp[[#This Row],[High-End AD (mg/kg-day)]]*Dermal_Exp[[#This Row],[ED_High-End]]*WY_high/(365*LT),"Not Assessed")</f>
        <v>1.047713382507903E-3</v>
      </c>
      <c r="Q49" s="383">
        <f>IFERROR(Dermal_Exp[[#This Row],[Central Tendency AD (mg/kg-day)]]*Dermal_Exp[[#This Row],[ED_Central Tendency]]*WY_mid/(365*LT),"Not Assessed")</f>
        <v>8.119778714436248E-4</v>
      </c>
      <c r="R49" s="369">
        <f>Dermal_Exp[[#This Row],[High-End AD (mg/kg-day)]]*80</f>
        <v>0.23862719999999998</v>
      </c>
    </row>
    <row r="50" spans="1:18" ht="14.5" x14ac:dyDescent="0.3">
      <c r="A50" s="319">
        <v>6</v>
      </c>
      <c r="B50" s="441" t="s">
        <v>244</v>
      </c>
      <c r="C50" s="274" t="s">
        <v>214</v>
      </c>
      <c r="D50" s="6">
        <v>250</v>
      </c>
      <c r="E50" s="377">
        <v>250</v>
      </c>
      <c r="F50" s="301"/>
      <c r="G50" s="301"/>
      <c r="H50" s="301">
        <v>1.1909099999999999E-2</v>
      </c>
      <c r="I50" s="301">
        <v>5.9545499999999994E-3</v>
      </c>
      <c r="J50" s="312">
        <f>IF(Dermal_Exp[[#This Row],[Worker Type]]&lt;&gt;"",(Dermal_Exp[[#This Row],[High-End Exposure to Liquid]]+Dermal_Exp[[#This Row],[High-End Exposure to Solids]]),"Not Assessed")</f>
        <v>1.1909099999999999E-2</v>
      </c>
      <c r="K50" s="384">
        <f>IF(Dermal_Exp[[#This Row],[Worker Type]]&lt;&gt;"",(Dermal_Exp[[#This Row],[ Central Tendency Exposure to Liquids]]+Dermal_Exp[[#This Row],[Central Tendency  Exposure to Solids]]),"Not Assessed")</f>
        <v>5.9545499999999994E-3</v>
      </c>
      <c r="L50" s="385">
        <f>IFERROR(Dermal_Exp[[#This Row],[High-End AD (mg/kg-day)]]*IF(Dermal_Exp[[#This Row],[ED_High-End]]&gt;EFID,EFID,Dermal_Exp[[#This Row],[ED_High-End]])/ID,"Not Assessed")</f>
        <v>8.7333399999999992E-3</v>
      </c>
      <c r="M50" s="385">
        <f>IFERROR(Dermal_Exp[[#This Row],[Central Tendency AD (mg/kg-day)]]*IF(Dermal_Exp[[#This Row],[ED_Central Tendency]]&gt;EFID,EFID,Dermal_Exp[[#This Row],[ED_Central Tendency]])/ID,"Not Assessed")</f>
        <v>4.3666699999999996E-3</v>
      </c>
      <c r="N50" s="301">
        <f>IFERROR(Dermal_Exp[[#This Row],[High-End AD (mg/kg-day)]]*Dermal_Exp[[#This Row],[ED_High-End]]*WY_high/(365*WY_high),"Not Assessed")</f>
        <v>8.156917808219177E-3</v>
      </c>
      <c r="O50" s="301">
        <f>IFERROR(Dermal_Exp[[#This Row],[Central Tendency AD (mg/kg-day)]]*Dermal_Exp[[#This Row],[ED_Central Tendency]]*WY_mid/(365*WY_mid),"Not Assessed")</f>
        <v>4.0784589041095885E-3</v>
      </c>
      <c r="P50" s="301">
        <f>IFERROR(Dermal_Exp[[#This Row],[High-End AD (mg/kg-day)]]*Dermal_Exp[[#This Row],[ED_High-End]]*WY_high/(365*LT),"Not Assessed")</f>
        <v>4.1830347734457315E-3</v>
      </c>
      <c r="Q50" s="383">
        <f>IFERROR(Dermal_Exp[[#This Row],[Central Tendency AD (mg/kg-day)]]*Dermal_Exp[[#This Row],[ED_Central Tendency]]*WY_mid/(365*LT),"Not Assessed")</f>
        <v>1.620925974710221E-3</v>
      </c>
      <c r="R50" s="369">
        <f>Dermal_Exp[[#This Row],[High-End AD (mg/kg-day)]]*80</f>
        <v>0.95272799999999991</v>
      </c>
    </row>
    <row r="51" spans="1:18" ht="14.5" x14ac:dyDescent="0.3">
      <c r="A51" s="319">
        <v>6</v>
      </c>
      <c r="B51" s="441" t="s">
        <v>244</v>
      </c>
      <c r="C51" s="274" t="s">
        <v>74</v>
      </c>
      <c r="D51" s="6">
        <v>250</v>
      </c>
      <c r="E51" s="377">
        <v>250</v>
      </c>
      <c r="F51" s="301"/>
      <c r="G51" s="301"/>
      <c r="H51" s="301">
        <v>1.0945524861878452E-2</v>
      </c>
      <c r="I51" s="301">
        <v>5.4727624309392261E-3</v>
      </c>
      <c r="J51" s="312">
        <f>IF(Dermal_Exp[[#This Row],[Worker Type]]&lt;&gt;"",(Dermal_Exp[[#This Row],[High-End Exposure to Liquid]]+Dermal_Exp[[#This Row],[High-End Exposure to Solids]]),"Not Assessed")</f>
        <v>1.0945524861878452E-2</v>
      </c>
      <c r="K51" s="384">
        <f>IF(Dermal_Exp[[#This Row],[Worker Type]]&lt;&gt;"",(Dermal_Exp[[#This Row],[ Central Tendency Exposure to Liquids]]+Dermal_Exp[[#This Row],[Central Tendency  Exposure to Solids]]),"Not Assessed")</f>
        <v>5.4727624309392261E-3</v>
      </c>
      <c r="L51" s="385">
        <f>IFERROR(Dermal_Exp[[#This Row],[High-End AD (mg/kg-day)]]*IF(Dermal_Exp[[#This Row],[ED_High-End]]&gt;EFID,EFID,Dermal_Exp[[#This Row],[ED_High-End]])/ID,"Not Assessed")</f>
        <v>8.0267182320441985E-3</v>
      </c>
      <c r="M51" s="385">
        <f>IFERROR(Dermal_Exp[[#This Row],[Central Tendency AD (mg/kg-day)]]*IF(Dermal_Exp[[#This Row],[ED_Central Tendency]]&gt;EFID,EFID,Dermal_Exp[[#This Row],[ED_Central Tendency]])/ID,"Not Assessed")</f>
        <v>4.0133591160220992E-3</v>
      </c>
      <c r="N51" s="301">
        <f>IFERROR(Dermal_Exp[[#This Row],[High-End AD (mg/kg-day)]]*Dermal_Exp[[#This Row],[ED_High-End]]*WY_high/(365*WY_high),"Not Assessed")</f>
        <v>7.4969348369030497E-3</v>
      </c>
      <c r="O51" s="301">
        <f>IFERROR(Dermal_Exp[[#This Row],[Central Tendency AD (mg/kg-day)]]*Dermal_Exp[[#This Row],[ED_Central Tendency]]*WY_mid/(365*WY_mid),"Not Assessed")</f>
        <v>3.7484674184515249E-3</v>
      </c>
      <c r="P51" s="301">
        <f>IFERROR(Dermal_Exp[[#This Row],[High-End AD (mg/kg-day)]]*Dermal_Exp[[#This Row],[ED_High-End]]*WY_high/(365*LT),"Not Assessed")</f>
        <v>3.8445819676425894E-3</v>
      </c>
      <c r="Q51" s="383">
        <f>IFERROR(Dermal_Exp[[#This Row],[Central Tendency AD (mg/kg-day)]]*Dermal_Exp[[#This Row],[ED_Central Tendency]]*WY_mid/(365*LT),"Not Assessed")</f>
        <v>1.4897755124615036E-3</v>
      </c>
      <c r="R51" s="369">
        <f>Dermal_Exp[[#This Row],[High-End AD (mg/kg-day)]]*80</f>
        <v>0.87564198895027623</v>
      </c>
    </row>
    <row r="52" spans="1:18" ht="15" thickBot="1" x14ac:dyDescent="0.35">
      <c r="A52" s="320">
        <v>6</v>
      </c>
      <c r="B52" s="442" t="s">
        <v>244</v>
      </c>
      <c r="C52" s="274" t="s">
        <v>94</v>
      </c>
      <c r="D52" s="6">
        <v>250</v>
      </c>
      <c r="E52" s="377">
        <v>250</v>
      </c>
      <c r="F52" s="301"/>
      <c r="G52" s="301"/>
      <c r="H52" s="301">
        <v>2.9828399999999996E-3</v>
      </c>
      <c r="I52" s="301">
        <v>2.9828399999999996E-3</v>
      </c>
      <c r="J52" s="312">
        <f>IF(Dermal_Exp[[#This Row],[Worker Type]]&lt;&gt;"",(Dermal_Exp[[#This Row],[High-End Exposure to Liquid]]+Dermal_Exp[[#This Row],[High-End Exposure to Solids]]),"Not Assessed")</f>
        <v>2.9828399999999996E-3</v>
      </c>
      <c r="K52" s="338">
        <f>IF(Dermal_Exp[[#This Row],[Worker Type]]&lt;&gt;"",(Dermal_Exp[[#This Row],[ Central Tendency Exposure to Liquids]]+Dermal_Exp[[#This Row],[Central Tendency  Exposure to Solids]]),"Not Assessed")</f>
        <v>2.9828399999999996E-3</v>
      </c>
      <c r="L52" s="311">
        <f>IFERROR(Dermal_Exp[[#This Row],[High-End AD (mg/kg-day)]]*IF(Dermal_Exp[[#This Row],[ED_High-End]]&gt;EFID,EFID,Dermal_Exp[[#This Row],[ED_High-End]])/ID,"Not Assessed")</f>
        <v>2.1874159999999998E-3</v>
      </c>
      <c r="M52" s="311">
        <f>IFERROR(Dermal_Exp[[#This Row],[Central Tendency AD (mg/kg-day)]]*IF(Dermal_Exp[[#This Row],[ED_Central Tendency]]&gt;EFID,EFID,Dermal_Exp[[#This Row],[ED_Central Tendency]])/ID,"Not Assessed")</f>
        <v>2.1874159999999998E-3</v>
      </c>
      <c r="N52" s="301">
        <f>IFERROR(Dermal_Exp[[#This Row],[High-End AD (mg/kg-day)]]*Dermal_Exp[[#This Row],[ED_High-End]]*WY_high/(365*WY_high),"Not Assessed")</f>
        <v>2.0430410958904104E-3</v>
      </c>
      <c r="O52" s="301">
        <f>IFERROR(Dermal_Exp[[#This Row],[Central Tendency AD (mg/kg-day)]]*Dermal_Exp[[#This Row],[ED_Central Tendency]]*WY_mid/(365*WY_mid),"Not Assessed")</f>
        <v>2.0430410958904108E-3</v>
      </c>
      <c r="P52" s="301">
        <f>IFERROR(Dermal_Exp[[#This Row],[High-End AD (mg/kg-day)]]*Dermal_Exp[[#This Row],[ED_High-End]]*WY_high/(365*LT),"Not Assessed")</f>
        <v>1.047713382507903E-3</v>
      </c>
      <c r="Q52" s="383">
        <f>IFERROR(Dermal_Exp[[#This Row],[Central Tendency AD (mg/kg-day)]]*Dermal_Exp[[#This Row],[ED_Central Tendency]]*WY_mid/(365*LT),"Not Assessed")</f>
        <v>8.119778714436248E-4</v>
      </c>
      <c r="R52" s="369">
        <f>Dermal_Exp[[#This Row],[High-End AD (mg/kg-day)]]*80</f>
        <v>0.23862719999999998</v>
      </c>
    </row>
    <row r="55" spans="1:18" x14ac:dyDescent="0.3">
      <c r="H55" s="369"/>
      <c r="I55" s="369"/>
    </row>
    <row r="61" spans="1:18" x14ac:dyDescent="0.3">
      <c r="G61" s="367"/>
      <c r="H61" s="317"/>
      <c r="I61" s="317"/>
    </row>
    <row r="62" spans="1:18" x14ac:dyDescent="0.3">
      <c r="H62" s="317"/>
      <c r="I62" s="317"/>
    </row>
    <row r="63" spans="1:18" x14ac:dyDescent="0.3">
      <c r="H63" s="317"/>
      <c r="I63" s="317"/>
    </row>
  </sheetData>
  <sheetProtection sheet="1" objects="1" scenarios="1" formatCells="0" formatColumns="0" formatRows="0"/>
  <mergeCells count="9">
    <mergeCell ref="J1:K2"/>
    <mergeCell ref="L1:M2"/>
    <mergeCell ref="N1:O2"/>
    <mergeCell ref="P1:Q2"/>
    <mergeCell ref="D1:E2"/>
    <mergeCell ref="H1:I1"/>
    <mergeCell ref="H2:I2"/>
    <mergeCell ref="F1:G1"/>
    <mergeCell ref="F2:G2"/>
  </mergeCells>
  <phoneticPr fontId="2" type="noConversion"/>
  <conditionalFormatting sqref="F22">
    <cfRule type="cellIs" dxfId="179" priority="189" operator="between">
      <formula>1</formula>
      <formula>9.999</formula>
    </cfRule>
    <cfRule type="cellIs" dxfId="178" priority="190" operator="lessThan">
      <formula>0.1</formula>
    </cfRule>
    <cfRule type="cellIs" dxfId="177" priority="191" operator="between">
      <formula>0.1</formula>
      <formula>0.999</formula>
    </cfRule>
    <cfRule type="cellIs" dxfId="176" priority="192" operator="greaterThan">
      <formula>10000</formula>
    </cfRule>
    <cfRule type="cellIs" dxfId="175" priority="193" operator="between">
      <formula>10</formula>
      <formula>9999.999</formula>
    </cfRule>
  </conditionalFormatting>
  <conditionalFormatting sqref="F34">
    <cfRule type="cellIs" dxfId="174" priority="57" operator="between">
      <formula>0.1</formula>
      <formula>0.999</formula>
    </cfRule>
    <cfRule type="cellIs" dxfId="173" priority="55" operator="between">
      <formula>1</formula>
      <formula>9.999</formula>
    </cfRule>
    <cfRule type="cellIs" dxfId="172" priority="56" operator="lessThan">
      <formula>0.1</formula>
    </cfRule>
    <cfRule type="cellIs" dxfId="171" priority="58" operator="greaterThan">
      <formula>10000</formula>
    </cfRule>
    <cfRule type="cellIs" dxfId="170" priority="59" operator="between">
      <formula>10</formula>
      <formula>9999.999</formula>
    </cfRule>
  </conditionalFormatting>
  <conditionalFormatting sqref="F41">
    <cfRule type="cellIs" dxfId="169" priority="87" operator="between">
      <formula>0.1</formula>
      <formula>0.999</formula>
    </cfRule>
    <cfRule type="cellIs" dxfId="168" priority="86" operator="lessThan">
      <formula>0.1</formula>
    </cfRule>
    <cfRule type="cellIs" dxfId="167" priority="89" operator="between">
      <formula>10</formula>
      <formula>9999.999</formula>
    </cfRule>
    <cfRule type="cellIs" dxfId="166" priority="88" operator="greaterThan">
      <formula>10000</formula>
    </cfRule>
    <cfRule type="cellIs" dxfId="165" priority="85" operator="between">
      <formula>1</formula>
      <formula>9.999</formula>
    </cfRule>
  </conditionalFormatting>
  <conditionalFormatting sqref="F4:G31">
    <cfRule type="cellIs" dxfId="164" priority="358" operator="lessThan">
      <formula>0.1</formula>
    </cfRule>
  </conditionalFormatting>
  <conditionalFormatting sqref="F4:G33">
    <cfRule type="cellIs" dxfId="163" priority="27" operator="greaterThan">
      <formula>10000</formula>
    </cfRule>
  </conditionalFormatting>
  <conditionalFormatting sqref="F4:G36">
    <cfRule type="cellIs" dxfId="162" priority="359" operator="between">
      <formula>0.1</formula>
      <formula>0.999</formula>
    </cfRule>
    <cfRule type="cellIs" dxfId="161" priority="357" operator="between">
      <formula>1</formula>
      <formula>9.999</formula>
    </cfRule>
  </conditionalFormatting>
  <conditionalFormatting sqref="F26:G28">
    <cfRule type="cellIs" dxfId="160" priority="28" operator="greaterThanOrEqual">
      <formula>10000</formula>
    </cfRule>
  </conditionalFormatting>
  <conditionalFormatting sqref="F31:G31">
    <cfRule type="cellIs" dxfId="159" priority="263" operator="lessThanOrEqual">
      <formula>0.01</formula>
    </cfRule>
    <cfRule type="cellIs" dxfId="158" priority="265" operator="between">
      <formula>1</formula>
      <formula>9.999</formula>
    </cfRule>
    <cfRule type="cellIs" dxfId="157" priority="266" operator="between">
      <formula>0.1</formula>
      <formula>0.999</formula>
    </cfRule>
  </conditionalFormatting>
  <conditionalFormatting sqref="F31:G36">
    <cfRule type="cellIs" dxfId="156" priority="62" operator="between">
      <formula>10</formula>
      <formula>9999.999</formula>
    </cfRule>
  </conditionalFormatting>
  <conditionalFormatting sqref="F31:G43">
    <cfRule type="cellIs" dxfId="155" priority="1" operator="greaterThanOrEqual">
      <formula>10000</formula>
    </cfRule>
  </conditionalFormatting>
  <conditionalFormatting sqref="F32:G33">
    <cfRule type="cellIs" dxfId="154" priority="23" operator="between">
      <formula>1</formula>
      <formula>9.999</formula>
    </cfRule>
    <cfRule type="cellIs" dxfId="153" priority="24" operator="lessThan">
      <formula>0.1</formula>
    </cfRule>
    <cfRule type="cellIs" dxfId="152" priority="25" operator="between">
      <formula>0.1</formula>
      <formula>0.999</formula>
    </cfRule>
    <cfRule type="cellIs" dxfId="151" priority="26" operator="between">
      <formula>10</formula>
      <formula>9999.999</formula>
    </cfRule>
  </conditionalFormatting>
  <conditionalFormatting sqref="F32:G43">
    <cfRule type="cellIs" dxfId="150" priority="7" operator="lessThanOrEqual">
      <formula>0.01</formula>
    </cfRule>
  </conditionalFormatting>
  <conditionalFormatting sqref="F35:G38">
    <cfRule type="cellIs" dxfId="149" priority="6" operator="greaterThan">
      <formula>10000</formula>
    </cfRule>
    <cfRule type="cellIs" dxfId="148" priority="9" operator="between">
      <formula>0.1</formula>
      <formula>0.999</formula>
    </cfRule>
    <cfRule type="cellIs" dxfId="147" priority="8" operator="between">
      <formula>1</formula>
      <formula>9.999</formula>
    </cfRule>
    <cfRule type="cellIs" dxfId="146" priority="3" operator="lessThan">
      <formula>0.1</formula>
    </cfRule>
  </conditionalFormatting>
  <conditionalFormatting sqref="F37:G38">
    <cfRule type="cellIs" dxfId="145" priority="5" operator="between">
      <formula>10</formula>
      <formula>9999.999</formula>
    </cfRule>
    <cfRule type="cellIs" dxfId="144" priority="4" operator="between">
      <formula>0.1</formula>
      <formula>0.999</formula>
    </cfRule>
    <cfRule type="cellIs" dxfId="143" priority="2" operator="between">
      <formula>1</formula>
      <formula>9.999</formula>
    </cfRule>
  </conditionalFormatting>
  <conditionalFormatting sqref="F39:G41">
    <cfRule type="cellIs" dxfId="142" priority="91" operator="between">
      <formula>10</formula>
      <formula>9999.999</formula>
    </cfRule>
  </conditionalFormatting>
  <conditionalFormatting sqref="F42:G43">
    <cfRule type="cellIs" dxfId="141" priority="14" operator="between">
      <formula>10</formula>
      <formula>9999.999</formula>
    </cfRule>
    <cfRule type="cellIs" dxfId="140" priority="13" operator="between">
      <formula>0.1</formula>
      <formula>0.999</formula>
    </cfRule>
    <cfRule type="cellIs" dxfId="139" priority="12" operator="lessThan">
      <formula>0.1</formula>
    </cfRule>
    <cfRule type="cellIs" dxfId="138" priority="11" operator="between">
      <formula>1</formula>
      <formula>9.999</formula>
    </cfRule>
    <cfRule type="cellIs" dxfId="137" priority="18" operator="between">
      <formula>0.1</formula>
      <formula>0.999</formula>
    </cfRule>
    <cfRule type="cellIs" dxfId="136" priority="17" operator="between">
      <formula>1</formula>
      <formula>9.999</formula>
    </cfRule>
    <cfRule type="cellIs" dxfId="135" priority="15" operator="greaterThan">
      <formula>10000</formula>
    </cfRule>
  </conditionalFormatting>
  <conditionalFormatting sqref="F4:Q12 F13:G22 K13:P30 H13:I31 J13:J36 L13:M52 Q13:Q52 F26:G28 H37:J38 F39:G41 J39:J41 H42:J52">
    <cfRule type="cellIs" dxfId="134" priority="367" operator="between">
      <formula>0.1</formula>
      <formula>0.999</formula>
    </cfRule>
  </conditionalFormatting>
  <conditionalFormatting sqref="F4:Q12 F13:G22 K13:P30 H13:I31 J13:J36 L13:M52 Q13:Q52 F26:G28 H37:J38 J39:J41 H42:J52">
    <cfRule type="cellIs" dxfId="133" priority="362" operator="lessThanOrEqual">
      <formula>0.01</formula>
    </cfRule>
  </conditionalFormatting>
  <conditionalFormatting sqref="F4:Q12 F13:G22 K13:P30 J13:J52 Q13:Q52 L20:M52">
    <cfRule type="cellIs" dxfId="132" priority="60" operator="greaterThanOrEqual">
      <formula>10000</formula>
    </cfRule>
  </conditionalFormatting>
  <conditionalFormatting sqref="F4:Q12 F13:I19 F20:G31 K13:P30 H18:I21 H23:I31 J13:J52 Q13:Q52 I37 G39 I42 I44:I45 I50">
    <cfRule type="cellIs" dxfId="131" priority="360" operator="between">
      <formula>10</formula>
      <formula>9999.999</formula>
    </cfRule>
  </conditionalFormatting>
  <conditionalFormatting sqref="F4:Q12 F13:I22 K13:P30 J13:J36 L13:M52 Q13:Q52 H23:I31 F26:G28 H37:J38 F39:G41 J39:J41 H42:J52">
    <cfRule type="cellIs" dxfId="130" priority="366" operator="between">
      <formula>1</formula>
      <formula>9.999</formula>
    </cfRule>
  </conditionalFormatting>
  <conditionalFormatting sqref="G32">
    <cfRule type="cellIs" dxfId="129" priority="61" operator="between">
      <formula>10</formula>
      <formula>9999.999</formula>
    </cfRule>
  </conditionalFormatting>
  <conditionalFormatting sqref="H25">
    <cfRule type="cellIs" dxfId="128" priority="188" operator="between">
      <formula>10</formula>
      <formula>9999.999</formula>
    </cfRule>
    <cfRule type="cellIs" dxfId="127" priority="186" operator="between">
      <formula>0.1</formula>
      <formula>0.999</formula>
    </cfRule>
    <cfRule type="cellIs" dxfId="126" priority="185" operator="lessThan">
      <formula>0.1</formula>
    </cfRule>
    <cfRule type="cellIs" dxfId="125" priority="184" operator="between">
      <formula>1</formula>
      <formula>9.999</formula>
    </cfRule>
    <cfRule type="cellIs" dxfId="124" priority="187" operator="greaterThan">
      <formula>10000</formula>
    </cfRule>
  </conditionalFormatting>
  <conditionalFormatting sqref="H30:H31">
    <cfRule type="cellIs" dxfId="123" priority="179" operator="between">
      <formula>1</formula>
      <formula>9.999</formula>
    </cfRule>
    <cfRule type="cellIs" dxfId="122" priority="181" operator="between">
      <formula>0.1</formula>
      <formula>0.999</formula>
    </cfRule>
    <cfRule type="cellIs" dxfId="121" priority="182" operator="greaterThan">
      <formula>10000</formula>
    </cfRule>
    <cfRule type="cellIs" dxfId="120" priority="183" operator="between">
      <formula>10</formula>
      <formula>9999.999</formula>
    </cfRule>
    <cfRule type="cellIs" dxfId="119" priority="180" operator="lessThan">
      <formula>0.1</formula>
    </cfRule>
  </conditionalFormatting>
  <conditionalFormatting sqref="H44">
    <cfRule type="cellIs" dxfId="118" priority="93" operator="lessThan">
      <formula>0.1</formula>
    </cfRule>
    <cfRule type="cellIs" dxfId="117" priority="95" operator="greaterThan">
      <formula>10000</formula>
    </cfRule>
    <cfRule type="cellIs" dxfId="116" priority="128" operator="between">
      <formula>1</formula>
      <formula>9.999</formula>
    </cfRule>
    <cfRule type="cellIs" dxfId="115" priority="130" operator="between">
      <formula>0.1</formula>
      <formula>0.999</formula>
    </cfRule>
    <cfRule type="cellIs" dxfId="114" priority="132" operator="between">
      <formula>10</formula>
      <formula>9999.999</formula>
    </cfRule>
  </conditionalFormatting>
  <conditionalFormatting sqref="H46">
    <cfRule type="cellIs" dxfId="113" priority="101" operator="between">
      <formula>0.1</formula>
      <formula>0.999</formula>
    </cfRule>
    <cfRule type="cellIs" dxfId="112" priority="99" operator="between">
      <formula>1</formula>
      <formula>9.999</formula>
    </cfRule>
    <cfRule type="cellIs" dxfId="111" priority="100" operator="lessThan">
      <formula>0.1</formula>
    </cfRule>
    <cfRule type="cellIs" dxfId="110" priority="102" operator="greaterThan">
      <formula>10000</formula>
    </cfRule>
    <cfRule type="cellIs" dxfId="109" priority="103" operator="between">
      <formula>10</formula>
      <formula>9999.999</formula>
    </cfRule>
  </conditionalFormatting>
  <conditionalFormatting sqref="H49">
    <cfRule type="cellIs" dxfId="108" priority="109" operator="greaterThan">
      <formula>10000</formula>
    </cfRule>
    <cfRule type="cellIs" dxfId="107" priority="106" operator="between">
      <formula>1</formula>
      <formula>9.999</formula>
    </cfRule>
    <cfRule type="cellIs" dxfId="106" priority="107" operator="lessThan">
      <formula>0.1</formula>
    </cfRule>
    <cfRule type="cellIs" dxfId="105" priority="108" operator="between">
      <formula>0.1</formula>
      <formula>0.999</formula>
    </cfRule>
    <cfRule type="cellIs" dxfId="104" priority="110" operator="between">
      <formula>10</formula>
      <formula>9999.999</formula>
    </cfRule>
  </conditionalFormatting>
  <conditionalFormatting sqref="H52">
    <cfRule type="cellIs" dxfId="103" priority="114" operator="between">
      <formula>1</formula>
      <formula>9.999</formula>
    </cfRule>
    <cfRule type="cellIs" dxfId="102" priority="115" operator="lessThan">
      <formula>0.1</formula>
    </cfRule>
    <cfRule type="cellIs" dxfId="101" priority="116" operator="between">
      <formula>0.1</formula>
      <formula>0.999</formula>
    </cfRule>
    <cfRule type="cellIs" dxfId="100" priority="117" operator="greaterThan">
      <formula>10000</formula>
    </cfRule>
    <cfRule type="cellIs" dxfId="99" priority="118" operator="between">
      <formula>10</formula>
      <formula>9999.999</formula>
    </cfRule>
  </conditionalFormatting>
  <conditionalFormatting sqref="H4:I19">
    <cfRule type="cellIs" dxfId="98" priority="216" operator="between">
      <formula>0.1</formula>
      <formula>0.999</formula>
    </cfRule>
    <cfRule type="cellIs" dxfId="97" priority="54" operator="greaterThan">
      <formula>10000</formula>
    </cfRule>
    <cfRule type="cellIs" dxfId="96" priority="214" operator="between">
      <formula>1</formula>
      <formula>9.999</formula>
    </cfRule>
    <cfRule type="cellIs" dxfId="95" priority="52" operator="lessThan">
      <formula>0.1</formula>
    </cfRule>
  </conditionalFormatting>
  <conditionalFormatting sqref="H8:I10">
    <cfRule type="cellIs" dxfId="94" priority="51" operator="between">
      <formula>1</formula>
      <formula>9.999</formula>
    </cfRule>
    <cfRule type="cellIs" dxfId="93" priority="53" operator="between">
      <formula>0.1</formula>
      <formula>0.999</formula>
    </cfRule>
  </conditionalFormatting>
  <conditionalFormatting sqref="H13:I31">
    <cfRule type="cellIs" dxfId="92" priority="47" operator="greaterThanOrEqual">
      <formula>10000</formula>
    </cfRule>
  </conditionalFormatting>
  <conditionalFormatting sqref="H15:I15 H22:I22 H25:I25 H28:I28 H31:I31">
    <cfRule type="cellIs" dxfId="91" priority="46" operator="between">
      <formula>0.1</formula>
      <formula>0.999</formula>
    </cfRule>
  </conditionalFormatting>
  <conditionalFormatting sqref="H20:I22 H25:I25 H31:I31">
    <cfRule type="cellIs" dxfId="90" priority="44" operator="between">
      <formula>10</formula>
      <formula>9999.999</formula>
    </cfRule>
  </conditionalFormatting>
  <conditionalFormatting sqref="H22:I22 H25:I25 H28:I28 H31:I31">
    <cfRule type="cellIs" dxfId="89" priority="40" operator="lessThan">
      <formula>0.1</formula>
    </cfRule>
    <cfRule type="cellIs" dxfId="88" priority="41" operator="greaterThan">
      <formula>10000</formula>
    </cfRule>
    <cfRule type="cellIs" dxfId="87" priority="43" operator="between">
      <formula>0.1</formula>
      <formula>0.999</formula>
    </cfRule>
    <cfRule type="cellIs" dxfId="86" priority="42" operator="between">
      <formula>1</formula>
      <formula>9.999</formula>
    </cfRule>
  </conditionalFormatting>
  <conditionalFormatting sqref="H22:I22 H25:I25 H31:I31 H28:I28 H15:I15">
    <cfRule type="cellIs" dxfId="85" priority="45" operator="between">
      <formula>1</formula>
      <formula>9.999</formula>
    </cfRule>
  </conditionalFormatting>
  <conditionalFormatting sqref="H31:I31">
    <cfRule type="cellIs" dxfId="84" priority="70" operator="between">
      <formula>10</formula>
      <formula>9999.999</formula>
    </cfRule>
  </conditionalFormatting>
  <conditionalFormatting sqref="H37:I38">
    <cfRule type="cellIs" dxfId="83" priority="84" operator="between">
      <formula>10</formula>
      <formula>9999.999</formula>
    </cfRule>
    <cfRule type="cellIs" dxfId="82" priority="83" operator="greaterThanOrEqual">
      <formula>10000</formula>
    </cfRule>
  </conditionalFormatting>
  <conditionalFormatting sqref="H41:I41 H46:I46 H49:I49 H52:I52">
    <cfRule type="cellIs" dxfId="81" priority="30" operator="lessThan">
      <formula>0.1</formula>
    </cfRule>
    <cfRule type="cellIs" dxfId="80" priority="29" operator="between">
      <formula>1</formula>
      <formula>9.999</formula>
    </cfRule>
    <cfRule type="cellIs" dxfId="79" priority="32" operator="greaterThan">
      <formula>10000</formula>
    </cfRule>
    <cfRule type="cellIs" dxfId="78" priority="31" operator="between">
      <formula>0.1</formula>
      <formula>0.999</formula>
    </cfRule>
    <cfRule type="cellIs" dxfId="77" priority="35" operator="between">
      <formula>0.1</formula>
      <formula>0.999</formula>
    </cfRule>
    <cfRule type="cellIs" dxfId="76" priority="34" operator="between">
      <formula>1</formula>
      <formula>9.999</formula>
    </cfRule>
  </conditionalFormatting>
  <conditionalFormatting sqref="H41:I41">
    <cfRule type="cellIs" dxfId="75" priority="39" operator="between">
      <formula>0.1</formula>
      <formula>0.999</formula>
    </cfRule>
    <cfRule type="cellIs" dxfId="74" priority="38" operator="between">
      <formula>1</formula>
      <formula>9.999</formula>
    </cfRule>
    <cfRule type="cellIs" dxfId="73" priority="37" operator="lessThanOrEqual">
      <formula>0.01</formula>
    </cfRule>
  </conditionalFormatting>
  <conditionalFormatting sqref="H41:I43 H46:I46 H49:I49 H52:I52">
    <cfRule type="cellIs" dxfId="72" priority="36" operator="between">
      <formula>10</formula>
      <formula>9999.999</formula>
    </cfRule>
  </conditionalFormatting>
  <conditionalFormatting sqref="H41:I52">
    <cfRule type="cellIs" dxfId="71" priority="33" operator="greaterThanOrEqual">
      <formula>10000</formula>
    </cfRule>
  </conditionalFormatting>
  <conditionalFormatting sqref="H44:I44">
    <cfRule type="cellIs" dxfId="70" priority="134" operator="between">
      <formula>10</formula>
      <formula>9999.999</formula>
    </cfRule>
  </conditionalFormatting>
  <conditionalFormatting sqref="H44:I46">
    <cfRule type="cellIs" dxfId="69" priority="105" operator="between">
      <formula>10</formula>
      <formula>9999.999</formula>
    </cfRule>
  </conditionalFormatting>
  <conditionalFormatting sqref="H45:I49">
    <cfRule type="cellIs" dxfId="68" priority="113" operator="between">
      <formula>10</formula>
      <formula>9999.999</formula>
    </cfRule>
  </conditionalFormatting>
  <conditionalFormatting sqref="H50:I52">
    <cfRule type="cellIs" dxfId="67" priority="120" operator="between">
      <formula>10</formula>
      <formula>9999.999</formula>
    </cfRule>
  </conditionalFormatting>
  <conditionalFormatting sqref="I20">
    <cfRule type="cellIs" dxfId="66" priority="49" operator="greaterThanOrEqual">
      <formula>10000</formula>
    </cfRule>
  </conditionalFormatting>
  <conditionalFormatting sqref="I23">
    <cfRule type="cellIs" dxfId="65" priority="333" operator="greaterThanOrEqual">
      <formula>10000</formula>
    </cfRule>
  </conditionalFormatting>
  <conditionalFormatting sqref="I31">
    <cfRule type="cellIs" dxfId="64" priority="69" operator="between">
      <formula>10</formula>
      <formula>9999.999</formula>
    </cfRule>
  </conditionalFormatting>
  <conditionalFormatting sqref="I47">
    <cfRule type="cellIs" dxfId="63" priority="112" operator="between">
      <formula>10</formula>
      <formula>9999.999</formula>
    </cfRule>
  </conditionalFormatting>
  <conditionalFormatting sqref="L4:M52">
    <cfRule type="cellIs" dxfId="62" priority="348" operator="lessThan">
      <formula>0.1</formula>
    </cfRule>
    <cfRule type="cellIs" dxfId="61" priority="349" operator="between">
      <formula>0.1</formula>
      <formula>0.999</formula>
    </cfRule>
    <cfRule type="cellIs" dxfId="60" priority="350" operator="between">
      <formula>1</formula>
      <formula>9.999</formula>
    </cfRule>
    <cfRule type="cellIs" dxfId="59" priority="351" operator="between">
      <formula>10</formula>
      <formula>9999.999</formula>
    </cfRule>
  </conditionalFormatting>
  <pageMargins left="0.7" right="0.7" top="0.75" bottom="0.75" header="0.3" footer="0.3"/>
  <pageSetup orientation="portrait" horizontalDpi="1200" verticalDpi="1200" r:id="rId1"/>
  <tableParts count="1">
    <tablePart r:id="rId2"/>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16B0BD-3A26-46B1-9811-A8C9CF09E75F}">
  <sheetPr codeName="Sheet13">
    <tabColor rgb="FF92D050"/>
  </sheetPr>
  <dimension ref="B1:AL238"/>
  <sheetViews>
    <sheetView topLeftCell="C1" zoomScaleNormal="100" workbookViewId="0">
      <selection activeCell="C1" sqref="C1"/>
    </sheetView>
  </sheetViews>
  <sheetFormatPr defaultColWidth="8.81640625" defaultRowHeight="13" x14ac:dyDescent="0.35"/>
  <cols>
    <col min="1" max="1" width="4.54296875" style="12" customWidth="1"/>
    <col min="2" max="2" width="4.7265625" style="9" bestFit="1" customWidth="1"/>
    <col min="3" max="3" width="63" style="12" bestFit="1" customWidth="1"/>
    <col min="4" max="4" width="23" style="9" bestFit="1" customWidth="1"/>
    <col min="5" max="5" width="14.7265625" style="371" bestFit="1" customWidth="1"/>
    <col min="6" max="6" width="11.7265625" style="12" bestFit="1" customWidth="1"/>
    <col min="7" max="7" width="12.54296875" style="12" customWidth="1"/>
    <col min="8" max="8" width="8.81640625" style="12" bestFit="1" customWidth="1"/>
    <col min="9" max="9" width="8.26953125" style="12" bestFit="1" customWidth="1"/>
    <col min="10" max="10" width="9.54296875" style="12" bestFit="1" customWidth="1"/>
    <col min="11" max="11" width="12.54296875" style="12" bestFit="1" customWidth="1"/>
    <col min="12" max="12" width="11.7265625" style="12" bestFit="1" customWidth="1"/>
    <col min="13" max="14" width="9.54296875" style="12" bestFit="1" customWidth="1"/>
    <col min="15" max="15" width="10.26953125" style="12" bestFit="1" customWidth="1"/>
    <col min="16" max="16" width="8.81640625" style="12" bestFit="1" customWidth="1"/>
    <col min="17" max="17" width="8.26953125" style="12" bestFit="1" customWidth="1"/>
    <col min="18" max="18" width="7.26953125" style="12" bestFit="1" customWidth="1"/>
    <col min="19" max="19" width="17" style="12" customWidth="1"/>
    <col min="20" max="20" width="8.81640625" style="12" customWidth="1"/>
    <col min="21" max="21" width="26.54296875" style="12" customWidth="1"/>
    <col min="22" max="22" width="16.81640625" style="12" customWidth="1"/>
    <col min="23" max="23" width="18.81640625" style="12" customWidth="1"/>
    <col min="24" max="24" width="22.1796875" style="12" customWidth="1"/>
    <col min="25" max="25" width="25.81640625" style="12" bestFit="1" customWidth="1"/>
    <col min="26" max="29" width="20.453125" style="12" customWidth="1"/>
    <col min="30" max="31" width="18.81640625" style="12" customWidth="1"/>
    <col min="32" max="32" width="28.453125" style="3" customWidth="1"/>
    <col min="33" max="33" width="26.81640625" style="3" customWidth="1"/>
    <col min="34" max="34" width="15.1796875" style="3" customWidth="1"/>
    <col min="35" max="35" width="17.81640625" style="3" customWidth="1"/>
    <col min="36" max="36" width="22.453125" style="3" customWidth="1"/>
    <col min="37" max="37" width="21.81640625" style="3" customWidth="1"/>
    <col min="38" max="38" width="17.453125" style="3" customWidth="1"/>
    <col min="39" max="39" width="14.54296875" style="12" customWidth="1"/>
    <col min="40" max="40" width="17.1796875" style="12" customWidth="1"/>
    <col min="41" max="41" width="16" style="12" customWidth="1"/>
    <col min="42" max="42" width="24.1796875" style="12" customWidth="1"/>
    <col min="43" max="43" width="15.54296875" style="12" customWidth="1"/>
    <col min="44" max="44" width="14.1796875" style="12" customWidth="1"/>
    <col min="45" max="46" width="8.81640625" style="12"/>
    <col min="47" max="47" width="18.453125" style="12" customWidth="1"/>
    <col min="48" max="48" width="15" style="12" customWidth="1"/>
    <col min="49" max="49" width="21.453125" style="12" customWidth="1"/>
    <col min="50" max="50" width="15.453125" style="12" customWidth="1"/>
    <col min="51" max="51" width="16.54296875" style="12" customWidth="1"/>
    <col min="52" max="53" width="8.81640625" style="12"/>
    <col min="54" max="54" width="17.81640625" style="12" customWidth="1"/>
    <col min="55" max="55" width="14.453125" style="12" customWidth="1"/>
    <col min="56" max="56" width="18.54296875" style="12" customWidth="1"/>
    <col min="57" max="57" width="13.54296875" style="12" customWidth="1"/>
    <col min="58" max="58" width="15.1796875" style="12" customWidth="1"/>
    <col min="59" max="60" width="8.81640625" style="12"/>
    <col min="61" max="61" width="16.1796875" style="12" customWidth="1"/>
    <col min="62" max="62" width="12" style="12" customWidth="1"/>
    <col min="63" max="63" width="18" style="12" customWidth="1"/>
    <col min="64" max="64" width="16.1796875" style="12" customWidth="1"/>
    <col min="65" max="65" width="14.1796875" style="12" customWidth="1"/>
    <col min="66" max="66" width="10.1796875" style="12" customWidth="1"/>
    <col min="67" max="16384" width="8.81640625" style="12"/>
  </cols>
  <sheetData>
    <row r="1" spans="3:38" x14ac:dyDescent="0.35">
      <c r="C1" s="680"/>
      <c r="K1" s="14"/>
      <c r="L1" s="14"/>
      <c r="M1" s="14"/>
      <c r="N1" s="14"/>
      <c r="AF1" s="12"/>
      <c r="AG1" s="12"/>
      <c r="AH1" s="12"/>
      <c r="AI1" s="12"/>
      <c r="AJ1" s="12"/>
      <c r="AK1" s="12"/>
      <c r="AL1" s="12"/>
    </row>
    <row r="2" spans="3:38" ht="13.5" thickBot="1" x14ac:dyDescent="0.4">
      <c r="K2" s="14"/>
      <c r="L2" s="14"/>
      <c r="M2" s="14"/>
      <c r="N2" s="14"/>
      <c r="AF2" s="12"/>
      <c r="AG2" s="12"/>
      <c r="AH2" s="12"/>
      <c r="AI2" s="12"/>
      <c r="AJ2" s="12"/>
      <c r="AK2" s="12"/>
      <c r="AL2" s="12"/>
    </row>
    <row r="3" spans="3:38" ht="25.5" customHeight="1" thickBot="1" x14ac:dyDescent="0.4">
      <c r="C3" s="302" t="s">
        <v>186</v>
      </c>
      <c r="D3" s="302" t="s">
        <v>267</v>
      </c>
      <c r="E3" s="372" t="s">
        <v>79</v>
      </c>
      <c r="F3" s="306" t="s">
        <v>209</v>
      </c>
      <c r="G3" s="643" t="s">
        <v>268</v>
      </c>
      <c r="H3" s="644"/>
      <c r="I3" s="644"/>
      <c r="J3" s="645"/>
      <c r="K3" s="643" t="s">
        <v>269</v>
      </c>
      <c r="L3" s="644"/>
      <c r="M3" s="644"/>
      <c r="N3" s="645"/>
      <c r="O3" s="643" t="s">
        <v>270</v>
      </c>
      <c r="P3" s="644"/>
      <c r="Q3" s="644"/>
      <c r="R3" s="645"/>
      <c r="AF3" s="12"/>
      <c r="AG3" s="12"/>
      <c r="AH3" s="12"/>
      <c r="AI3" s="12"/>
      <c r="AJ3" s="12"/>
      <c r="AK3" s="12"/>
      <c r="AL3" s="12"/>
    </row>
    <row r="4" spans="3:38" ht="38" thickBot="1" x14ac:dyDescent="0.4">
      <c r="C4" s="303"/>
      <c r="D4" s="303"/>
      <c r="E4" s="373"/>
      <c r="F4" s="303"/>
      <c r="G4" s="302" t="s">
        <v>85</v>
      </c>
      <c r="H4" s="302" t="s">
        <v>183</v>
      </c>
      <c r="I4" s="302" t="s">
        <v>87</v>
      </c>
      <c r="J4" s="302" t="s">
        <v>88</v>
      </c>
      <c r="K4" s="302" t="s">
        <v>85</v>
      </c>
      <c r="L4" s="302" t="s">
        <v>183</v>
      </c>
      <c r="M4" s="302" t="s">
        <v>87</v>
      </c>
      <c r="N4" s="302" t="s">
        <v>88</v>
      </c>
      <c r="O4" s="302" t="s">
        <v>271</v>
      </c>
      <c r="P4" s="302" t="s">
        <v>272</v>
      </c>
      <c r="Q4" s="302" t="s">
        <v>273</v>
      </c>
      <c r="R4" s="302" t="s">
        <v>274</v>
      </c>
      <c r="AF4" s="12"/>
      <c r="AG4" s="12"/>
      <c r="AH4" s="12"/>
      <c r="AI4" s="12"/>
      <c r="AJ4" s="12"/>
      <c r="AK4" s="12"/>
      <c r="AL4" s="12"/>
    </row>
    <row r="5" spans="3:38" x14ac:dyDescent="0.35">
      <c r="C5" s="388" t="str" cm="1">
        <f t="array" ref="C5">INDEX('List Values'!$B$2:$B$20,(1+ROUNDDOWN((ROW()-ROW($C$5))*1/6,2)))</f>
        <v>Manufacturing</v>
      </c>
      <c r="D5" s="389" t="s">
        <v>214</v>
      </c>
      <c r="E5" s="390" t="s">
        <v>92</v>
      </c>
      <c r="F5" s="391" t="s">
        <v>218</v>
      </c>
      <c r="G5" s="394">
        <f>IF(E5="High-End",SUMIFS(Inhalation_Exp[24hr_High-End],Inhalation_Exp[OES],$C5,Inhalation_Exp[Worker Type],$D5),SUMIFS(Inhalation_Exp[24hr_Central Tendency],Inhalation_Exp[OES],$C5,Inhalation_Exp[Worker Type],$D5))</f>
        <v>5.7187500000000002E-2</v>
      </c>
      <c r="H5" s="44">
        <f>IF(E5="High-End",SUMIFS(Inhalation_Exp[Int_High-End],Inhalation_Exp[OES],$C5,Inhalation_Exp[Worker Type],$D5),SUMIFS(Inhalation_Exp[Int_Central Tendency],Inhalation_Exp[OES],$C5,Inhalation_Exp[Worker Type],$D5))</f>
        <v>4.1937500000000003E-2</v>
      </c>
      <c r="I5" s="44">
        <f>IF(E5="High-End",SUMIFS(Inhalation_Exp[ADD_High-End],Inhalation_Exp[OES],$C5,Inhalation_Exp[Worker Type],$D5),SUMIFS(Inhalation_Exp[ADD_Central Tendency],Inhalation_Exp[OES],$C5,Inhalation_Exp[Worker Type],$D5))</f>
        <v>3.9169520547945202E-2</v>
      </c>
      <c r="J5" s="44">
        <f>IF(E5="High-End",SUMIFS(Inhalation_Exp[LADD_High-End],Inhalation_Exp[OES],$C5,Inhalation_Exp[Worker Type],$D5),SUMIFS(Inhalation_Exp[LADD_Central Tendency],Inhalation_Exp[OES],$C5,Inhalation_Exp[Worker Type],$D5))</f>
        <v>2.0086933614330876E-2</v>
      </c>
      <c r="K5" s="237">
        <f>IF($E5="High-End",SUMIFS(Dermal_Exp[High-End AD (mg/kg-day)],Dermal_Exp[Worker Type],$D5,Dermal_Exp[OES],$C5),SUMIFS(Dermal_Exp[Central Tendency AD (mg/kg-day)],Dermal_Exp[Worker Type],$D5,Dermal_Exp[OES],$C5))</f>
        <v>6.6339999999999996E-2</v>
      </c>
      <c r="L5" s="237">
        <f>IF($E5="High-End",SUMIFS(Dermal_Exp[High-End IADD (mg/kg-day)],Dermal_Exp[Worker Type],$D5,Dermal_Exp[OES],$C5),SUMIFS(Dermal_Exp[Central Tendency IADD (mg/kg-day)],Dermal_Exp[Worker Type],$D5,Dermal_Exp[OES],$C5))</f>
        <v>4.8649333333333329E-2</v>
      </c>
      <c r="M5" s="237">
        <f>IF($E5="High-End",SUMIFS(Dermal_Exp[High-End ADD (mg/kg-day)],Dermal_Exp[Worker Type],$D5,Dermal_Exp[OES],$C5),SUMIFS(Dermal_Exp[Central Tendency ADD (mg/kg-day)],Dermal_Exp[Worker Type],$D5,Dermal_Exp[OES],$C5))</f>
        <v>4.5438356164383555E-2</v>
      </c>
      <c r="N5" s="237">
        <f>IF($E5="High-End",SUMIFS(Dermal_Exp[High-End LADD (mg/kg-day)],Dermal_Exp[Worker Type],$D5,Dermal_Exp[OES],$C5),SUMIFS(Dermal_Exp[Central Tendency LADD (mg/kg-day)],Dermal_Exp[Worker Type],$D5,Dermal_Exp[OES],$C5))</f>
        <v>2.3301721109940284E-2</v>
      </c>
      <c r="O5" s="237">
        <f>G5+K5</f>
        <v>0.1235275</v>
      </c>
      <c r="P5" s="237">
        <f>H5+L5</f>
        <v>9.0586833333333339E-2</v>
      </c>
      <c r="Q5" s="237">
        <f>I5+M5</f>
        <v>8.460787671232875E-2</v>
      </c>
      <c r="R5" s="235">
        <f>J5+N5</f>
        <v>4.3388654724271156E-2</v>
      </c>
      <c r="AF5" s="12"/>
      <c r="AG5" s="12"/>
      <c r="AH5" s="12"/>
      <c r="AI5" s="12"/>
      <c r="AJ5" s="12"/>
      <c r="AK5" s="12"/>
      <c r="AL5" s="12"/>
    </row>
    <row r="6" spans="3:38" x14ac:dyDescent="0.35">
      <c r="C6" s="392" t="str" cm="1">
        <f t="array" ref="C6">INDEX('List Values'!$B$2:$B$20,(1+ROUNDDOWN((ROW()-ROW($C$5))*1/6,2)))</f>
        <v>Manufacturing</v>
      </c>
      <c r="D6" s="307" t="s">
        <v>214</v>
      </c>
      <c r="E6" s="374" t="s">
        <v>93</v>
      </c>
      <c r="F6" s="393" t="s">
        <v>218</v>
      </c>
      <c r="G6" s="395">
        <f>IF(E6="High-End",SUMIFS(Inhalation_Exp[24hr_High-End],Inhalation_Exp[OES],$C6,Inhalation_Exp[Worker Type],$D6),SUMIFS(Inhalation_Exp[24hr_Central Tendency],Inhalation_Exp[OES],$C6,Inhalation_Exp[Worker Type],$D6))</f>
        <v>1.2500000000000001E-2</v>
      </c>
      <c r="H6" s="205">
        <f>IF(E6="High-End",SUMIFS(Inhalation_Exp[Int_High-End],Inhalation_Exp[OES],$C6,Inhalation_Exp[Worker Type],$D6),SUMIFS(Inhalation_Exp[Int_Central Tendency],Inhalation_Exp[OES],$C6,Inhalation_Exp[Worker Type],$D6))</f>
        <v>9.1666666666666667E-3</v>
      </c>
      <c r="I6" s="205">
        <f>IF(E6="High-End",SUMIFS(Inhalation_Exp[ADD_High-End],Inhalation_Exp[OES],$C6,Inhalation_Exp[Worker Type],$D6),SUMIFS(Inhalation_Exp[ADD_Central Tendency],Inhalation_Exp[OES],$C6,Inhalation_Exp[Worker Type],$D6))</f>
        <v>8.5616438356164379E-3</v>
      </c>
      <c r="J6" s="205">
        <f>IF(E6="High-End",SUMIFS(Inhalation_Exp[LADD_High-End],Inhalation_Exp[OES],$C6,Inhalation_Exp[Worker Type],$D6),SUMIFS(Inhalation_Exp[LADD_Central Tendency],Inhalation_Exp[OES],$C6,Inhalation_Exp[Worker Type],$D6))</f>
        <v>3.4027046013347384E-3</v>
      </c>
      <c r="K6" s="275">
        <f>IF($E6="High-End",SUMIFS(Dermal_Exp[High-End AD (mg/kg-day)],Dermal_Exp[Worker Type],$D6,Dermal_Exp[OES],$C6),SUMIFS(Dermal_Exp[Central Tendency AD (mg/kg-day)],Dermal_Exp[Worker Type],$D6,Dermal_Exp[OES],$C6))</f>
        <v>3.3169999999999998E-2</v>
      </c>
      <c r="L6" s="275">
        <f>IF($E6="High-End",SUMIFS(Dermal_Exp[High-End IADD (mg/kg-day)],Dermal_Exp[Worker Type],$D6,Dermal_Exp[OES],$C6),SUMIFS(Dermal_Exp[Central Tendency IADD (mg/kg-day)],Dermal_Exp[Worker Type],$D6,Dermal_Exp[OES],$C6))</f>
        <v>2.4324666666666665E-2</v>
      </c>
      <c r="M6" s="275">
        <f>IF($E6="High-End",SUMIFS(Dermal_Exp[High-End ADD (mg/kg-day)],Dermal_Exp[Worker Type],$D6,Dermal_Exp[OES],$C6),SUMIFS(Dermal_Exp[Central Tendency ADD (mg/kg-day)],Dermal_Exp[Worker Type],$D6,Dermal_Exp[OES],$C6))</f>
        <v>2.2719178082191774E-2</v>
      </c>
      <c r="N6" s="275">
        <f>IF($E6="High-End",SUMIFS(Dermal_Exp[High-End LADD (mg/kg-day)],Dermal_Exp[Worker Type],$D6,Dermal_Exp[OES],$C6),SUMIFS(Dermal_Exp[Central Tendency LADD (mg/kg-day)],Dermal_Exp[Worker Type],$D6,Dermal_Exp[OES],$C6))</f>
        <v>9.0294169301018603E-3</v>
      </c>
      <c r="O6" s="275">
        <f t="shared" ref="O6:O11" si="0">G6+K6</f>
        <v>4.5670000000000002E-2</v>
      </c>
      <c r="P6" s="275">
        <f t="shared" ref="P6:R10" si="1">H6+L6</f>
        <v>3.3491333333333331E-2</v>
      </c>
      <c r="Q6" s="275">
        <f t="shared" si="1"/>
        <v>3.1280821917808212E-2</v>
      </c>
      <c r="R6" s="295">
        <f t="shared" si="1"/>
        <v>1.2432121531436599E-2</v>
      </c>
      <c r="AF6" s="12"/>
      <c r="AG6" s="12"/>
      <c r="AH6" s="12"/>
      <c r="AI6" s="12"/>
      <c r="AJ6" s="12"/>
      <c r="AK6" s="12"/>
      <c r="AL6" s="12"/>
    </row>
    <row r="7" spans="3:38" x14ac:dyDescent="0.35">
      <c r="C7" s="392" t="str" cm="1">
        <f t="array" ref="C7">INDEX('List Values'!$B$2:$B$20,(1+ROUNDDOWN((ROW()-ROW($C$5))*1/6,2)))</f>
        <v>Manufacturing</v>
      </c>
      <c r="D7" s="307" t="s">
        <v>74</v>
      </c>
      <c r="E7" s="374" t="s">
        <v>92</v>
      </c>
      <c r="F7" s="393" t="s">
        <v>218</v>
      </c>
      <c r="G7" s="395">
        <f>IF(E7="High-End",SUMIFS(Inhalation_Exp[24hr_High-End],Inhalation_Exp[OES],$C7,Inhalation_Exp[Worker Type],$D7),SUMIFS(Inhalation_Exp[24hr_Central Tendency],Inhalation_Exp[OES],$C7,Inhalation_Exp[Worker Type],$D7))</f>
        <v>6.3168795305488426E-2</v>
      </c>
      <c r="H7" s="205">
        <f>IF(E7="High-End",SUMIFS(Inhalation_Exp[Int_High-End],Inhalation_Exp[OES],$C7,Inhalation_Exp[Worker Type],$D7),SUMIFS(Inhalation_Exp[Int_Central Tendency],Inhalation_Exp[OES],$C7,Inhalation_Exp[Worker Type],$D7))</f>
        <v>4.6323783224024848E-2</v>
      </c>
      <c r="I7" s="205">
        <f>IF(E7="High-End",SUMIFS(Inhalation_Exp[ADD_High-End],Inhalation_Exp[OES],$C7,Inhalation_Exp[Worker Type],$D7),SUMIFS(Inhalation_Exp[ADD_Central Tendency],Inhalation_Exp[OES],$C7,Inhalation_Exp[Worker Type],$D7))</f>
        <v>4.3266298154444126E-2</v>
      </c>
      <c r="J7" s="205">
        <f>IF(E7="High-End",SUMIFS(Inhalation_Exp[LADD_High-End],Inhalation_Exp[OES],$C7,Inhalation_Exp[Worker Type],$D7),SUMIFS(Inhalation_Exp[LADD_Central Tendency],Inhalation_Exp[OES],$C7,Inhalation_Exp[Worker Type],$D7))</f>
        <v>2.2187845207407245E-2</v>
      </c>
      <c r="K7" s="275">
        <f>IF($E7="High-End",SUMIFS(Dermal_Exp[High-End AD (mg/kg-day)],Dermal_Exp[Worker Type],$D7,Dermal_Exp[OES],$C7),SUMIFS(Dermal_Exp[Central Tendency AD (mg/kg-day)],Dermal_Exp[Worker Type],$D7,Dermal_Exp[OES],$C7))</f>
        <v>6.0972375690607726E-2</v>
      </c>
      <c r="L7" s="275">
        <f>IF($E7="High-End",SUMIFS(Dermal_Exp[High-End IADD (mg/kg-day)],Dermal_Exp[Worker Type],$D7,Dermal_Exp[OES],$C7),SUMIFS(Dermal_Exp[Central Tendency IADD (mg/kg-day)],Dermal_Exp[Worker Type],$D7,Dermal_Exp[OES],$C7))</f>
        <v>4.4713075506445668E-2</v>
      </c>
      <c r="M7" s="275">
        <f>IF($E7="High-End",SUMIFS(Dermal_Exp[High-End ADD (mg/kg-day)],Dermal_Exp[Worker Type],$D7,Dermal_Exp[OES],$C7),SUMIFS(Dermal_Exp[Central Tendency ADD (mg/kg-day)],Dermal_Exp[Worker Type],$D7,Dermal_Exp[OES],$C7))</f>
        <v>4.1761901157950497E-2</v>
      </c>
      <c r="N7" s="275">
        <f>IF($E7="High-End",SUMIFS(Dermal_Exp[High-End LADD (mg/kg-day)],Dermal_Exp[Worker Type],$D7,Dermal_Exp[OES],$C7),SUMIFS(Dermal_Exp[Central Tendency LADD (mg/kg-day)],Dermal_Exp[Worker Type],$D7,Dermal_Exp[OES],$C7))</f>
        <v>2.1416359568179742E-2</v>
      </c>
      <c r="O7" s="275">
        <f t="shared" si="0"/>
        <v>0.12414117099609615</v>
      </c>
      <c r="P7" s="275">
        <f t="shared" si="1"/>
        <v>9.1036858730470516E-2</v>
      </c>
      <c r="Q7" s="275">
        <f t="shared" si="1"/>
        <v>8.5028199312394623E-2</v>
      </c>
      <c r="R7" s="295">
        <f t="shared" si="1"/>
        <v>4.3604204775586991E-2</v>
      </c>
      <c r="AF7" s="12"/>
      <c r="AG7" s="12"/>
      <c r="AH7" s="12"/>
      <c r="AI7" s="12"/>
      <c r="AJ7" s="12"/>
      <c r="AK7" s="12"/>
      <c r="AL7" s="12"/>
    </row>
    <row r="8" spans="3:38" x14ac:dyDescent="0.35">
      <c r="C8" s="392" t="str" cm="1">
        <f t="array" ref="C8">INDEX('List Values'!$B$2:$B$20,(1+ROUNDDOWN((ROW()-ROW($C$5))*1/6,2)))</f>
        <v>Manufacturing</v>
      </c>
      <c r="D8" s="307" t="s">
        <v>74</v>
      </c>
      <c r="E8" s="374" t="s">
        <v>93</v>
      </c>
      <c r="F8" s="393" t="s">
        <v>218</v>
      </c>
      <c r="G8" s="395">
        <f>IF(E8="High-End",SUMIFS(Inhalation_Exp[24hr_High-End],Inhalation_Exp[OES],$C8,Inhalation_Exp[Worker Type],$D8),SUMIFS(Inhalation_Exp[24hr_Central Tendency],Inhalation_Exp[OES],$C8,Inhalation_Exp[Worker Type],$D8))</f>
        <v>1.3807386952019328E-2</v>
      </c>
      <c r="H8" s="205">
        <f>IF(E8="High-End",SUMIFS(Inhalation_Exp[Int_High-End],Inhalation_Exp[OES],$C8,Inhalation_Exp[Worker Type],$D8),SUMIFS(Inhalation_Exp[Int_Central Tendency],Inhalation_Exp[OES],$C8,Inhalation_Exp[Worker Type],$D8))</f>
        <v>1.0125417098147507E-2</v>
      </c>
      <c r="I8" s="205">
        <f>IF(E8="High-End",SUMIFS(Inhalation_Exp[ADD_High-End],Inhalation_Exp[OES],$C8,Inhalation_Exp[Worker Type],$D8),SUMIFS(Inhalation_Exp[ADD_Central Tendency],Inhalation_Exp[OES],$C8,Inhalation_Exp[Worker Type],$D8))</f>
        <v>9.457114350698171E-3</v>
      </c>
      <c r="J8" s="205">
        <f>IF(E8="High-End",SUMIFS(Inhalation_Exp[LADD_High-End],Inhalation_Exp[OES],$C8,Inhalation_Exp[Worker Type],$D8),SUMIFS(Inhalation_Exp[LADD_Central Tendency],Inhalation_Exp[OES],$C8,Inhalation_Exp[Worker Type],$D8))</f>
        <v>3.7585967291236316E-3</v>
      </c>
      <c r="K8" s="275">
        <f>IF($E8="High-End",SUMIFS(Dermal_Exp[High-End AD (mg/kg-day)],Dermal_Exp[Worker Type],$D8,Dermal_Exp[OES],$C8),SUMIFS(Dermal_Exp[Central Tendency AD (mg/kg-day)],Dermal_Exp[Worker Type],$D8,Dermal_Exp[OES],$C8))</f>
        <v>3.0486187845303863E-2</v>
      </c>
      <c r="L8" s="275">
        <f>IF($E8="High-End",SUMIFS(Dermal_Exp[High-End IADD (mg/kg-day)],Dermal_Exp[Worker Type],$D8,Dermal_Exp[OES],$C8),SUMIFS(Dermal_Exp[Central Tendency IADD (mg/kg-day)],Dermal_Exp[Worker Type],$D8,Dermal_Exp[OES],$C8))</f>
        <v>2.2356537753222834E-2</v>
      </c>
      <c r="M8" s="275">
        <f>IF($E8="High-End",SUMIFS(Dermal_Exp[High-End ADD (mg/kg-day)],Dermal_Exp[Worker Type],$D8,Dermal_Exp[OES],$C8),SUMIFS(Dermal_Exp[Central Tendency ADD (mg/kg-day)],Dermal_Exp[Worker Type],$D8,Dermal_Exp[OES],$C8))</f>
        <v>2.0880950578975249E-2</v>
      </c>
      <c r="N8" s="275">
        <f>IF($E8="High-End",SUMIFS(Dermal_Exp[High-End LADD (mg/kg-day)],Dermal_Exp[Worker Type],$D8,Dermal_Exp[OES],$C8),SUMIFS(Dermal_Exp[Central Tendency LADD (mg/kg-day)],Dermal_Exp[Worker Type],$D8,Dermal_Exp[OES],$C8))</f>
        <v>8.2988393326696493E-3</v>
      </c>
      <c r="O8" s="275">
        <f t="shared" si="0"/>
        <v>4.4293574797323189E-2</v>
      </c>
      <c r="P8" s="275">
        <f t="shared" si="1"/>
        <v>3.2481954851370343E-2</v>
      </c>
      <c r="Q8" s="275">
        <f t="shared" si="1"/>
        <v>3.033806492967342E-2</v>
      </c>
      <c r="R8" s="295">
        <f t="shared" si="1"/>
        <v>1.205743606179328E-2</v>
      </c>
      <c r="AF8" s="12"/>
      <c r="AG8" s="12"/>
      <c r="AH8" s="12"/>
      <c r="AI8" s="12"/>
      <c r="AJ8" s="12"/>
      <c r="AK8" s="12"/>
      <c r="AL8" s="12"/>
    </row>
    <row r="9" spans="3:38" x14ac:dyDescent="0.35">
      <c r="C9" s="392" t="str" cm="1">
        <f t="array" ref="C9">INDEX('List Values'!$B$2:$B$20,(1+ROUNDDOWN((ROW()-ROW($C$5))*1/6,2)))</f>
        <v>Manufacturing</v>
      </c>
      <c r="D9" s="307" t="s">
        <v>94</v>
      </c>
      <c r="E9" s="374" t="s">
        <v>92</v>
      </c>
      <c r="F9" s="393" t="s">
        <v>218</v>
      </c>
      <c r="G9" s="395">
        <f>IF(E9="High-End",SUMIFS(Inhalation_Exp[24hr_High-End],Inhalation_Exp[OES],$C9,Inhalation_Exp[Worker Type],$D9),SUMIFS(Inhalation_Exp[24hr_Central Tendency],Inhalation_Exp[OES],$C9,Inhalation_Exp[Worker Type],$D9))</f>
        <v>1.2500000000000001E-2</v>
      </c>
      <c r="H9" s="205">
        <f>IF(E9="High-End",SUMIFS(Inhalation_Exp[Int_High-End],Inhalation_Exp[OES],$C9,Inhalation_Exp[Worker Type],$D9),SUMIFS(Inhalation_Exp[Int_Central Tendency],Inhalation_Exp[OES],$C9,Inhalation_Exp[Worker Type],$D9))</f>
        <v>9.1666666666666667E-3</v>
      </c>
      <c r="I9" s="205">
        <f>IF(E9="High-End",SUMIFS(Inhalation_Exp[ADD_High-End],Inhalation_Exp[OES],$C9,Inhalation_Exp[Worker Type],$D9),SUMIFS(Inhalation_Exp[ADD_Central Tendency],Inhalation_Exp[OES],$C9,Inhalation_Exp[Worker Type],$D9))</f>
        <v>8.5616438356164379E-3</v>
      </c>
      <c r="J9" s="205">
        <f>IF(E9="High-End",SUMIFS(Inhalation_Exp[LADD_High-End],Inhalation_Exp[OES],$C9,Inhalation_Exp[Worker Type],$D9),SUMIFS(Inhalation_Exp[LADD_Central Tendency],Inhalation_Exp[OES],$C9,Inhalation_Exp[Worker Type],$D9))</f>
        <v>4.3905865823674044E-3</v>
      </c>
      <c r="K9" s="275">
        <f>IF($E9="High-End",SUMIFS(Dermal_Exp[High-End AD (mg/kg-day)],Dermal_Exp[Worker Type],$D9,Dermal_Exp[OES],$C9),SUMIFS(Dermal_Exp[Central Tendency AD (mg/kg-day)],Dermal_Exp[Worker Type],$D9,Dermal_Exp[OES],$C9))</f>
        <v>0</v>
      </c>
      <c r="L9" s="275">
        <f>IF($E9="High-End",SUMIFS(Dermal_Exp[High-End IADD (mg/kg-day)],Dermal_Exp[Worker Type],$D9,Dermal_Exp[OES],$C9),SUMIFS(Dermal_Exp[Central Tendency IADD (mg/kg-day)],Dermal_Exp[Worker Type],$D9,Dermal_Exp[OES],$C9))</f>
        <v>0</v>
      </c>
      <c r="M9" s="275">
        <f>IF($E9="High-End",SUMIFS(Dermal_Exp[High-End ADD (mg/kg-day)],Dermal_Exp[Worker Type],$D9,Dermal_Exp[OES],$C9),SUMIFS(Dermal_Exp[Central Tendency ADD (mg/kg-day)],Dermal_Exp[Worker Type],$D9,Dermal_Exp[OES],$C9))</f>
        <v>0</v>
      </c>
      <c r="N9" s="275">
        <f>IF($E9="High-End",SUMIFS(Dermal_Exp[High-End LADD (mg/kg-day)],Dermal_Exp[Worker Type],$D9,Dermal_Exp[OES],$C9),SUMIFS(Dermal_Exp[Central Tendency LADD (mg/kg-day)],Dermal_Exp[Worker Type],$D9,Dermal_Exp[OES],$C9))</f>
        <v>0</v>
      </c>
      <c r="O9" s="275">
        <f t="shared" si="0"/>
        <v>1.2500000000000001E-2</v>
      </c>
      <c r="P9" s="275">
        <f t="shared" si="1"/>
        <v>9.1666666666666667E-3</v>
      </c>
      <c r="Q9" s="275">
        <f>I9+M9</f>
        <v>8.5616438356164379E-3</v>
      </c>
      <c r="R9" s="295">
        <f t="shared" si="1"/>
        <v>4.3905865823674044E-3</v>
      </c>
      <c r="AF9" s="12"/>
      <c r="AG9" s="12"/>
      <c r="AH9" s="12"/>
      <c r="AI9" s="12"/>
      <c r="AJ9" s="12"/>
      <c r="AK9" s="12"/>
      <c r="AL9" s="12"/>
    </row>
    <row r="10" spans="3:38" x14ac:dyDescent="0.35">
      <c r="C10" s="392" t="str" cm="1">
        <f t="array" ref="C10">INDEX('List Values'!$B$2:$B$20,(1+ROUNDDOWN((ROW()-ROW($C$5))*1/6,2)))</f>
        <v>Manufacturing</v>
      </c>
      <c r="D10" s="307" t="s">
        <v>94</v>
      </c>
      <c r="E10" s="374" t="s">
        <v>93</v>
      </c>
      <c r="F10" s="393" t="s">
        <v>218</v>
      </c>
      <c r="G10" s="395">
        <f>IF(E10="High-End",SUMIFS(Inhalation_Exp[24hr_High-End],Inhalation_Exp[OES],$C10,Inhalation_Exp[Worker Type],$D10),SUMIFS(Inhalation_Exp[24hr_Central Tendency],Inhalation_Exp[OES],$C10,Inhalation_Exp[Worker Type],$D10))</f>
        <v>1.2500000000000001E-2</v>
      </c>
      <c r="H10" s="205">
        <f>IF(E10="High-End",SUMIFS(Inhalation_Exp[Int_High-End],Inhalation_Exp[OES],$C10,Inhalation_Exp[Worker Type],$D10),SUMIFS(Inhalation_Exp[Int_Central Tendency],Inhalation_Exp[OES],$C10,Inhalation_Exp[Worker Type],$D10))</f>
        <v>9.1666666666666667E-3</v>
      </c>
      <c r="I10" s="205">
        <f>IF(E10="High-End",SUMIFS(Inhalation_Exp[ADD_High-End],Inhalation_Exp[OES],$C10,Inhalation_Exp[Worker Type],$D10),SUMIFS(Inhalation_Exp[ADD_Central Tendency],Inhalation_Exp[OES],$C10,Inhalation_Exp[Worker Type],$D10))</f>
        <v>8.5616438356164379E-3</v>
      </c>
      <c r="J10" s="205">
        <f>IF(E10="High-End",SUMIFS(Inhalation_Exp[LADD_High-End],Inhalation_Exp[OES],$C10,Inhalation_Exp[Worker Type],$D10),SUMIFS(Inhalation_Exp[LADD_Central Tendency],Inhalation_Exp[OES],$C10,Inhalation_Exp[Worker Type],$D10))</f>
        <v>3.4027046013347384E-3</v>
      </c>
      <c r="K10" s="275">
        <f>IF($E10="High-End",SUMIFS(Dermal_Exp[High-End AD (mg/kg-day)],Dermal_Exp[Worker Type],$D10,Dermal_Exp[OES],$C10),SUMIFS(Dermal_Exp[Central Tendency AD (mg/kg-day)],Dermal_Exp[Worker Type],$D10,Dermal_Exp[OES],$C10))</f>
        <v>0</v>
      </c>
      <c r="L10" s="275">
        <f>IF($E10="High-End",SUMIFS(Dermal_Exp[High-End IADD (mg/kg-day)],Dermal_Exp[Worker Type],$D10,Dermal_Exp[OES],$C10),SUMIFS(Dermal_Exp[Central Tendency IADD (mg/kg-day)],Dermal_Exp[Worker Type],$D10,Dermal_Exp[OES],$C10))</f>
        <v>0</v>
      </c>
      <c r="M10" s="275">
        <f>IF($E10="High-End",SUMIFS(Dermal_Exp[High-End ADD (mg/kg-day)],Dermal_Exp[Worker Type],$D10,Dermal_Exp[OES],$C10),SUMIFS(Dermal_Exp[Central Tendency ADD (mg/kg-day)],Dermal_Exp[Worker Type],$D10,Dermal_Exp[OES],$C10))</f>
        <v>0</v>
      </c>
      <c r="N10" s="275">
        <f>IF($E10="High-End",SUMIFS(Dermal_Exp[High-End LADD (mg/kg-day)],Dermal_Exp[Worker Type],$D10,Dermal_Exp[OES],$C10),SUMIFS(Dermal_Exp[Central Tendency LADD (mg/kg-day)],Dermal_Exp[Worker Type],$D10,Dermal_Exp[OES],$C10))</f>
        <v>0</v>
      </c>
      <c r="O10" s="275">
        <f t="shared" si="0"/>
        <v>1.2500000000000001E-2</v>
      </c>
      <c r="P10" s="275">
        <f t="shared" si="1"/>
        <v>9.1666666666666667E-3</v>
      </c>
      <c r="Q10" s="275">
        <f t="shared" si="1"/>
        <v>8.5616438356164379E-3</v>
      </c>
      <c r="R10" s="295">
        <f t="shared" si="1"/>
        <v>3.4027046013347384E-3</v>
      </c>
      <c r="AF10" s="12"/>
      <c r="AG10" s="12"/>
      <c r="AH10" s="12"/>
      <c r="AI10" s="12"/>
      <c r="AJ10" s="12"/>
      <c r="AK10" s="12"/>
      <c r="AL10" s="12"/>
    </row>
    <row r="11" spans="3:38" x14ac:dyDescent="0.35">
      <c r="C11" s="392" t="str" cm="1">
        <f t="array" ref="C11">INDEX('List Values'!$B$2:$B$20,(1+ROUNDDOWN((ROW()-ROW($C$5))*1/6,2)))</f>
        <v>Import and Repackaging (Solid)</v>
      </c>
      <c r="D11" s="307" t="s">
        <v>214</v>
      </c>
      <c r="E11" s="374" t="s">
        <v>92</v>
      </c>
      <c r="F11" s="393" t="s">
        <v>218</v>
      </c>
      <c r="G11" s="395">
        <f>IF(E11="High-End",SUMIFS(Inhalation_Exp[24hr_High-End],Inhalation_Exp[OES],$C11,Inhalation_Exp[Worker Type],$D11),SUMIFS(Inhalation_Exp[24hr_Central Tendency],Inhalation_Exp[OES],$C11,Inhalation_Exp[Worker Type],$D11))</f>
        <v>0.1875</v>
      </c>
      <c r="H11" s="205">
        <f>IF(E11="High-End",SUMIFS(Inhalation_Exp[Int_High-End],Inhalation_Exp[OES],$C11,Inhalation_Exp[Worker Type],$D11),SUMIFS(Inhalation_Exp[Int_Central Tendency],Inhalation_Exp[OES],$C11,Inhalation_Exp[Worker Type],$D11))</f>
        <v>0.13750000000000001</v>
      </c>
      <c r="I11" s="205">
        <f>IF(E11="High-End",SUMIFS(Inhalation_Exp[ADD_High-End],Inhalation_Exp[OES],$C11,Inhalation_Exp[Worker Type],$D11),SUMIFS(Inhalation_Exp[ADD_Central Tendency],Inhalation_Exp[OES],$C11,Inhalation_Exp[Worker Type],$D11))</f>
        <v>0.12842465753424659</v>
      </c>
      <c r="J11" s="205">
        <f>IF(E11="High-End",SUMIFS(Inhalation_Exp[LADD_High-End],Inhalation_Exp[OES],$C11,Inhalation_Exp[Worker Type],$D11),SUMIFS(Inhalation_Exp[LADD_Central Tendency],Inhalation_Exp[OES],$C11,Inhalation_Exp[Worker Type],$D11))</f>
        <v>6.5858798735511065E-2</v>
      </c>
      <c r="K11" s="275">
        <f>IF($E11="High-End",SUMIFS(Dermal_Exp[High-End AD (mg/kg-day)],Dermal_Exp[Worker Type],$D11,Dermal_Exp[OES],$C11),SUMIFS(Dermal_Exp[Central Tendency AD (mg/kg-day)],Dermal_Exp[Worker Type],$D11,Dermal_Exp[OES],$C11))</f>
        <v>1.1909099999999999E-2</v>
      </c>
      <c r="L11" s="275">
        <f>IF($E11="High-End",SUMIFS(Dermal_Exp[High-End IADD (mg/kg-day)],Dermal_Exp[Worker Type],$D11,Dermal_Exp[OES],$C11),SUMIFS(Dermal_Exp[Central Tendency IADD (mg/kg-day)],Dermal_Exp[Worker Type],$D11,Dermal_Exp[OES],$C11))</f>
        <v>8.7333399999999992E-3</v>
      </c>
      <c r="M11" s="275">
        <f>IF($E11="High-End",SUMIFS(Dermal_Exp[High-End ADD (mg/kg-day)],Dermal_Exp[Worker Type],$D11,Dermal_Exp[OES],$C11),SUMIFS(Dermal_Exp[Central Tendency ADD (mg/kg-day)],Dermal_Exp[Worker Type],$D11,Dermal_Exp[OES],$C11))</f>
        <v>8.156917808219177E-3</v>
      </c>
      <c r="N11" s="275">
        <f>IF($E11="High-End",SUMIFS(Dermal_Exp[High-End LADD (mg/kg-day)],Dermal_Exp[Worker Type],$D11,Dermal_Exp[OES],$C11),SUMIFS(Dermal_Exp[Central Tendency LADD (mg/kg-day)],Dermal_Exp[Worker Type],$D11,Dermal_Exp[OES],$C11))</f>
        <v>4.1830347734457315E-3</v>
      </c>
      <c r="O11" s="275">
        <f t="shared" si="0"/>
        <v>0.19940910000000001</v>
      </c>
      <c r="P11" s="275">
        <f t="shared" ref="P11:P74" si="2">H11+L11</f>
        <v>0.14623334000000002</v>
      </c>
      <c r="Q11" s="275">
        <f t="shared" ref="Q11:Q74" si="3">I11+M11</f>
        <v>0.13658157534246576</v>
      </c>
      <c r="R11" s="295">
        <f t="shared" ref="R11:R74" si="4">J11+N11</f>
        <v>7.0041833508956791E-2</v>
      </c>
      <c r="AF11" s="12"/>
      <c r="AG11" s="12"/>
      <c r="AH11" s="12"/>
      <c r="AI11" s="12"/>
      <c r="AJ11" s="12"/>
      <c r="AK11" s="12"/>
      <c r="AL11" s="12"/>
    </row>
    <row r="12" spans="3:38" x14ac:dyDescent="0.35">
      <c r="C12" s="392" t="str" cm="1">
        <f t="array" ref="C12">INDEX('List Values'!$B$2:$B$20,(1+ROUNDDOWN((ROW()-ROW($C$5))*1/6,2)))</f>
        <v>Import and Repackaging (Solid)</v>
      </c>
      <c r="D12" s="307" t="s">
        <v>214</v>
      </c>
      <c r="E12" s="374" t="s">
        <v>93</v>
      </c>
      <c r="F12" s="393" t="s">
        <v>218</v>
      </c>
      <c r="G12" s="395">
        <f>IF(E12="High-End",SUMIFS(Inhalation_Exp[24hr_High-End],Inhalation_Exp[OES],$C12,Inhalation_Exp[Worker Type],$D12),SUMIFS(Inhalation_Exp[24hr_Central Tendency],Inhalation_Exp[OES],$C12,Inhalation_Exp[Worker Type],$D12))</f>
        <v>8.2500000000000004E-3</v>
      </c>
      <c r="H12" s="205">
        <f>IF(E12="High-End",SUMIFS(Inhalation_Exp[Int_High-End],Inhalation_Exp[OES],$C12,Inhalation_Exp[Worker Type],$D12),SUMIFS(Inhalation_Exp[Int_Central Tendency],Inhalation_Exp[OES],$C12,Inhalation_Exp[Worker Type],$D12))</f>
        <v>6.0499999999999998E-3</v>
      </c>
      <c r="I12" s="205">
        <f>IF(E12="High-End",SUMIFS(Inhalation_Exp[ADD_High-End],Inhalation_Exp[OES],$C12,Inhalation_Exp[Worker Type],$D12),SUMIFS(Inhalation_Exp[ADD_Central Tendency],Inhalation_Exp[OES],$C12,Inhalation_Exp[Worker Type],$D12))</f>
        <v>4.7013698630136991E-3</v>
      </c>
      <c r="J12" s="205">
        <f>IF(E12="High-End",SUMIFS(Inhalation_Exp[LADD_High-End],Inhalation_Exp[OES],$C12,Inhalation_Exp[Worker Type],$D12),SUMIFS(Inhalation_Exp[LADD_Central Tendency],Inhalation_Exp[OES],$C12,Inhalation_Exp[Worker Type],$D12))</f>
        <v>1.8684931506849317E-3</v>
      </c>
      <c r="K12" s="275">
        <f>IF($E12="High-End",SUMIFS(Dermal_Exp[High-End AD (mg/kg-day)],Dermal_Exp[Worker Type],$D12,Dermal_Exp[OES],$C12),SUMIFS(Dermal_Exp[Central Tendency AD (mg/kg-day)],Dermal_Exp[Worker Type],$D12,Dermal_Exp[OES],$C12))</f>
        <v>5.9545499999999994E-3</v>
      </c>
      <c r="L12" s="275">
        <f>IF($E12="High-End",SUMIFS(Dermal_Exp[High-End IADD (mg/kg-day)],Dermal_Exp[Worker Type],$D12,Dermal_Exp[OES],$C12),SUMIFS(Dermal_Exp[Central Tendency IADD (mg/kg-day)],Dermal_Exp[Worker Type],$D12,Dermal_Exp[OES],$C12))</f>
        <v>4.3666699999999996E-3</v>
      </c>
      <c r="M12" s="275">
        <f>IF($E12="High-End",SUMIFS(Dermal_Exp[High-End ADD (mg/kg-day)],Dermal_Exp[Worker Type],$D12,Dermal_Exp[OES],$C12),SUMIFS(Dermal_Exp[Central Tendency ADD (mg/kg-day)],Dermal_Exp[Worker Type],$D12,Dermal_Exp[OES],$C12))</f>
        <v>3.3932778082191783E-3</v>
      </c>
      <c r="N12" s="275">
        <f>IF($E12="High-End",SUMIFS(Dermal_Exp[High-End LADD (mg/kg-day)],Dermal_Exp[Worker Type],$D12,Dermal_Exp[OES],$C12),SUMIFS(Dermal_Exp[Central Tendency LADD (mg/kg-day)],Dermal_Exp[Worker Type],$D12,Dermal_Exp[OES],$C12))</f>
        <v>1.3486104109589041E-3</v>
      </c>
      <c r="O12" s="275">
        <f t="shared" ref="O12:O75" si="5">G12+K12</f>
        <v>1.420455E-2</v>
      </c>
      <c r="P12" s="275">
        <f t="shared" si="2"/>
        <v>1.0416669999999999E-2</v>
      </c>
      <c r="Q12" s="275">
        <f t="shared" si="3"/>
        <v>8.0946476712328783E-3</v>
      </c>
      <c r="R12" s="295">
        <f t="shared" si="4"/>
        <v>3.2171035616438358E-3</v>
      </c>
      <c r="AF12" s="12"/>
      <c r="AG12" s="12"/>
      <c r="AH12" s="12"/>
      <c r="AI12" s="12"/>
      <c r="AJ12" s="12"/>
      <c r="AK12" s="12"/>
      <c r="AL12" s="12"/>
    </row>
    <row r="13" spans="3:38" x14ac:dyDescent="0.35">
      <c r="C13" s="392" t="str" cm="1">
        <f t="array" ref="C13">INDEX('List Values'!$B$2:$B$20,(1+ROUNDDOWN((ROW()-ROW($C$5))*1/6,2)))</f>
        <v>Import and Repackaging (Solid)</v>
      </c>
      <c r="D13" s="307" t="s">
        <v>74</v>
      </c>
      <c r="E13" s="374" t="s">
        <v>92</v>
      </c>
      <c r="F13" s="393" t="s">
        <v>218</v>
      </c>
      <c r="G13" s="395">
        <f>IF(E13="High-End",SUMIFS(Inhalation_Exp[24hr_High-End],Inhalation_Exp[OES],$C13,Inhalation_Exp[Worker Type],$D13),SUMIFS(Inhalation_Exp[24hr_Central Tendency],Inhalation_Exp[OES],$C13,Inhalation_Exp[Worker Type],$D13))</f>
        <v>0.20711080428028991</v>
      </c>
      <c r="H13" s="205">
        <f>IF(E13="High-End",SUMIFS(Inhalation_Exp[Int_High-End],Inhalation_Exp[OES],$C13,Inhalation_Exp[Worker Type],$D13),SUMIFS(Inhalation_Exp[Int_Central Tendency],Inhalation_Exp[OES],$C13,Inhalation_Exp[Worker Type],$D13))</f>
        <v>0.15188125647221262</v>
      </c>
      <c r="I13" s="205">
        <f>IF(E13="High-End",SUMIFS(Inhalation_Exp[ADD_High-End],Inhalation_Exp[OES],$C13,Inhalation_Exp[Worker Type],$D13),SUMIFS(Inhalation_Exp[ADD_Central Tendency],Inhalation_Exp[OES],$C13,Inhalation_Exp[Worker Type],$D13))</f>
        <v>0.14185671526047253</v>
      </c>
      <c r="J13" s="205">
        <f>IF(E13="High-End",SUMIFS(Inhalation_Exp[LADD_High-End],Inhalation_Exp[OES],$C13,Inhalation_Exp[Worker Type],$D13),SUMIFS(Inhalation_Exp[LADD_Central Tendency],Inhalation_Exp[OES],$C13,Inhalation_Exp[Worker Type],$D13))</f>
        <v>7.2747033466908986E-2</v>
      </c>
      <c r="K13" s="275">
        <f>IF($E13="High-End",SUMIFS(Dermal_Exp[High-End AD (mg/kg-day)],Dermal_Exp[Worker Type],$D13,Dermal_Exp[OES],$C13),SUMIFS(Dermal_Exp[Central Tendency AD (mg/kg-day)],Dermal_Exp[Worker Type],$D13,Dermal_Exp[OES],$C13))</f>
        <v>1.0945524861878452E-2</v>
      </c>
      <c r="L13" s="275">
        <f>IF($E13="High-End",SUMIFS(Dermal_Exp[High-End IADD (mg/kg-day)],Dermal_Exp[Worker Type],$D13,Dermal_Exp[OES],$C13),SUMIFS(Dermal_Exp[Central Tendency IADD (mg/kg-day)],Dermal_Exp[Worker Type],$D13,Dermal_Exp[OES],$C13))</f>
        <v>8.0267182320441985E-3</v>
      </c>
      <c r="M13" s="275">
        <f>IF($E13="High-End",SUMIFS(Dermal_Exp[High-End ADD (mg/kg-day)],Dermal_Exp[Worker Type],$D13,Dermal_Exp[OES],$C13),SUMIFS(Dermal_Exp[Central Tendency ADD (mg/kg-day)],Dermal_Exp[Worker Type],$D13,Dermal_Exp[OES],$C13))</f>
        <v>7.4969348369030497E-3</v>
      </c>
      <c r="N13" s="275">
        <f>IF($E13="High-End",SUMIFS(Dermal_Exp[High-End LADD (mg/kg-day)],Dermal_Exp[Worker Type],$D13,Dermal_Exp[OES],$C13),SUMIFS(Dermal_Exp[Central Tendency LADD (mg/kg-day)],Dermal_Exp[Worker Type],$D13,Dermal_Exp[OES],$C13))</f>
        <v>3.8445819676425894E-3</v>
      </c>
      <c r="O13" s="275">
        <f t="shared" si="5"/>
        <v>0.21805632914216835</v>
      </c>
      <c r="P13" s="275">
        <f t="shared" si="2"/>
        <v>0.15990797470425683</v>
      </c>
      <c r="Q13" s="275">
        <f t="shared" si="3"/>
        <v>0.14935365009737558</v>
      </c>
      <c r="R13" s="295">
        <f t="shared" si="4"/>
        <v>7.6591615434551577E-2</v>
      </c>
      <c r="AF13" s="12"/>
      <c r="AG13" s="12"/>
      <c r="AH13" s="12"/>
      <c r="AI13" s="12"/>
      <c r="AJ13" s="12"/>
      <c r="AK13" s="12"/>
      <c r="AL13" s="12"/>
    </row>
    <row r="14" spans="3:38" x14ac:dyDescent="0.35">
      <c r="C14" s="392" t="str" cm="1">
        <f t="array" ref="C14">INDEX('List Values'!$B$2:$B$20,(1+ROUNDDOWN((ROW()-ROW($C$5))*1/6,2)))</f>
        <v>Import and Repackaging (Solid)</v>
      </c>
      <c r="D14" s="307" t="s">
        <v>74</v>
      </c>
      <c r="E14" s="374" t="s">
        <v>93</v>
      </c>
      <c r="F14" s="393" t="s">
        <v>218</v>
      </c>
      <c r="G14" s="395">
        <f>IF(E14="High-End",SUMIFS(Inhalation_Exp[24hr_High-End],Inhalation_Exp[OES],$C14,Inhalation_Exp[Worker Type],$D14),SUMIFS(Inhalation_Exp[24hr_Central Tendency],Inhalation_Exp[OES],$C14,Inhalation_Exp[Worker Type],$D14))</f>
        <v>9.1128753883327578E-3</v>
      </c>
      <c r="H14" s="205">
        <f>IF(E14="High-End",SUMIFS(Inhalation_Exp[Int_High-End],Inhalation_Exp[OES],$C14,Inhalation_Exp[Worker Type],$D14),SUMIFS(Inhalation_Exp[Int_Central Tendency],Inhalation_Exp[OES],$C14,Inhalation_Exp[Worker Type],$D14))</f>
        <v>6.6827752847773555E-3</v>
      </c>
      <c r="I14" s="205">
        <f>IF(E14="High-End",SUMIFS(Inhalation_Exp[ADD_High-End],Inhalation_Exp[OES],$C14,Inhalation_Exp[Worker Type],$D14),SUMIFS(Inhalation_Exp[ADD_Central Tendency],Inhalation_Exp[OES],$C14,Inhalation_Exp[Worker Type],$D14))</f>
        <v>5.19309063225538E-3</v>
      </c>
      <c r="J14" s="205">
        <f>IF(E14="High-End",SUMIFS(Inhalation_Exp[LADD_High-End],Inhalation_Exp[OES],$C14,Inhalation_Exp[Worker Type],$D14),SUMIFS(Inhalation_Exp[LADD_Central Tendency],Inhalation_Exp[OES],$C14,Inhalation_Exp[Worker Type],$D14))</f>
        <v>2.0639206358963689E-3</v>
      </c>
      <c r="K14" s="275">
        <f>IF($E14="High-End",SUMIFS(Dermal_Exp[High-End AD (mg/kg-day)],Dermal_Exp[Worker Type],$D14,Dermal_Exp[OES],$C14),SUMIFS(Dermal_Exp[Central Tendency AD (mg/kg-day)],Dermal_Exp[Worker Type],$D14,Dermal_Exp[OES],$C14))</f>
        <v>5.4727624309392261E-3</v>
      </c>
      <c r="L14" s="275">
        <f>IF($E14="High-End",SUMIFS(Dermal_Exp[High-End IADD (mg/kg-day)],Dermal_Exp[Worker Type],$D14,Dermal_Exp[OES],$C14),SUMIFS(Dermal_Exp[Central Tendency IADD (mg/kg-day)],Dermal_Exp[Worker Type],$D14,Dermal_Exp[OES],$C14))</f>
        <v>4.0133591160220992E-3</v>
      </c>
      <c r="M14" s="275">
        <f>IF($E14="High-End",SUMIFS(Dermal_Exp[High-End ADD (mg/kg-day)],Dermal_Exp[Worker Type],$D14,Dermal_Exp[OES],$C14),SUMIFS(Dermal_Exp[Central Tendency ADD (mg/kg-day)],Dermal_Exp[Worker Type],$D14,Dermal_Exp[OES],$C14))</f>
        <v>3.1187248921516687E-3</v>
      </c>
      <c r="N14" s="275">
        <f>IF($E14="High-End",SUMIFS(Dermal_Exp[High-End LADD (mg/kg-day)],Dermal_Exp[Worker Type],$D14,Dermal_Exp[OES],$C14),SUMIFS(Dermal_Exp[Central Tendency LADD (mg/kg-day)],Dermal_Exp[Worker Type],$D14,Dermal_Exp[OES],$C14))</f>
        <v>1.239493226367971E-3</v>
      </c>
      <c r="O14" s="275">
        <f t="shared" si="5"/>
        <v>1.4585637819271984E-2</v>
      </c>
      <c r="P14" s="275">
        <f t="shared" si="2"/>
        <v>1.0696134400799456E-2</v>
      </c>
      <c r="Q14" s="275">
        <f t="shared" si="3"/>
        <v>8.3118155244070492E-3</v>
      </c>
      <c r="R14" s="295">
        <f t="shared" si="4"/>
        <v>3.3034138622643396E-3</v>
      </c>
      <c r="AF14" s="12"/>
      <c r="AG14" s="12"/>
      <c r="AH14" s="12"/>
      <c r="AI14" s="12"/>
      <c r="AJ14" s="12"/>
      <c r="AK14" s="12"/>
      <c r="AL14" s="12"/>
    </row>
    <row r="15" spans="3:38" x14ac:dyDescent="0.35">
      <c r="C15" s="392" t="str" cm="1">
        <f t="array" ref="C15">INDEX('List Values'!$B$2:$B$20,(1+ROUNDDOWN((ROW()-ROW($C$5))*1/6,2)))</f>
        <v>Import and Repackaging (Solid)</v>
      </c>
      <c r="D15" s="307" t="s">
        <v>94</v>
      </c>
      <c r="E15" s="374" t="s">
        <v>92</v>
      </c>
      <c r="F15" s="393" t="s">
        <v>218</v>
      </c>
      <c r="G15" s="395">
        <f>IF(E15="High-End",SUMIFS(Inhalation_Exp[24hr_High-End],Inhalation_Exp[OES],$C15,Inhalation_Exp[Worker Type],$D15),SUMIFS(Inhalation_Exp[24hr_Central Tendency],Inhalation_Exp[OES],$C15,Inhalation_Exp[Worker Type],$D15))</f>
        <v>8.2500000000000004E-3</v>
      </c>
      <c r="H15" s="205">
        <f>IF(E15="High-End",SUMIFS(Inhalation_Exp[Int_High-End],Inhalation_Exp[OES],$C15,Inhalation_Exp[Worker Type],$D15),SUMIFS(Inhalation_Exp[Int_Central Tendency],Inhalation_Exp[OES],$C15,Inhalation_Exp[Worker Type],$D15))</f>
        <v>6.0499999999999998E-3</v>
      </c>
      <c r="I15" s="205">
        <f>IF(E15="High-End",SUMIFS(Inhalation_Exp[ADD_High-End],Inhalation_Exp[OES],$C15,Inhalation_Exp[Worker Type],$D15),SUMIFS(Inhalation_Exp[ADD_Central Tendency],Inhalation_Exp[OES],$C15,Inhalation_Exp[Worker Type],$D15))</f>
        <v>5.6506849315068495E-3</v>
      </c>
      <c r="J15" s="205">
        <f>IF(E15="High-End",SUMIFS(Inhalation_Exp[LADD_High-End],Inhalation_Exp[OES],$C15,Inhalation_Exp[Worker Type],$D15),SUMIFS(Inhalation_Exp[LADD_Central Tendency],Inhalation_Exp[OES],$C15,Inhalation_Exp[Worker Type],$D15))</f>
        <v>2.897787144362487E-3</v>
      </c>
      <c r="K15" s="275">
        <f>IF($E15="High-End",SUMIFS(Dermal_Exp[High-End AD (mg/kg-day)],Dermal_Exp[Worker Type],$D15,Dermal_Exp[OES],$C15),SUMIFS(Dermal_Exp[Central Tendency AD (mg/kg-day)],Dermal_Exp[Worker Type],$D15,Dermal_Exp[OES],$C15))</f>
        <v>2.9828399999999996E-3</v>
      </c>
      <c r="L15" s="275">
        <f>IF($E15="High-End",SUMIFS(Dermal_Exp[High-End IADD (mg/kg-day)],Dermal_Exp[Worker Type],$D15,Dermal_Exp[OES],$C15),SUMIFS(Dermal_Exp[Central Tendency IADD (mg/kg-day)],Dermal_Exp[Worker Type],$D15,Dermal_Exp[OES],$C15))</f>
        <v>2.1874159999999998E-3</v>
      </c>
      <c r="M15" s="275">
        <f>IF($E15="High-End",SUMIFS(Dermal_Exp[High-End ADD (mg/kg-day)],Dermal_Exp[Worker Type],$D15,Dermal_Exp[OES],$C15),SUMIFS(Dermal_Exp[Central Tendency ADD (mg/kg-day)],Dermal_Exp[Worker Type],$D15,Dermal_Exp[OES],$C15))</f>
        <v>2.0430410958904104E-3</v>
      </c>
      <c r="N15" s="275">
        <f>IF($E15="High-End",SUMIFS(Dermal_Exp[High-End LADD (mg/kg-day)],Dermal_Exp[Worker Type],$D15,Dermal_Exp[OES],$C15),SUMIFS(Dermal_Exp[Central Tendency LADD (mg/kg-day)],Dermal_Exp[Worker Type],$D15,Dermal_Exp[OES],$C15))</f>
        <v>1.047713382507903E-3</v>
      </c>
      <c r="O15" s="275">
        <f t="shared" si="5"/>
        <v>1.1232840000000001E-2</v>
      </c>
      <c r="P15" s="275">
        <f t="shared" si="2"/>
        <v>8.2374159999999991E-3</v>
      </c>
      <c r="Q15" s="275">
        <f t="shared" si="3"/>
        <v>7.6937260273972595E-3</v>
      </c>
      <c r="R15" s="295">
        <f t="shared" si="4"/>
        <v>3.9455005268703904E-3</v>
      </c>
      <c r="AF15" s="12"/>
      <c r="AG15" s="12"/>
      <c r="AH15" s="12"/>
      <c r="AI15" s="12"/>
      <c r="AJ15" s="12"/>
      <c r="AK15" s="12"/>
      <c r="AL15" s="12"/>
    </row>
    <row r="16" spans="3:38" x14ac:dyDescent="0.35">
      <c r="C16" s="392" t="str" cm="1">
        <f t="array" ref="C16">INDEX('List Values'!$B$2:$B$20,(1+ROUNDDOWN((ROW()-ROW($C$5))*1/6,2)))</f>
        <v>Import and Repackaging (Solid)</v>
      </c>
      <c r="D16" s="307" t="s">
        <v>94</v>
      </c>
      <c r="E16" s="374" t="s">
        <v>93</v>
      </c>
      <c r="F16" s="393" t="s">
        <v>218</v>
      </c>
      <c r="G16" s="395">
        <f>IF(E16="High-End",SUMIFS(Inhalation_Exp[24hr_High-End],Inhalation_Exp[OES],$C16,Inhalation_Exp[Worker Type],$D16),SUMIFS(Inhalation_Exp[24hr_Central Tendency],Inhalation_Exp[OES],$C16,Inhalation_Exp[Worker Type],$D16))</f>
        <v>8.2500000000000004E-3</v>
      </c>
      <c r="H16" s="205">
        <f>IF(E16="High-End",SUMIFS(Inhalation_Exp[Int_High-End],Inhalation_Exp[OES],$C16,Inhalation_Exp[Worker Type],$D16),SUMIFS(Inhalation_Exp[Int_Central Tendency],Inhalation_Exp[OES],$C16,Inhalation_Exp[Worker Type],$D16))</f>
        <v>6.0499999999999998E-3</v>
      </c>
      <c r="I16" s="205">
        <f>IF(E16="High-End",SUMIFS(Inhalation_Exp[ADD_High-End],Inhalation_Exp[OES],$C16,Inhalation_Exp[Worker Type],$D16),SUMIFS(Inhalation_Exp[ADD_Central Tendency],Inhalation_Exp[OES],$C16,Inhalation_Exp[Worker Type],$D16))</f>
        <v>4.7013698630136991E-3</v>
      </c>
      <c r="J16" s="205">
        <f>IF(E16="High-End",SUMIFS(Inhalation_Exp[LADD_High-End],Inhalation_Exp[OES],$C16,Inhalation_Exp[Worker Type],$D16),SUMIFS(Inhalation_Exp[LADD_Central Tendency],Inhalation_Exp[OES],$C16,Inhalation_Exp[Worker Type],$D16))</f>
        <v>1.8684931506849317E-3</v>
      </c>
      <c r="K16" s="275">
        <f>IF($E16="High-End",SUMIFS(Dermal_Exp[High-End AD (mg/kg-day)],Dermal_Exp[Worker Type],$D16,Dermal_Exp[OES],$C16),SUMIFS(Dermal_Exp[Central Tendency AD (mg/kg-day)],Dermal_Exp[Worker Type],$D16,Dermal_Exp[OES],$C16))</f>
        <v>2.9828399999999996E-3</v>
      </c>
      <c r="L16" s="275">
        <f>IF($E16="High-End",SUMIFS(Dermal_Exp[High-End IADD (mg/kg-day)],Dermal_Exp[Worker Type],$D16,Dermal_Exp[OES],$C16),SUMIFS(Dermal_Exp[Central Tendency IADD (mg/kg-day)],Dermal_Exp[Worker Type],$D16,Dermal_Exp[OES],$C16))</f>
        <v>2.1874159999999998E-3</v>
      </c>
      <c r="M16" s="275">
        <f>IF($E16="High-End",SUMIFS(Dermal_Exp[High-End ADD (mg/kg-day)],Dermal_Exp[Worker Type],$D16,Dermal_Exp[OES],$C16),SUMIFS(Dermal_Exp[Central Tendency ADD (mg/kg-day)],Dermal_Exp[Worker Type],$D16,Dermal_Exp[OES],$C16))</f>
        <v>1.6998101917808214E-3</v>
      </c>
      <c r="N16" s="275">
        <f>IF($E16="High-End",SUMIFS(Dermal_Exp[High-End LADD (mg/kg-day)],Dermal_Exp[Worker Type],$D16,Dermal_Exp[OES],$C16),SUMIFS(Dermal_Exp[Central Tendency LADD (mg/kg-day)],Dermal_Exp[Worker Type],$D16,Dermal_Exp[OES],$C16))</f>
        <v>6.7556558904109567E-4</v>
      </c>
      <c r="O16" s="275">
        <f t="shared" si="5"/>
        <v>1.1232840000000001E-2</v>
      </c>
      <c r="P16" s="275">
        <f t="shared" si="2"/>
        <v>8.2374159999999991E-3</v>
      </c>
      <c r="Q16" s="275">
        <f t="shared" si="3"/>
        <v>6.4011800547945207E-3</v>
      </c>
      <c r="R16" s="295">
        <f t="shared" si="4"/>
        <v>2.5440587397260275E-3</v>
      </c>
      <c r="AF16" s="12"/>
      <c r="AG16" s="12"/>
      <c r="AH16" s="12"/>
      <c r="AI16" s="12"/>
      <c r="AJ16" s="12"/>
      <c r="AK16" s="12"/>
      <c r="AL16" s="12"/>
    </row>
    <row r="17" spans="3:38" x14ac:dyDescent="0.35">
      <c r="C17" s="392" t="str" cm="1">
        <f t="array" ref="C17">INDEX('List Values'!$B$2:$B$20,(1+ROUNDDOWN((ROW()-ROW($C$5))*1/6,2)))</f>
        <v>Import and Repackaging (Liquid)</v>
      </c>
      <c r="D17" s="307" t="s">
        <v>214</v>
      </c>
      <c r="E17" s="374" t="s">
        <v>92</v>
      </c>
      <c r="F17" s="393" t="s">
        <v>218</v>
      </c>
      <c r="G17" s="395">
        <f>IF(E17="High-End",SUMIFS(Inhalation_Exp[24hr_High-End],Inhalation_Exp[OES],$C17,Inhalation_Exp[Worker Type],$D17),SUMIFS(Inhalation_Exp[24hr_Central Tendency],Inhalation_Exp[OES],$C17,Inhalation_Exp[Worker Type],$D17))</f>
        <v>5.7187500000000002E-2</v>
      </c>
      <c r="H17" s="205">
        <f>IF(E17="High-End",SUMIFS(Inhalation_Exp[Int_High-End],Inhalation_Exp[OES],$C17,Inhalation_Exp[Worker Type],$D17),SUMIFS(Inhalation_Exp[Int_Central Tendency],Inhalation_Exp[OES],$C17,Inhalation_Exp[Worker Type],$D17))</f>
        <v>4.1937500000000003E-2</v>
      </c>
      <c r="I17" s="205">
        <f>IF(E17="High-End",SUMIFS(Inhalation_Exp[ADD_High-End],Inhalation_Exp[OES],$C17,Inhalation_Exp[Worker Type],$D17),SUMIFS(Inhalation_Exp[ADD_Central Tendency],Inhalation_Exp[OES],$C17,Inhalation_Exp[Worker Type],$D17))</f>
        <v>3.9169520547945202E-2</v>
      </c>
      <c r="J17" s="205">
        <f>IF(E17="High-End",SUMIFS(Inhalation_Exp[LADD_High-End],Inhalation_Exp[OES],$C17,Inhalation_Exp[Worker Type],$D17),SUMIFS(Inhalation_Exp[LADD_Central Tendency],Inhalation_Exp[OES],$C17,Inhalation_Exp[Worker Type],$D17))</f>
        <v>2.0086933614330876E-2</v>
      </c>
      <c r="K17" s="275">
        <f>IF($E17="High-End",SUMIFS(Dermal_Exp[High-End AD (mg/kg-day)],Dermal_Exp[Worker Type],$D17,Dermal_Exp[OES],$C17),SUMIFS(Dermal_Exp[Central Tendency AD (mg/kg-day)],Dermal_Exp[Worker Type],$D17,Dermal_Exp[OES],$C17))</f>
        <v>6.6339999999999996E-2</v>
      </c>
      <c r="L17" s="275">
        <f>IF($E17="High-End",SUMIFS(Dermal_Exp[High-End IADD (mg/kg-day)],Dermal_Exp[Worker Type],$D17,Dermal_Exp[OES],$C17),SUMIFS(Dermal_Exp[Central Tendency IADD (mg/kg-day)],Dermal_Exp[Worker Type],$D17,Dermal_Exp[OES],$C17))</f>
        <v>4.8649333333333329E-2</v>
      </c>
      <c r="M17" s="275">
        <f>IF($E17="High-End",SUMIFS(Dermal_Exp[High-End ADD (mg/kg-day)],Dermal_Exp[Worker Type],$D17,Dermal_Exp[OES],$C17),SUMIFS(Dermal_Exp[Central Tendency ADD (mg/kg-day)],Dermal_Exp[Worker Type],$D17,Dermal_Exp[OES],$C17))</f>
        <v>4.5438356164383555E-2</v>
      </c>
      <c r="N17" s="275">
        <f>IF($E17="High-End",SUMIFS(Dermal_Exp[High-End LADD (mg/kg-day)],Dermal_Exp[Worker Type],$D17,Dermal_Exp[OES],$C17),SUMIFS(Dermal_Exp[Central Tendency LADD (mg/kg-day)],Dermal_Exp[Worker Type],$D17,Dermal_Exp[OES],$C17))</f>
        <v>2.3301721109940284E-2</v>
      </c>
      <c r="O17" s="275">
        <f t="shared" si="5"/>
        <v>0.1235275</v>
      </c>
      <c r="P17" s="275">
        <f t="shared" si="2"/>
        <v>9.0586833333333339E-2</v>
      </c>
      <c r="Q17" s="275">
        <f t="shared" si="3"/>
        <v>8.460787671232875E-2</v>
      </c>
      <c r="R17" s="295">
        <f t="shared" si="4"/>
        <v>4.3388654724271156E-2</v>
      </c>
      <c r="AF17" s="12"/>
      <c r="AG17" s="12"/>
      <c r="AH17" s="12"/>
      <c r="AI17" s="12"/>
      <c r="AJ17" s="12"/>
      <c r="AK17" s="12"/>
      <c r="AL17" s="12"/>
    </row>
    <row r="18" spans="3:38" x14ac:dyDescent="0.35">
      <c r="C18" s="392" t="str" cm="1">
        <f t="array" ref="C18">INDEX('List Values'!$B$2:$B$20,(1+ROUNDDOWN((ROW()-ROW($C$5))*1/6,2)))</f>
        <v>Import and Repackaging (Liquid)</v>
      </c>
      <c r="D18" s="307" t="s">
        <v>214</v>
      </c>
      <c r="E18" s="374" t="s">
        <v>93</v>
      </c>
      <c r="F18" s="393" t="s">
        <v>218</v>
      </c>
      <c r="G18" s="395">
        <f>IF(E18="High-End",SUMIFS(Inhalation_Exp[24hr_High-End],Inhalation_Exp[OES],$C18,Inhalation_Exp[Worker Type],$D18),SUMIFS(Inhalation_Exp[24hr_Central Tendency],Inhalation_Exp[OES],$C18,Inhalation_Exp[Worker Type],$D18))</f>
        <v>1.2500000000000001E-2</v>
      </c>
      <c r="H18" s="205">
        <f>IF(E18="High-End",SUMIFS(Inhalation_Exp[Int_High-End],Inhalation_Exp[OES],$C18,Inhalation_Exp[Worker Type],$D18),SUMIFS(Inhalation_Exp[Int_Central Tendency],Inhalation_Exp[OES],$C18,Inhalation_Exp[Worker Type],$D18))</f>
        <v>9.1666666666666667E-3</v>
      </c>
      <c r="I18" s="205">
        <f>IF(E18="High-End",SUMIFS(Inhalation_Exp[ADD_High-End],Inhalation_Exp[OES],$C18,Inhalation_Exp[Worker Type],$D18),SUMIFS(Inhalation_Exp[ADD_Central Tendency],Inhalation_Exp[OES],$C18,Inhalation_Exp[Worker Type],$D18))</f>
        <v>7.1232876712328773E-3</v>
      </c>
      <c r="J18" s="205">
        <f>IF(E18="High-End",SUMIFS(Inhalation_Exp[LADD_High-End],Inhalation_Exp[OES],$C18,Inhalation_Exp[Worker Type],$D18),SUMIFS(Inhalation_Exp[LADD_Central Tendency],Inhalation_Exp[OES],$C18,Inhalation_Exp[Worker Type],$D18))</f>
        <v>2.8310502283105028E-3</v>
      </c>
      <c r="K18" s="275">
        <f>IF($E18="High-End",SUMIFS(Dermal_Exp[High-End AD (mg/kg-day)],Dermal_Exp[Worker Type],$D18,Dermal_Exp[OES],$C18),SUMIFS(Dermal_Exp[Central Tendency AD (mg/kg-day)],Dermal_Exp[Worker Type],$D18,Dermal_Exp[OES],$C18))</f>
        <v>3.3169999999999998E-2</v>
      </c>
      <c r="L18" s="275">
        <f>IF($E18="High-End",SUMIFS(Dermal_Exp[High-End IADD (mg/kg-day)],Dermal_Exp[Worker Type],$D18,Dermal_Exp[OES],$C18),SUMIFS(Dermal_Exp[Central Tendency IADD (mg/kg-day)],Dermal_Exp[Worker Type],$D18,Dermal_Exp[OES],$C18))</f>
        <v>2.4324666666666665E-2</v>
      </c>
      <c r="M18" s="275">
        <f>IF($E18="High-End",SUMIFS(Dermal_Exp[High-End ADD (mg/kg-day)],Dermal_Exp[Worker Type],$D18,Dermal_Exp[OES],$C18),SUMIFS(Dermal_Exp[Central Tendency ADD (mg/kg-day)],Dermal_Exp[Worker Type],$D18,Dermal_Exp[OES],$C18))</f>
        <v>1.8902356164383561E-2</v>
      </c>
      <c r="N18" s="275">
        <f>IF($E18="High-End",SUMIFS(Dermal_Exp[High-End LADD (mg/kg-day)],Dermal_Exp[Worker Type],$D18,Dermal_Exp[OES],$C18),SUMIFS(Dermal_Exp[Central Tendency LADD (mg/kg-day)],Dermal_Exp[Worker Type],$D18,Dermal_Exp[OES],$C18))</f>
        <v>7.5124748858447481E-3</v>
      </c>
      <c r="O18" s="275">
        <f t="shared" si="5"/>
        <v>4.5670000000000002E-2</v>
      </c>
      <c r="P18" s="275">
        <f t="shared" si="2"/>
        <v>3.3491333333333331E-2</v>
      </c>
      <c r="Q18" s="275">
        <f t="shared" si="3"/>
        <v>2.6025643835616438E-2</v>
      </c>
      <c r="R18" s="295">
        <f t="shared" si="4"/>
        <v>1.034352511415525E-2</v>
      </c>
      <c r="AF18" s="12"/>
      <c r="AG18" s="12"/>
      <c r="AH18" s="12"/>
      <c r="AI18" s="12"/>
      <c r="AJ18" s="12"/>
      <c r="AK18" s="12"/>
      <c r="AL18" s="12"/>
    </row>
    <row r="19" spans="3:38" x14ac:dyDescent="0.35">
      <c r="C19" s="392" t="str" cm="1">
        <f t="array" ref="C19">INDEX('List Values'!$B$2:$B$20,(1+ROUNDDOWN((ROW()-ROW($C$5))*1/6,2)))</f>
        <v>Import and Repackaging (Liquid)</v>
      </c>
      <c r="D19" s="307" t="s">
        <v>74</v>
      </c>
      <c r="E19" s="374" t="s">
        <v>92</v>
      </c>
      <c r="F19" s="393" t="s">
        <v>218</v>
      </c>
      <c r="G19" s="395">
        <f>IF(E19="High-End",SUMIFS(Inhalation_Exp[24hr_High-End],Inhalation_Exp[OES],$C19,Inhalation_Exp[Worker Type],$D19),SUMIFS(Inhalation_Exp[24hr_Central Tendency],Inhalation_Exp[OES],$C19,Inhalation_Exp[Worker Type],$D19))</f>
        <v>6.3168795305488426E-2</v>
      </c>
      <c r="H19" s="205">
        <f>IF(E19="High-End",SUMIFS(Inhalation_Exp[Int_High-End],Inhalation_Exp[OES],$C19,Inhalation_Exp[Worker Type],$D19),SUMIFS(Inhalation_Exp[Int_Central Tendency],Inhalation_Exp[OES],$C19,Inhalation_Exp[Worker Type],$D19))</f>
        <v>4.6323783224024848E-2</v>
      </c>
      <c r="I19" s="205">
        <f>IF(E19="High-End",SUMIFS(Inhalation_Exp[ADD_High-End],Inhalation_Exp[OES],$C19,Inhalation_Exp[Worker Type],$D19),SUMIFS(Inhalation_Exp[ADD_Central Tendency],Inhalation_Exp[OES],$C19,Inhalation_Exp[Worker Type],$D19))</f>
        <v>4.3266298154444126E-2</v>
      </c>
      <c r="J19" s="205">
        <f>IF(E19="High-End",SUMIFS(Inhalation_Exp[LADD_High-End],Inhalation_Exp[OES],$C19,Inhalation_Exp[Worker Type],$D19),SUMIFS(Inhalation_Exp[LADD_Central Tendency],Inhalation_Exp[OES],$C19,Inhalation_Exp[Worker Type],$D19))</f>
        <v>2.2187845207407245E-2</v>
      </c>
      <c r="K19" s="275">
        <f>IF($E19="High-End",SUMIFS(Dermal_Exp[High-End AD (mg/kg-day)],Dermal_Exp[Worker Type],$D19,Dermal_Exp[OES],$C19),SUMIFS(Dermal_Exp[Central Tendency AD (mg/kg-day)],Dermal_Exp[Worker Type],$D19,Dermal_Exp[OES],$C19))</f>
        <v>6.0972375690607726E-2</v>
      </c>
      <c r="L19" s="275">
        <f>IF($E19="High-End",SUMIFS(Dermal_Exp[High-End IADD (mg/kg-day)],Dermal_Exp[Worker Type],$D19,Dermal_Exp[OES],$C19),SUMIFS(Dermal_Exp[Central Tendency IADD (mg/kg-day)],Dermal_Exp[Worker Type],$D19,Dermal_Exp[OES],$C19))</f>
        <v>4.4713075506445668E-2</v>
      </c>
      <c r="M19" s="275">
        <f>IF($E19="High-End",SUMIFS(Dermal_Exp[High-End ADD (mg/kg-day)],Dermal_Exp[Worker Type],$D19,Dermal_Exp[OES],$C19),SUMIFS(Dermal_Exp[Central Tendency ADD (mg/kg-day)],Dermal_Exp[Worker Type],$D19,Dermal_Exp[OES],$C19))</f>
        <v>4.1761901157950497E-2</v>
      </c>
      <c r="N19" s="275">
        <f>IF($E19="High-End",SUMIFS(Dermal_Exp[High-End LADD (mg/kg-day)],Dermal_Exp[Worker Type],$D19,Dermal_Exp[OES],$C19),SUMIFS(Dermal_Exp[Central Tendency LADD (mg/kg-day)],Dermal_Exp[Worker Type],$D19,Dermal_Exp[OES],$C19))</f>
        <v>2.1416359568179742E-2</v>
      </c>
      <c r="O19" s="275">
        <f t="shared" si="5"/>
        <v>0.12414117099609615</v>
      </c>
      <c r="P19" s="275">
        <f t="shared" si="2"/>
        <v>9.1036858730470516E-2</v>
      </c>
      <c r="Q19" s="275">
        <f t="shared" si="3"/>
        <v>8.5028199312394623E-2</v>
      </c>
      <c r="R19" s="295">
        <f t="shared" si="4"/>
        <v>4.3604204775586991E-2</v>
      </c>
      <c r="AF19" s="12"/>
      <c r="AG19" s="12"/>
      <c r="AH19" s="12"/>
      <c r="AI19" s="12"/>
      <c r="AJ19" s="12"/>
      <c r="AK19" s="12"/>
      <c r="AL19" s="12"/>
    </row>
    <row r="20" spans="3:38" x14ac:dyDescent="0.35">
      <c r="C20" s="392" t="str" cm="1">
        <f t="array" ref="C20">INDEX('List Values'!$B$2:$B$20,(1+ROUNDDOWN((ROW()-ROW($C$5))*1/6,2)))</f>
        <v>Import and Repackaging (Liquid)</v>
      </c>
      <c r="D20" s="307" t="s">
        <v>74</v>
      </c>
      <c r="E20" s="374" t="s">
        <v>93</v>
      </c>
      <c r="F20" s="393" t="s">
        <v>218</v>
      </c>
      <c r="G20" s="395">
        <f>IF(E20="High-End",SUMIFS(Inhalation_Exp[24hr_High-End],Inhalation_Exp[OES],$C20,Inhalation_Exp[Worker Type],$D20),SUMIFS(Inhalation_Exp[24hr_Central Tendency],Inhalation_Exp[OES],$C20,Inhalation_Exp[Worker Type],$D20))</f>
        <v>1.3807386952019328E-2</v>
      </c>
      <c r="H20" s="205">
        <f>IF(E20="High-End",SUMIFS(Inhalation_Exp[Int_High-End],Inhalation_Exp[OES],$C20,Inhalation_Exp[Worker Type],$D20),SUMIFS(Inhalation_Exp[Int_Central Tendency],Inhalation_Exp[OES],$C20,Inhalation_Exp[Worker Type],$D20))</f>
        <v>1.0125417098147507E-2</v>
      </c>
      <c r="I20" s="205">
        <f>IF(E20="High-End",SUMIFS(Inhalation_Exp[ADD_High-End],Inhalation_Exp[OES],$C20,Inhalation_Exp[Worker Type],$D20),SUMIFS(Inhalation_Exp[ADD_Central Tendency],Inhalation_Exp[OES],$C20,Inhalation_Exp[Worker Type],$D20))</f>
        <v>7.8683191397808765E-3</v>
      </c>
      <c r="J20" s="205">
        <f>IF(E20="High-End",SUMIFS(Inhalation_Exp[LADD_High-End],Inhalation_Exp[OES],$C20,Inhalation_Exp[Worker Type],$D20),SUMIFS(Inhalation_Exp[LADD_Central Tendency],Inhalation_Exp[OES],$C20,Inhalation_Exp[Worker Type],$D20))</f>
        <v>3.1271524786308613E-3</v>
      </c>
      <c r="K20" s="275">
        <f>IF($E20="High-End",SUMIFS(Dermal_Exp[High-End AD (mg/kg-day)],Dermal_Exp[Worker Type],$D20,Dermal_Exp[OES],$C20),SUMIFS(Dermal_Exp[Central Tendency AD (mg/kg-day)],Dermal_Exp[Worker Type],$D20,Dermal_Exp[OES],$C20))</f>
        <v>3.0486187845303863E-2</v>
      </c>
      <c r="L20" s="275">
        <f>IF($E20="High-End",SUMIFS(Dermal_Exp[High-End IADD (mg/kg-day)],Dermal_Exp[Worker Type],$D20,Dermal_Exp[OES],$C20),SUMIFS(Dermal_Exp[Central Tendency IADD (mg/kg-day)],Dermal_Exp[Worker Type],$D20,Dermal_Exp[OES],$C20))</f>
        <v>2.2356537753222834E-2</v>
      </c>
      <c r="M20" s="275">
        <f>IF($E20="High-End",SUMIFS(Dermal_Exp[High-End ADD (mg/kg-day)],Dermal_Exp[Worker Type],$D20,Dermal_Exp[OES],$C20),SUMIFS(Dermal_Exp[Central Tendency ADD (mg/kg-day)],Dermal_Exp[Worker Type],$D20,Dermal_Exp[OES],$C20))</f>
        <v>1.7372950881707407E-2</v>
      </c>
      <c r="N20" s="275">
        <f>IF($E20="High-End",SUMIFS(Dermal_Exp[High-End LADD (mg/kg-day)],Dermal_Exp[Worker Type],$D20,Dermal_Exp[OES],$C20),SUMIFS(Dermal_Exp[Central Tendency LADD (mg/kg-day)],Dermal_Exp[Worker Type],$D20,Dermal_Exp[OES],$C20))</f>
        <v>6.9046343247811497E-3</v>
      </c>
      <c r="O20" s="275">
        <f t="shared" si="5"/>
        <v>4.4293574797323189E-2</v>
      </c>
      <c r="P20" s="275">
        <f t="shared" si="2"/>
        <v>3.2481954851370343E-2</v>
      </c>
      <c r="Q20" s="275">
        <f t="shared" si="3"/>
        <v>2.5241270021488283E-2</v>
      </c>
      <c r="R20" s="295">
        <f t="shared" si="4"/>
        <v>1.0031786803412011E-2</v>
      </c>
      <c r="AF20" s="12"/>
      <c r="AG20" s="12"/>
      <c r="AH20" s="12"/>
      <c r="AI20" s="12"/>
      <c r="AJ20" s="12"/>
      <c r="AK20" s="12"/>
      <c r="AL20" s="12"/>
    </row>
    <row r="21" spans="3:38" x14ac:dyDescent="0.35">
      <c r="C21" s="392" t="str" cm="1">
        <f t="array" ref="C21">INDEX('List Values'!$B$2:$B$20,(1+ROUNDDOWN((ROW()-ROW($C$5))*1/6,2)))</f>
        <v>Import and Repackaging (Liquid)</v>
      </c>
      <c r="D21" s="307" t="s">
        <v>94</v>
      </c>
      <c r="E21" s="374" t="s">
        <v>92</v>
      </c>
      <c r="F21" s="393" t="s">
        <v>218</v>
      </c>
      <c r="G21" s="395">
        <f>IF(E21="High-End",SUMIFS(Inhalation_Exp[24hr_High-End],Inhalation_Exp[OES],$C21,Inhalation_Exp[Worker Type],$D21),SUMIFS(Inhalation_Exp[24hr_Central Tendency],Inhalation_Exp[OES],$C21,Inhalation_Exp[Worker Type],$D21))</f>
        <v>1.2500000000000001E-2</v>
      </c>
      <c r="H21" s="205">
        <f>IF(E21="High-End",SUMIFS(Inhalation_Exp[Int_High-End],Inhalation_Exp[OES],$C21,Inhalation_Exp[Worker Type],$D21),SUMIFS(Inhalation_Exp[Int_Central Tendency],Inhalation_Exp[OES],$C21,Inhalation_Exp[Worker Type],$D21))</f>
        <v>9.1666666666666667E-3</v>
      </c>
      <c r="I21" s="205">
        <f>IF(E21="High-End",SUMIFS(Inhalation_Exp[ADD_High-End],Inhalation_Exp[OES],$C21,Inhalation_Exp[Worker Type],$D21),SUMIFS(Inhalation_Exp[ADD_Central Tendency],Inhalation_Exp[OES],$C21,Inhalation_Exp[Worker Type],$D21))</f>
        <v>8.5616438356164379E-3</v>
      </c>
      <c r="J21" s="205">
        <f>IF(E21="High-End",SUMIFS(Inhalation_Exp[LADD_High-End],Inhalation_Exp[OES],$C21,Inhalation_Exp[Worker Type],$D21),SUMIFS(Inhalation_Exp[LADD_Central Tendency],Inhalation_Exp[OES],$C21,Inhalation_Exp[Worker Type],$D21))</f>
        <v>4.3905865823674044E-3</v>
      </c>
      <c r="K21" s="275">
        <f>IF($E21="High-End",SUMIFS(Dermal_Exp[High-End AD (mg/kg-day)],Dermal_Exp[Worker Type],$D21,Dermal_Exp[OES],$C21),SUMIFS(Dermal_Exp[Central Tendency AD (mg/kg-day)],Dermal_Exp[Worker Type],$D21,Dermal_Exp[OES],$C21))</f>
        <v>0</v>
      </c>
      <c r="L21" s="275">
        <f>IF($E21="High-End",SUMIFS(Dermal_Exp[High-End IADD (mg/kg-day)],Dermal_Exp[Worker Type],$D21,Dermal_Exp[OES],$C21),SUMIFS(Dermal_Exp[Central Tendency IADD (mg/kg-day)],Dermal_Exp[Worker Type],$D21,Dermal_Exp[OES],$C21))</f>
        <v>0</v>
      </c>
      <c r="M21" s="275">
        <f>IF($E21="High-End",SUMIFS(Dermal_Exp[High-End ADD (mg/kg-day)],Dermal_Exp[Worker Type],$D21,Dermal_Exp[OES],$C21),SUMIFS(Dermal_Exp[Central Tendency ADD (mg/kg-day)],Dermal_Exp[Worker Type],$D21,Dermal_Exp[OES],$C21))</f>
        <v>0</v>
      </c>
      <c r="N21" s="275">
        <f>IF($E21="High-End",SUMIFS(Dermal_Exp[High-End LADD (mg/kg-day)],Dermal_Exp[Worker Type],$D21,Dermal_Exp[OES],$C21),SUMIFS(Dermal_Exp[Central Tendency LADD (mg/kg-day)],Dermal_Exp[Worker Type],$D21,Dermal_Exp[OES],$C21))</f>
        <v>0</v>
      </c>
      <c r="O21" s="275">
        <f t="shared" si="5"/>
        <v>1.2500000000000001E-2</v>
      </c>
      <c r="P21" s="275">
        <f t="shared" si="2"/>
        <v>9.1666666666666667E-3</v>
      </c>
      <c r="Q21" s="275">
        <f t="shared" si="3"/>
        <v>8.5616438356164379E-3</v>
      </c>
      <c r="R21" s="295">
        <f t="shared" si="4"/>
        <v>4.3905865823674044E-3</v>
      </c>
      <c r="AF21" s="12"/>
      <c r="AG21" s="12"/>
      <c r="AH21" s="12"/>
      <c r="AI21" s="12"/>
      <c r="AJ21" s="12"/>
      <c r="AK21" s="12"/>
      <c r="AL21" s="12"/>
    </row>
    <row r="22" spans="3:38" x14ac:dyDescent="0.35">
      <c r="C22" s="392" t="str" cm="1">
        <f t="array" ref="C22">INDEX('List Values'!$B$2:$B$20,(1+ROUNDDOWN((ROW()-ROW($C$5))*1/6,2)))</f>
        <v>Import and Repackaging (Liquid)</v>
      </c>
      <c r="D22" s="307" t="s">
        <v>94</v>
      </c>
      <c r="E22" s="374" t="s">
        <v>93</v>
      </c>
      <c r="F22" s="393" t="s">
        <v>218</v>
      </c>
      <c r="G22" s="395">
        <f>IF(E22="High-End",SUMIFS(Inhalation_Exp[24hr_High-End],Inhalation_Exp[OES],$C22,Inhalation_Exp[Worker Type],$D22),SUMIFS(Inhalation_Exp[24hr_Central Tendency],Inhalation_Exp[OES],$C22,Inhalation_Exp[Worker Type],$D22))</f>
        <v>1.2500000000000001E-2</v>
      </c>
      <c r="H22" s="205">
        <f>IF(E22="High-End",SUMIFS(Inhalation_Exp[Int_High-End],Inhalation_Exp[OES],$C22,Inhalation_Exp[Worker Type],$D22),SUMIFS(Inhalation_Exp[Int_Central Tendency],Inhalation_Exp[OES],$C22,Inhalation_Exp[Worker Type],$D22))</f>
        <v>9.1666666666666667E-3</v>
      </c>
      <c r="I22" s="205">
        <f>IF(E22="High-End",SUMIFS(Inhalation_Exp[ADD_High-End],Inhalation_Exp[OES],$C22,Inhalation_Exp[Worker Type],$D22),SUMIFS(Inhalation_Exp[ADD_Central Tendency],Inhalation_Exp[OES],$C22,Inhalation_Exp[Worker Type],$D22))</f>
        <v>7.1232876712328773E-3</v>
      </c>
      <c r="J22" s="205">
        <f>IF(E22="High-End",SUMIFS(Inhalation_Exp[LADD_High-End],Inhalation_Exp[OES],$C22,Inhalation_Exp[Worker Type],$D22),SUMIFS(Inhalation_Exp[LADD_Central Tendency],Inhalation_Exp[OES],$C22,Inhalation_Exp[Worker Type],$D22))</f>
        <v>2.8310502283105028E-3</v>
      </c>
      <c r="K22" s="275">
        <f>IF($E22="High-End",SUMIFS(Dermal_Exp[High-End AD (mg/kg-day)],Dermal_Exp[Worker Type],$D22,Dermal_Exp[OES],$C22),SUMIFS(Dermal_Exp[Central Tendency AD (mg/kg-day)],Dermal_Exp[Worker Type],$D22,Dermal_Exp[OES],$C22))</f>
        <v>0</v>
      </c>
      <c r="L22" s="275">
        <f>IF($E22="High-End",SUMIFS(Dermal_Exp[High-End IADD (mg/kg-day)],Dermal_Exp[Worker Type],$D22,Dermal_Exp[OES],$C22),SUMIFS(Dermal_Exp[Central Tendency IADD (mg/kg-day)],Dermal_Exp[Worker Type],$D22,Dermal_Exp[OES],$C22))</f>
        <v>0</v>
      </c>
      <c r="M22" s="275">
        <f>IF($E22="High-End",SUMIFS(Dermal_Exp[High-End ADD (mg/kg-day)],Dermal_Exp[Worker Type],$D22,Dermal_Exp[OES],$C22),SUMIFS(Dermal_Exp[Central Tendency ADD (mg/kg-day)],Dermal_Exp[Worker Type],$D22,Dermal_Exp[OES],$C22))</f>
        <v>0</v>
      </c>
      <c r="N22" s="275">
        <f>IF($E22="High-End",SUMIFS(Dermal_Exp[High-End LADD (mg/kg-day)],Dermal_Exp[Worker Type],$D22,Dermal_Exp[OES],$C22),SUMIFS(Dermal_Exp[Central Tendency LADD (mg/kg-day)],Dermal_Exp[Worker Type],$D22,Dermal_Exp[OES],$C22))</f>
        <v>0</v>
      </c>
      <c r="O22" s="275">
        <f t="shared" si="5"/>
        <v>1.2500000000000001E-2</v>
      </c>
      <c r="P22" s="275">
        <f t="shared" si="2"/>
        <v>9.1666666666666667E-3</v>
      </c>
      <c r="Q22" s="275">
        <f t="shared" si="3"/>
        <v>7.1232876712328773E-3</v>
      </c>
      <c r="R22" s="295">
        <f t="shared" si="4"/>
        <v>2.8310502283105028E-3</v>
      </c>
      <c r="AF22" s="12"/>
      <c r="AG22" s="12"/>
      <c r="AH22" s="12"/>
      <c r="AI22" s="12"/>
      <c r="AJ22" s="12"/>
      <c r="AK22" s="12"/>
      <c r="AL22" s="12"/>
    </row>
    <row r="23" spans="3:38" x14ac:dyDescent="0.35">
      <c r="C23" s="392" t="str" cm="1">
        <f t="array" ref="C23">INDEX('List Values'!$B$2:$B$20,(1+ROUNDDOWN((ROW()-ROW($C$5))*1/6,2)))</f>
        <v>Incorporation into Adhesives and Sealants (Solid)</v>
      </c>
      <c r="D23" s="307" t="s">
        <v>214</v>
      </c>
      <c r="E23" s="374" t="s">
        <v>92</v>
      </c>
      <c r="F23" s="393" t="s">
        <v>218</v>
      </c>
      <c r="G23" s="395">
        <f>IF(E23="High-End",SUMIFS(Inhalation_Exp[24hr_High-End],Inhalation_Exp[OES],$C23,Inhalation_Exp[Worker Type],$D23),SUMIFS(Inhalation_Exp[24hr_Central Tendency],Inhalation_Exp[OES],$C23,Inhalation_Exp[Worker Type],$D23))</f>
        <v>0.4375</v>
      </c>
      <c r="H23" s="205">
        <f>IF(E23="High-End",SUMIFS(Inhalation_Exp[Int_High-End],Inhalation_Exp[OES],$C23,Inhalation_Exp[Worker Type],$D23),SUMIFS(Inhalation_Exp[Int_Central Tendency],Inhalation_Exp[OES],$C23,Inhalation_Exp[Worker Type],$D23))</f>
        <v>0.32083333333333336</v>
      </c>
      <c r="I23" s="205">
        <f>IF(E23="High-End",SUMIFS(Inhalation_Exp[ADD_High-End],Inhalation_Exp[OES],$C23,Inhalation_Exp[Worker Type],$D23),SUMIFS(Inhalation_Exp[ADD_Central Tendency],Inhalation_Exp[OES],$C23,Inhalation_Exp[Worker Type],$D23))</f>
        <v>0.29965753424657532</v>
      </c>
      <c r="J23" s="205">
        <f>IF(E23="High-End",SUMIFS(Inhalation_Exp[LADD_High-End],Inhalation_Exp[OES],$C23,Inhalation_Exp[Worker Type],$D23),SUMIFS(Inhalation_Exp[LADD_Central Tendency],Inhalation_Exp[OES],$C23,Inhalation_Exp[Worker Type],$D23))</f>
        <v>0.15367053038285916</v>
      </c>
      <c r="K23" s="275">
        <f>IF($E23="High-End",SUMIFS(Dermal_Exp[High-End AD (mg/kg-day)],Dermal_Exp[Worker Type],$D23,Dermal_Exp[OES],$C23),SUMIFS(Dermal_Exp[Central Tendency AD (mg/kg-day)],Dermal_Exp[Worker Type],$D23,Dermal_Exp[OES],$C23))</f>
        <v>1.1909099999999999E-2</v>
      </c>
      <c r="L23" s="275">
        <f>IF($E23="High-End",SUMIFS(Dermal_Exp[High-End IADD (mg/kg-day)],Dermal_Exp[Worker Type],$D23,Dermal_Exp[OES],$C23),SUMIFS(Dermal_Exp[Central Tendency IADD (mg/kg-day)],Dermal_Exp[Worker Type],$D23,Dermal_Exp[OES],$C23))</f>
        <v>8.7333399999999992E-3</v>
      </c>
      <c r="M23" s="275">
        <f>IF($E23="High-End",SUMIFS(Dermal_Exp[High-End ADD (mg/kg-day)],Dermal_Exp[Worker Type],$D23,Dermal_Exp[OES],$C23),SUMIFS(Dermal_Exp[Central Tendency ADD (mg/kg-day)],Dermal_Exp[Worker Type],$D23,Dermal_Exp[OES],$C23))</f>
        <v>8.156917808219177E-3</v>
      </c>
      <c r="N23" s="275">
        <f>IF($E23="High-End",SUMIFS(Dermal_Exp[High-End LADD (mg/kg-day)],Dermal_Exp[Worker Type],$D23,Dermal_Exp[OES],$C23),SUMIFS(Dermal_Exp[Central Tendency LADD (mg/kg-day)],Dermal_Exp[Worker Type],$D23,Dermal_Exp[OES],$C23))</f>
        <v>4.1830347734457315E-3</v>
      </c>
      <c r="O23" s="275">
        <f t="shared" si="5"/>
        <v>0.44940910000000001</v>
      </c>
      <c r="P23" s="275">
        <f t="shared" si="2"/>
        <v>0.32956667333333334</v>
      </c>
      <c r="Q23" s="275">
        <f t="shared" si="3"/>
        <v>0.30781445205479452</v>
      </c>
      <c r="R23" s="295">
        <f t="shared" si="4"/>
        <v>0.15785356515630489</v>
      </c>
      <c r="AF23" s="12"/>
      <c r="AG23" s="12"/>
      <c r="AH23" s="12"/>
      <c r="AI23" s="12"/>
      <c r="AJ23" s="12"/>
      <c r="AK23" s="12"/>
      <c r="AL23" s="12"/>
    </row>
    <row r="24" spans="3:38" x14ac:dyDescent="0.35">
      <c r="C24" s="392" t="str" cm="1">
        <f t="array" ref="C24">INDEX('List Values'!$B$2:$B$20,(1+ROUNDDOWN((ROW()-ROW($C$5))*1/6,2)))</f>
        <v>Incorporation into Adhesives and Sealants (Solid)</v>
      </c>
      <c r="D24" s="307" t="s">
        <v>214</v>
      </c>
      <c r="E24" s="374" t="s">
        <v>93</v>
      </c>
      <c r="F24" s="393" t="s">
        <v>218</v>
      </c>
      <c r="G24" s="395">
        <f>IF(E24="High-End",SUMIFS(Inhalation_Exp[24hr_High-End],Inhalation_Exp[OES],$C24,Inhalation_Exp[Worker Type],$D24),SUMIFS(Inhalation_Exp[24hr_Central Tendency],Inhalation_Exp[OES],$C24,Inhalation_Exp[Worker Type],$D24))</f>
        <v>4.1999999999999996E-2</v>
      </c>
      <c r="H24" s="205">
        <f>IF(E24="High-End",SUMIFS(Inhalation_Exp[Int_High-End],Inhalation_Exp[OES],$C24,Inhalation_Exp[Worker Type],$D24),SUMIFS(Inhalation_Exp[Int_Central Tendency],Inhalation_Exp[OES],$C24,Inhalation_Exp[Worker Type],$D24))</f>
        <v>3.0799999999999998E-2</v>
      </c>
      <c r="I24" s="205">
        <f>IF(E24="High-End",SUMIFS(Inhalation_Exp[ADD_High-End],Inhalation_Exp[OES],$C24,Inhalation_Exp[Worker Type],$D24),SUMIFS(Inhalation_Exp[ADD_Central Tendency],Inhalation_Exp[OES],$C24,Inhalation_Exp[Worker Type],$D24))</f>
        <v>2.8767123287671229E-2</v>
      </c>
      <c r="J24" s="205">
        <f>IF(E24="High-End",SUMIFS(Inhalation_Exp[LADD_High-End],Inhalation_Exp[OES],$C24,Inhalation_Exp[Worker Type],$D24),SUMIFS(Inhalation_Exp[LADD_Central Tendency],Inhalation_Exp[OES],$C24,Inhalation_Exp[Worker Type],$D24))</f>
        <v>1.143308746048472E-2</v>
      </c>
      <c r="K24" s="275">
        <f>IF($E24="High-End",SUMIFS(Dermal_Exp[High-End AD (mg/kg-day)],Dermal_Exp[Worker Type],$D24,Dermal_Exp[OES],$C24),SUMIFS(Dermal_Exp[Central Tendency AD (mg/kg-day)],Dermal_Exp[Worker Type],$D24,Dermal_Exp[OES],$C24))</f>
        <v>5.9545499999999994E-3</v>
      </c>
      <c r="L24" s="275">
        <f>IF($E24="High-End",SUMIFS(Dermal_Exp[High-End IADD (mg/kg-day)],Dermal_Exp[Worker Type],$D24,Dermal_Exp[OES],$C24),SUMIFS(Dermal_Exp[Central Tendency IADD (mg/kg-day)],Dermal_Exp[Worker Type],$D24,Dermal_Exp[OES],$C24))</f>
        <v>4.3666699999999996E-3</v>
      </c>
      <c r="M24" s="275">
        <f>IF($E24="High-End",SUMIFS(Dermal_Exp[High-End ADD (mg/kg-day)],Dermal_Exp[Worker Type],$D24,Dermal_Exp[OES],$C24),SUMIFS(Dermal_Exp[Central Tendency ADD (mg/kg-day)],Dermal_Exp[Worker Type],$D24,Dermal_Exp[OES],$C24))</f>
        <v>4.0784589041095885E-3</v>
      </c>
      <c r="N24" s="275">
        <f>IF($E24="High-End",SUMIFS(Dermal_Exp[High-End LADD (mg/kg-day)],Dermal_Exp[Worker Type],$D24,Dermal_Exp[OES],$C24),SUMIFS(Dermal_Exp[Central Tendency LADD (mg/kg-day)],Dermal_Exp[Worker Type],$D24,Dermal_Exp[OES],$C24))</f>
        <v>1.620925974710221E-3</v>
      </c>
      <c r="O24" s="275">
        <f t="shared" si="5"/>
        <v>4.7954549999999999E-2</v>
      </c>
      <c r="P24" s="275">
        <f t="shared" si="2"/>
        <v>3.5166669999999997E-2</v>
      </c>
      <c r="Q24" s="275">
        <f t="shared" si="3"/>
        <v>3.2845582191780819E-2</v>
      </c>
      <c r="R24" s="295">
        <f t="shared" si="4"/>
        <v>1.3054013435194941E-2</v>
      </c>
      <c r="AF24" s="12"/>
      <c r="AG24" s="12"/>
      <c r="AH24" s="12"/>
      <c r="AI24" s="12"/>
      <c r="AJ24" s="12"/>
      <c r="AK24" s="12"/>
      <c r="AL24" s="12"/>
    </row>
    <row r="25" spans="3:38" x14ac:dyDescent="0.35">
      <c r="C25" s="392" t="str" cm="1">
        <f t="array" ref="C25">INDEX('List Values'!$B$2:$B$20,(1+ROUNDDOWN((ROW()-ROW($C$5))*1/6,2)))</f>
        <v>Incorporation into Adhesives and Sealants (Solid)</v>
      </c>
      <c r="D25" s="307" t="s">
        <v>74</v>
      </c>
      <c r="E25" s="374" t="s">
        <v>92</v>
      </c>
      <c r="F25" s="393" t="s">
        <v>218</v>
      </c>
      <c r="G25" s="395">
        <f>IF(E25="High-End",SUMIFS(Inhalation_Exp[24hr_High-End],Inhalation_Exp[OES],$C25,Inhalation_Exp[Worker Type],$D25),SUMIFS(Inhalation_Exp[24hr_Central Tendency],Inhalation_Exp[OES],$C25,Inhalation_Exp[Worker Type],$D25))</f>
        <v>0.48325854332067647</v>
      </c>
      <c r="H25" s="205">
        <f>IF(E25="High-End",SUMIFS(Inhalation_Exp[Int_High-End],Inhalation_Exp[OES],$C25,Inhalation_Exp[Worker Type],$D25),SUMIFS(Inhalation_Exp[Int_Central Tendency],Inhalation_Exp[OES],$C25,Inhalation_Exp[Worker Type],$D25))</f>
        <v>0.35438959843516277</v>
      </c>
      <c r="I25" s="205">
        <f>IF(E25="High-End",SUMIFS(Inhalation_Exp[ADD_High-End],Inhalation_Exp[OES],$C25,Inhalation_Exp[Worker Type],$D25),SUMIFS(Inhalation_Exp[ADD_Central Tendency],Inhalation_Exp[OES],$C25,Inhalation_Exp[Worker Type],$D25))</f>
        <v>0.33099900227443596</v>
      </c>
      <c r="J25" s="205">
        <f>IF(E25="High-End",SUMIFS(Inhalation_Exp[LADD_High-End],Inhalation_Exp[OES],$C25,Inhalation_Exp[Worker Type],$D25),SUMIFS(Inhalation_Exp[LADD_Central Tendency],Inhalation_Exp[OES],$C25,Inhalation_Exp[Worker Type],$D25))</f>
        <v>0.16974307808945432</v>
      </c>
      <c r="K25" s="275">
        <f>IF($E25="High-End",SUMIFS(Dermal_Exp[High-End AD (mg/kg-day)],Dermal_Exp[Worker Type],$D25,Dermal_Exp[OES],$C25),SUMIFS(Dermal_Exp[Central Tendency AD (mg/kg-day)],Dermal_Exp[Worker Type],$D25,Dermal_Exp[OES],$C25))</f>
        <v>1.0945524861878452E-2</v>
      </c>
      <c r="L25" s="275">
        <f>IF($E25="High-End",SUMIFS(Dermal_Exp[High-End IADD (mg/kg-day)],Dermal_Exp[Worker Type],$D25,Dermal_Exp[OES],$C25),SUMIFS(Dermal_Exp[Central Tendency IADD (mg/kg-day)],Dermal_Exp[Worker Type],$D25,Dermal_Exp[OES],$C25))</f>
        <v>8.0267182320441985E-3</v>
      </c>
      <c r="M25" s="275">
        <f>IF($E25="High-End",SUMIFS(Dermal_Exp[High-End ADD (mg/kg-day)],Dermal_Exp[Worker Type],$D25,Dermal_Exp[OES],$C25),SUMIFS(Dermal_Exp[Central Tendency ADD (mg/kg-day)],Dermal_Exp[Worker Type],$D25,Dermal_Exp[OES],$C25))</f>
        <v>7.4969348369030497E-3</v>
      </c>
      <c r="N25" s="275">
        <f>IF($E25="High-End",SUMIFS(Dermal_Exp[High-End LADD (mg/kg-day)],Dermal_Exp[Worker Type],$D25,Dermal_Exp[OES],$C25),SUMIFS(Dermal_Exp[Central Tendency LADD (mg/kg-day)],Dermal_Exp[Worker Type],$D25,Dermal_Exp[OES],$C25))</f>
        <v>3.8445819676425894E-3</v>
      </c>
      <c r="O25" s="275">
        <f t="shared" si="5"/>
        <v>0.49420406818255491</v>
      </c>
      <c r="P25" s="275">
        <f t="shared" si="2"/>
        <v>0.36241631666720697</v>
      </c>
      <c r="Q25" s="275">
        <f t="shared" si="3"/>
        <v>0.33849593711133902</v>
      </c>
      <c r="R25" s="295">
        <f t="shared" si="4"/>
        <v>0.17358766005709692</v>
      </c>
      <c r="AF25" s="12"/>
      <c r="AG25" s="12"/>
      <c r="AH25" s="12"/>
      <c r="AI25" s="12"/>
      <c r="AJ25" s="12"/>
      <c r="AK25" s="12"/>
      <c r="AL25" s="12"/>
    </row>
    <row r="26" spans="3:38" x14ac:dyDescent="0.35">
      <c r="C26" s="392" t="str" cm="1">
        <f t="array" ref="C26">INDEX('List Values'!$B$2:$B$20,(1+ROUNDDOWN((ROW()-ROW($C$5))*1/6,2)))</f>
        <v>Incorporation into Adhesives and Sealants (Solid)</v>
      </c>
      <c r="D26" s="307" t="s">
        <v>74</v>
      </c>
      <c r="E26" s="374" t="s">
        <v>93</v>
      </c>
      <c r="F26" s="393" t="s">
        <v>218</v>
      </c>
      <c r="G26" s="395">
        <f>IF(E26="High-End",SUMIFS(Inhalation_Exp[24hr_High-End],Inhalation_Exp[OES],$C26,Inhalation_Exp[Worker Type],$D26),SUMIFS(Inhalation_Exp[24hr_Central Tendency],Inhalation_Exp[OES],$C26,Inhalation_Exp[Worker Type],$D26))</f>
        <v>4.6392820158784938E-2</v>
      </c>
      <c r="H26" s="205">
        <f>IF(E26="High-End",SUMIFS(Inhalation_Exp[Int_High-End],Inhalation_Exp[OES],$C26,Inhalation_Exp[Worker Type],$D26),SUMIFS(Inhalation_Exp[Int_Central Tendency],Inhalation_Exp[OES],$C26,Inhalation_Exp[Worker Type],$D26))</f>
        <v>3.4021401449775619E-2</v>
      </c>
      <c r="I26" s="205">
        <f>IF(E26="High-End",SUMIFS(Inhalation_Exp[ADD_High-End],Inhalation_Exp[OES],$C26,Inhalation_Exp[Worker Type],$D26),SUMIFS(Inhalation_Exp[ADD_Central Tendency],Inhalation_Exp[OES],$C26,Inhalation_Exp[Worker Type],$D26))</f>
        <v>3.1775904218345849E-2</v>
      </c>
      <c r="J26" s="205">
        <f>IF(E26="High-End",SUMIFS(Inhalation_Exp[LADD_High-End],Inhalation_Exp[OES],$C26,Inhalation_Exp[Worker Type],$D26),SUMIFS(Inhalation_Exp[LADD_Central Tendency],Inhalation_Exp[OES],$C26,Inhalation_Exp[Worker Type],$D26))</f>
        <v>1.2628885009855401E-2</v>
      </c>
      <c r="K26" s="275">
        <f>IF($E26="High-End",SUMIFS(Dermal_Exp[High-End AD (mg/kg-day)],Dermal_Exp[Worker Type],$D26,Dermal_Exp[OES],$C26),SUMIFS(Dermal_Exp[Central Tendency AD (mg/kg-day)],Dermal_Exp[Worker Type],$D26,Dermal_Exp[OES],$C26))</f>
        <v>5.4727624309392261E-3</v>
      </c>
      <c r="L26" s="275">
        <f>IF($E26="High-End",SUMIFS(Dermal_Exp[High-End IADD (mg/kg-day)],Dermal_Exp[Worker Type],$D26,Dermal_Exp[OES],$C26),SUMIFS(Dermal_Exp[Central Tendency IADD (mg/kg-day)],Dermal_Exp[Worker Type],$D26,Dermal_Exp[OES],$C26))</f>
        <v>4.0133591160220992E-3</v>
      </c>
      <c r="M26" s="275">
        <f>IF($E26="High-End",SUMIFS(Dermal_Exp[High-End ADD (mg/kg-day)],Dermal_Exp[Worker Type],$D26,Dermal_Exp[OES],$C26),SUMIFS(Dermal_Exp[Central Tendency ADD (mg/kg-day)],Dermal_Exp[Worker Type],$D26,Dermal_Exp[OES],$C26))</f>
        <v>3.7484674184515249E-3</v>
      </c>
      <c r="N26" s="275">
        <f>IF($E26="High-End",SUMIFS(Dermal_Exp[High-End LADD (mg/kg-day)],Dermal_Exp[Worker Type],$D26,Dermal_Exp[OES],$C26),SUMIFS(Dermal_Exp[Central Tendency LADD (mg/kg-day)],Dermal_Exp[Worker Type],$D26,Dermal_Exp[OES],$C26))</f>
        <v>1.4897755124615036E-3</v>
      </c>
      <c r="O26" s="275">
        <f t="shared" si="5"/>
        <v>5.1865582589724166E-2</v>
      </c>
      <c r="P26" s="275">
        <f t="shared" si="2"/>
        <v>3.8034760565797715E-2</v>
      </c>
      <c r="Q26" s="275">
        <f t="shared" si="3"/>
        <v>3.5524371636797371E-2</v>
      </c>
      <c r="R26" s="295">
        <f t="shared" si="4"/>
        <v>1.4118660522316905E-2</v>
      </c>
      <c r="AF26" s="12"/>
      <c r="AG26" s="12"/>
      <c r="AH26" s="12"/>
      <c r="AI26" s="12"/>
      <c r="AJ26" s="12"/>
      <c r="AK26" s="12"/>
      <c r="AL26" s="12"/>
    </row>
    <row r="27" spans="3:38" x14ac:dyDescent="0.35">
      <c r="C27" s="392" t="str" cm="1">
        <f t="array" ref="C27">INDEX('List Values'!$B$2:$B$20,(1+ROUNDDOWN((ROW()-ROW($C$5))*1/6,2)))</f>
        <v>Incorporation into Adhesives and Sealants (Solid)</v>
      </c>
      <c r="D27" s="307" t="s">
        <v>94</v>
      </c>
      <c r="E27" s="374" t="s">
        <v>92</v>
      </c>
      <c r="F27" s="393" t="s">
        <v>218</v>
      </c>
      <c r="G27" s="395">
        <f>IF(E27="High-End",SUMIFS(Inhalation_Exp[24hr_High-End],Inhalation_Exp[OES],$C27,Inhalation_Exp[Worker Type],$D27),SUMIFS(Inhalation_Exp[24hr_Central Tendency],Inhalation_Exp[OES],$C27,Inhalation_Exp[Worker Type],$D27))</f>
        <v>4.1999999999999996E-2</v>
      </c>
      <c r="H27" s="205">
        <f>IF(E27="High-End",SUMIFS(Inhalation_Exp[Int_High-End],Inhalation_Exp[OES],$C27,Inhalation_Exp[Worker Type],$D27),SUMIFS(Inhalation_Exp[Int_Central Tendency],Inhalation_Exp[OES],$C27,Inhalation_Exp[Worker Type],$D27))</f>
        <v>3.0799999999999998E-2</v>
      </c>
      <c r="I27" s="205">
        <f>IF(E27="High-End",SUMIFS(Inhalation_Exp[ADD_High-End],Inhalation_Exp[OES],$C27,Inhalation_Exp[Worker Type],$D27),SUMIFS(Inhalation_Exp[ADD_Central Tendency],Inhalation_Exp[OES],$C27,Inhalation_Exp[Worker Type],$D27))</f>
        <v>2.8767123287671229E-2</v>
      </c>
      <c r="J27" s="205">
        <f>IF(E27="High-End",SUMIFS(Inhalation_Exp[LADD_High-End],Inhalation_Exp[OES],$C27,Inhalation_Exp[Worker Type],$D27),SUMIFS(Inhalation_Exp[LADD_Central Tendency],Inhalation_Exp[OES],$C27,Inhalation_Exp[Worker Type],$D27))</f>
        <v>1.4752370916754477E-2</v>
      </c>
      <c r="K27" s="275">
        <f>IF($E27="High-End",SUMIFS(Dermal_Exp[High-End AD (mg/kg-day)],Dermal_Exp[Worker Type],$D27,Dermal_Exp[OES],$C27),SUMIFS(Dermal_Exp[Central Tendency AD (mg/kg-day)],Dermal_Exp[Worker Type],$D27,Dermal_Exp[OES],$C27))</f>
        <v>2.9828399999999996E-3</v>
      </c>
      <c r="L27" s="275">
        <f>IF($E27="High-End",SUMIFS(Dermal_Exp[High-End IADD (mg/kg-day)],Dermal_Exp[Worker Type],$D27,Dermal_Exp[OES],$C27),SUMIFS(Dermal_Exp[Central Tendency IADD (mg/kg-day)],Dermal_Exp[Worker Type],$D27,Dermal_Exp[OES],$C27))</f>
        <v>2.1874159999999998E-3</v>
      </c>
      <c r="M27" s="275">
        <f>IF($E27="High-End",SUMIFS(Dermal_Exp[High-End ADD (mg/kg-day)],Dermal_Exp[Worker Type],$D27,Dermal_Exp[OES],$C27),SUMIFS(Dermal_Exp[Central Tendency ADD (mg/kg-day)],Dermal_Exp[Worker Type],$D27,Dermal_Exp[OES],$C27))</f>
        <v>2.0430410958904104E-3</v>
      </c>
      <c r="N27" s="275">
        <f>IF($E27="High-End",SUMIFS(Dermal_Exp[High-End LADD (mg/kg-day)],Dermal_Exp[Worker Type],$D27,Dermal_Exp[OES],$C27),SUMIFS(Dermal_Exp[Central Tendency LADD (mg/kg-day)],Dermal_Exp[Worker Type],$D27,Dermal_Exp[OES],$C27))</f>
        <v>1.047713382507903E-3</v>
      </c>
      <c r="O27" s="275">
        <f t="shared" si="5"/>
        <v>4.4982839999999996E-2</v>
      </c>
      <c r="P27" s="275">
        <f t="shared" si="2"/>
        <v>3.2987415999999999E-2</v>
      </c>
      <c r="Q27" s="275">
        <f t="shared" si="3"/>
        <v>3.0810164383561638E-2</v>
      </c>
      <c r="R27" s="295">
        <f t="shared" si="4"/>
        <v>1.5800084299262381E-2</v>
      </c>
      <c r="AF27" s="12"/>
      <c r="AG27" s="12"/>
      <c r="AH27" s="12"/>
      <c r="AI27" s="12"/>
      <c r="AJ27" s="12"/>
      <c r="AK27" s="12"/>
      <c r="AL27" s="12"/>
    </row>
    <row r="28" spans="3:38" x14ac:dyDescent="0.35">
      <c r="C28" s="392" t="str" cm="1">
        <f t="array" ref="C28">INDEX('List Values'!$B$2:$B$20,(1+ROUNDDOWN((ROW()-ROW($C$5))*1/6,2)))</f>
        <v>Incorporation into Adhesives and Sealants (Solid)</v>
      </c>
      <c r="D28" s="307" t="s">
        <v>94</v>
      </c>
      <c r="E28" s="374" t="s">
        <v>93</v>
      </c>
      <c r="F28" s="393" t="s">
        <v>218</v>
      </c>
      <c r="G28" s="395">
        <f>IF(E28="High-End",SUMIFS(Inhalation_Exp[24hr_High-End],Inhalation_Exp[OES],$C28,Inhalation_Exp[Worker Type],$D28),SUMIFS(Inhalation_Exp[24hr_Central Tendency],Inhalation_Exp[OES],$C28,Inhalation_Exp[Worker Type],$D28))</f>
        <v>4.1999999999999996E-2</v>
      </c>
      <c r="H28" s="205">
        <f>IF(E28="High-End",SUMIFS(Inhalation_Exp[Int_High-End],Inhalation_Exp[OES],$C28,Inhalation_Exp[Worker Type],$D28),SUMIFS(Inhalation_Exp[Int_Central Tendency],Inhalation_Exp[OES],$C28,Inhalation_Exp[Worker Type],$D28))</f>
        <v>3.0799999999999998E-2</v>
      </c>
      <c r="I28" s="205">
        <f>IF(E28="High-End",SUMIFS(Inhalation_Exp[ADD_High-End],Inhalation_Exp[OES],$C28,Inhalation_Exp[Worker Type],$D28),SUMIFS(Inhalation_Exp[ADD_Central Tendency],Inhalation_Exp[OES],$C28,Inhalation_Exp[Worker Type],$D28))</f>
        <v>2.8767123287671229E-2</v>
      </c>
      <c r="J28" s="205">
        <f>IF(E28="High-End",SUMIFS(Inhalation_Exp[LADD_High-End],Inhalation_Exp[OES],$C28,Inhalation_Exp[Worker Type],$D28),SUMIFS(Inhalation_Exp[LADD_Central Tendency],Inhalation_Exp[OES],$C28,Inhalation_Exp[Worker Type],$D28))</f>
        <v>1.143308746048472E-2</v>
      </c>
      <c r="K28" s="275">
        <f>IF($E28="High-End",SUMIFS(Dermal_Exp[High-End AD (mg/kg-day)],Dermal_Exp[Worker Type],$D28,Dermal_Exp[OES],$C28),SUMIFS(Dermal_Exp[Central Tendency AD (mg/kg-day)],Dermal_Exp[Worker Type],$D28,Dermal_Exp[OES],$C28))</f>
        <v>2.9828399999999996E-3</v>
      </c>
      <c r="L28" s="275">
        <f>IF($E28="High-End",SUMIFS(Dermal_Exp[High-End IADD (mg/kg-day)],Dermal_Exp[Worker Type],$D28,Dermal_Exp[OES],$C28),SUMIFS(Dermal_Exp[Central Tendency IADD (mg/kg-day)],Dermal_Exp[Worker Type],$D28,Dermal_Exp[OES],$C28))</f>
        <v>2.1874159999999998E-3</v>
      </c>
      <c r="M28" s="275">
        <f>IF($E28="High-End",SUMIFS(Dermal_Exp[High-End ADD (mg/kg-day)],Dermal_Exp[Worker Type],$D28,Dermal_Exp[OES],$C28),SUMIFS(Dermal_Exp[Central Tendency ADD (mg/kg-day)],Dermal_Exp[Worker Type],$D28,Dermal_Exp[OES],$C28))</f>
        <v>2.0430410958904108E-3</v>
      </c>
      <c r="N28" s="275">
        <f>IF($E28="High-End",SUMIFS(Dermal_Exp[High-End LADD (mg/kg-day)],Dermal_Exp[Worker Type],$D28,Dermal_Exp[OES],$C28),SUMIFS(Dermal_Exp[Central Tendency LADD (mg/kg-day)],Dermal_Exp[Worker Type],$D28,Dermal_Exp[OES],$C28))</f>
        <v>8.119778714436248E-4</v>
      </c>
      <c r="O28" s="275">
        <f t="shared" si="5"/>
        <v>4.4982839999999996E-2</v>
      </c>
      <c r="P28" s="275">
        <f t="shared" si="2"/>
        <v>3.2987415999999999E-2</v>
      </c>
      <c r="Q28" s="275">
        <f t="shared" si="3"/>
        <v>3.0810164383561642E-2</v>
      </c>
      <c r="R28" s="295">
        <f t="shared" si="4"/>
        <v>1.2245065331928344E-2</v>
      </c>
      <c r="AF28" s="12"/>
      <c r="AG28" s="12"/>
      <c r="AH28" s="12"/>
      <c r="AI28" s="12"/>
      <c r="AJ28" s="12"/>
      <c r="AK28" s="12"/>
      <c r="AL28" s="12"/>
    </row>
    <row r="29" spans="3:38" x14ac:dyDescent="0.35">
      <c r="C29" s="392" t="str" cm="1">
        <f t="array" ref="C29">INDEX('List Values'!$B$2:$B$20,(1+ROUNDDOWN((ROW()-ROW($C$5))*1/6,2)))</f>
        <v>Incorporation into Adhesives and Sealants (Liquid)</v>
      </c>
      <c r="D29" s="307" t="s">
        <v>214</v>
      </c>
      <c r="E29" s="374" t="s">
        <v>92</v>
      </c>
      <c r="F29" s="393" t="s">
        <v>218</v>
      </c>
      <c r="G29" s="395">
        <f>IF(E29="High-End",SUMIFS(Inhalation_Exp[24hr_High-End],Inhalation_Exp[OES],$C29,Inhalation_Exp[Worker Type],$D29),SUMIFS(Inhalation_Exp[24hr_Central Tendency],Inhalation_Exp[OES],$C29,Inhalation_Exp[Worker Type],$D29))</f>
        <v>1.2500000000000001E-2</v>
      </c>
      <c r="H29" s="205">
        <f>IF(E29="High-End",SUMIFS(Inhalation_Exp[Int_High-End],Inhalation_Exp[OES],$C29,Inhalation_Exp[Worker Type],$D29),SUMIFS(Inhalation_Exp[Int_Central Tendency],Inhalation_Exp[OES],$C29,Inhalation_Exp[Worker Type],$D29))</f>
        <v>9.1666666666666667E-3</v>
      </c>
      <c r="I29" s="205">
        <f>IF(E29="High-End",SUMIFS(Inhalation_Exp[ADD_High-End],Inhalation_Exp[OES],$C29,Inhalation_Exp[Worker Type],$D29),SUMIFS(Inhalation_Exp[ADD_Central Tendency],Inhalation_Exp[OES],$C29,Inhalation_Exp[Worker Type],$D29))</f>
        <v>8.5616438356164379E-3</v>
      </c>
      <c r="J29" s="205">
        <f>IF(E29="High-End",SUMIFS(Inhalation_Exp[LADD_High-End],Inhalation_Exp[OES],$C29,Inhalation_Exp[Worker Type],$D29),SUMIFS(Inhalation_Exp[LADD_Central Tendency],Inhalation_Exp[OES],$C29,Inhalation_Exp[Worker Type],$D29))</f>
        <v>4.3905865823674044E-3</v>
      </c>
      <c r="K29" s="275">
        <f>IF($E29="High-End",SUMIFS(Dermal_Exp[High-End AD (mg/kg-day)],Dermal_Exp[Worker Type],$D29,Dermal_Exp[OES],$C29),SUMIFS(Dermal_Exp[Central Tendency AD (mg/kg-day)],Dermal_Exp[Worker Type],$D29,Dermal_Exp[OES],$C29))</f>
        <v>6.6339999999999996E-2</v>
      </c>
      <c r="L29" s="275">
        <f>IF($E29="High-End",SUMIFS(Dermal_Exp[High-End IADD (mg/kg-day)],Dermal_Exp[Worker Type],$D29,Dermal_Exp[OES],$C29),SUMIFS(Dermal_Exp[Central Tendency IADD (mg/kg-day)],Dermal_Exp[Worker Type],$D29,Dermal_Exp[OES],$C29))</f>
        <v>4.8649333333333329E-2</v>
      </c>
      <c r="M29" s="275">
        <f>IF($E29="High-End",SUMIFS(Dermal_Exp[High-End ADD (mg/kg-day)],Dermal_Exp[Worker Type],$D29,Dermal_Exp[OES],$C29),SUMIFS(Dermal_Exp[Central Tendency ADD (mg/kg-day)],Dermal_Exp[Worker Type],$D29,Dermal_Exp[OES],$C29))</f>
        <v>4.5438356164383555E-2</v>
      </c>
      <c r="N29" s="275">
        <f>IF($E29="High-End",SUMIFS(Dermal_Exp[High-End LADD (mg/kg-day)],Dermal_Exp[Worker Type],$D29,Dermal_Exp[OES],$C29),SUMIFS(Dermal_Exp[Central Tendency LADD (mg/kg-day)],Dermal_Exp[Worker Type],$D29,Dermal_Exp[OES],$C29))</f>
        <v>2.3301721109940284E-2</v>
      </c>
      <c r="O29" s="275">
        <f t="shared" si="5"/>
        <v>7.8839999999999993E-2</v>
      </c>
      <c r="P29" s="275">
        <f t="shared" si="2"/>
        <v>5.7815999999999992E-2</v>
      </c>
      <c r="Q29" s="275">
        <f t="shared" si="3"/>
        <v>5.3999999999999992E-2</v>
      </c>
      <c r="R29" s="295">
        <f t="shared" si="4"/>
        <v>2.769230769230769E-2</v>
      </c>
      <c r="AF29" s="12"/>
      <c r="AG29" s="12"/>
      <c r="AH29" s="12"/>
      <c r="AI29" s="12"/>
      <c r="AJ29" s="12"/>
      <c r="AK29" s="12"/>
      <c r="AL29" s="12"/>
    </row>
    <row r="30" spans="3:38" x14ac:dyDescent="0.35">
      <c r="C30" s="392" t="str" cm="1">
        <f t="array" ref="C30">INDEX('List Values'!$B$2:$B$20,(1+ROUNDDOWN((ROW()-ROW($C$5))*1/6,2)))</f>
        <v>Incorporation into Adhesives and Sealants (Liquid)</v>
      </c>
      <c r="D30" s="307" t="s">
        <v>214</v>
      </c>
      <c r="E30" s="374" t="s">
        <v>93</v>
      </c>
      <c r="F30" s="393" t="s">
        <v>218</v>
      </c>
      <c r="G30" s="395">
        <f>IF(E30="High-End",SUMIFS(Inhalation_Exp[24hr_High-End],Inhalation_Exp[OES],$C30,Inhalation_Exp[Worker Type],$D30),SUMIFS(Inhalation_Exp[24hr_Central Tendency],Inhalation_Exp[OES],$C30,Inhalation_Exp[Worker Type],$D30))</f>
        <v>6.2500000000000003E-3</v>
      </c>
      <c r="H30" s="205">
        <f>IF(E30="High-End",SUMIFS(Inhalation_Exp[Int_High-End],Inhalation_Exp[OES],$C30,Inhalation_Exp[Worker Type],$D30),SUMIFS(Inhalation_Exp[Int_Central Tendency],Inhalation_Exp[OES],$C30,Inhalation_Exp[Worker Type],$D30))</f>
        <v>4.5833333333333334E-3</v>
      </c>
      <c r="I30" s="205">
        <f>IF(E30="High-End",SUMIFS(Inhalation_Exp[ADD_High-End],Inhalation_Exp[OES],$C30,Inhalation_Exp[Worker Type],$D30),SUMIFS(Inhalation_Exp[ADD_Central Tendency],Inhalation_Exp[OES],$C30,Inhalation_Exp[Worker Type],$D30))</f>
        <v>4.2808219178082189E-3</v>
      </c>
      <c r="J30" s="205">
        <f>IF(E30="High-End",SUMIFS(Inhalation_Exp[LADD_High-End],Inhalation_Exp[OES],$C30,Inhalation_Exp[Worker Type],$D30),SUMIFS(Inhalation_Exp[LADD_Central Tendency],Inhalation_Exp[OES],$C30,Inhalation_Exp[Worker Type],$D30))</f>
        <v>1.7013523006673692E-3</v>
      </c>
      <c r="K30" s="275">
        <f>IF($E30="High-End",SUMIFS(Dermal_Exp[High-End AD (mg/kg-day)],Dermal_Exp[Worker Type],$D30,Dermal_Exp[OES],$C30),SUMIFS(Dermal_Exp[Central Tendency AD (mg/kg-day)],Dermal_Exp[Worker Type],$D30,Dermal_Exp[OES],$C30))</f>
        <v>3.3169999999999998E-2</v>
      </c>
      <c r="L30" s="275">
        <f>IF($E30="High-End",SUMIFS(Dermal_Exp[High-End IADD (mg/kg-day)],Dermal_Exp[Worker Type],$D30,Dermal_Exp[OES],$C30),SUMIFS(Dermal_Exp[Central Tendency IADD (mg/kg-day)],Dermal_Exp[Worker Type],$D30,Dermal_Exp[OES],$C30))</f>
        <v>2.4324666666666665E-2</v>
      </c>
      <c r="M30" s="275">
        <f>IF($E30="High-End",SUMIFS(Dermal_Exp[High-End ADD (mg/kg-day)],Dermal_Exp[Worker Type],$D30,Dermal_Exp[OES],$C30),SUMIFS(Dermal_Exp[Central Tendency ADD (mg/kg-day)],Dermal_Exp[Worker Type],$D30,Dermal_Exp[OES],$C30))</f>
        <v>2.2719178082191774E-2</v>
      </c>
      <c r="N30" s="275">
        <f>IF($E30="High-End",SUMIFS(Dermal_Exp[High-End LADD (mg/kg-day)],Dermal_Exp[Worker Type],$D30,Dermal_Exp[OES],$C30),SUMIFS(Dermal_Exp[Central Tendency LADD (mg/kg-day)],Dermal_Exp[Worker Type],$D30,Dermal_Exp[OES],$C30))</f>
        <v>9.0294169301018603E-3</v>
      </c>
      <c r="O30" s="275">
        <f t="shared" si="5"/>
        <v>3.9419999999999997E-2</v>
      </c>
      <c r="P30" s="275">
        <f t="shared" si="2"/>
        <v>2.8907999999999996E-2</v>
      </c>
      <c r="Q30" s="275">
        <f t="shared" si="3"/>
        <v>2.6999999999999993E-2</v>
      </c>
      <c r="R30" s="295">
        <f t="shared" si="4"/>
        <v>1.0730769230769229E-2</v>
      </c>
      <c r="AF30" s="12"/>
      <c r="AG30" s="12"/>
      <c r="AH30" s="12"/>
      <c r="AI30" s="12"/>
      <c r="AJ30" s="12"/>
      <c r="AK30" s="12"/>
      <c r="AL30" s="12"/>
    </row>
    <row r="31" spans="3:38" x14ac:dyDescent="0.35">
      <c r="C31" s="392" t="str" cm="1">
        <f t="array" ref="C31">INDEX('List Values'!$B$2:$B$20,(1+ROUNDDOWN((ROW()-ROW($C$5))*1/6,2)))</f>
        <v>Incorporation into Adhesives and Sealants (Liquid)</v>
      </c>
      <c r="D31" s="307" t="s">
        <v>74</v>
      </c>
      <c r="E31" s="374" t="s">
        <v>92</v>
      </c>
      <c r="F31" s="393" t="s">
        <v>218</v>
      </c>
      <c r="G31" s="395">
        <f>IF(E31="High-End",SUMIFS(Inhalation_Exp[24hr_High-End],Inhalation_Exp[OES],$C31,Inhalation_Exp[Worker Type],$D31),SUMIFS(Inhalation_Exp[24hr_Central Tendency],Inhalation_Exp[OES],$C31,Inhalation_Exp[Worker Type],$D31))</f>
        <v>1.3807386952019328E-2</v>
      </c>
      <c r="H31" s="205">
        <f>IF(E31="High-End",SUMIFS(Inhalation_Exp[Int_High-End],Inhalation_Exp[OES],$C31,Inhalation_Exp[Worker Type],$D31),SUMIFS(Inhalation_Exp[Int_Central Tendency],Inhalation_Exp[OES],$C31,Inhalation_Exp[Worker Type],$D31))</f>
        <v>1.0125417098147507E-2</v>
      </c>
      <c r="I31" s="205">
        <f>IF(E31="High-End",SUMIFS(Inhalation_Exp[ADD_High-End],Inhalation_Exp[OES],$C31,Inhalation_Exp[Worker Type],$D31),SUMIFS(Inhalation_Exp[ADD_Central Tendency],Inhalation_Exp[OES],$C31,Inhalation_Exp[Worker Type],$D31))</f>
        <v>9.457114350698171E-3</v>
      </c>
      <c r="J31" s="205">
        <f>IF(E31="High-End",SUMIFS(Inhalation_Exp[LADD_High-End],Inhalation_Exp[OES],$C31,Inhalation_Exp[Worker Type],$D31),SUMIFS(Inhalation_Exp[LADD_Central Tendency],Inhalation_Exp[OES],$C31,Inhalation_Exp[Worker Type],$D31))</f>
        <v>4.8498022311272669E-3</v>
      </c>
      <c r="K31" s="275">
        <f>IF($E31="High-End",SUMIFS(Dermal_Exp[High-End AD (mg/kg-day)],Dermal_Exp[Worker Type],$D31,Dermal_Exp[OES],$C31),SUMIFS(Dermal_Exp[Central Tendency AD (mg/kg-day)],Dermal_Exp[Worker Type],$D31,Dermal_Exp[OES],$C31))</f>
        <v>6.0972375690607726E-2</v>
      </c>
      <c r="L31" s="275">
        <f>IF($E31="High-End",SUMIFS(Dermal_Exp[High-End IADD (mg/kg-day)],Dermal_Exp[Worker Type],$D31,Dermal_Exp[OES],$C31),SUMIFS(Dermal_Exp[Central Tendency IADD (mg/kg-day)],Dermal_Exp[Worker Type],$D31,Dermal_Exp[OES],$C31))</f>
        <v>4.4713075506445668E-2</v>
      </c>
      <c r="M31" s="275">
        <f>IF($E31="High-End",SUMIFS(Dermal_Exp[High-End ADD (mg/kg-day)],Dermal_Exp[Worker Type],$D31,Dermal_Exp[OES],$C31),SUMIFS(Dermal_Exp[Central Tendency ADD (mg/kg-day)],Dermal_Exp[Worker Type],$D31,Dermal_Exp[OES],$C31))</f>
        <v>4.1761901157950497E-2</v>
      </c>
      <c r="N31" s="275">
        <f>IF($E31="High-End",SUMIFS(Dermal_Exp[High-End LADD (mg/kg-day)],Dermal_Exp[Worker Type],$D31,Dermal_Exp[OES],$C31),SUMIFS(Dermal_Exp[Central Tendency LADD (mg/kg-day)],Dermal_Exp[Worker Type],$D31,Dermal_Exp[OES],$C31))</f>
        <v>2.1416359568179742E-2</v>
      </c>
      <c r="O31" s="275">
        <f t="shared" si="5"/>
        <v>7.4779762642627048E-2</v>
      </c>
      <c r="P31" s="275">
        <f t="shared" si="2"/>
        <v>5.4838492604593177E-2</v>
      </c>
      <c r="Q31" s="275">
        <f t="shared" si="3"/>
        <v>5.1219015508648671E-2</v>
      </c>
      <c r="R31" s="295">
        <f t="shared" si="4"/>
        <v>2.6266161799307009E-2</v>
      </c>
      <c r="AF31" s="12"/>
      <c r="AG31" s="12"/>
      <c r="AH31" s="12"/>
      <c r="AI31" s="12"/>
      <c r="AJ31" s="12"/>
      <c r="AK31" s="12"/>
      <c r="AL31" s="12"/>
    </row>
    <row r="32" spans="3:38" x14ac:dyDescent="0.35">
      <c r="C32" s="392" t="str" cm="1">
        <f t="array" ref="C32">INDEX('List Values'!$B$2:$B$20,(1+ROUNDDOWN((ROW()-ROW($C$5))*1/6,2)))</f>
        <v>Incorporation into Adhesives and Sealants (Liquid)</v>
      </c>
      <c r="D32" s="307" t="s">
        <v>74</v>
      </c>
      <c r="E32" s="374" t="s">
        <v>93</v>
      </c>
      <c r="F32" s="393" t="s">
        <v>218</v>
      </c>
      <c r="G32" s="395">
        <f>IF(E32="High-End",SUMIFS(Inhalation_Exp[24hr_High-End],Inhalation_Exp[OES],$C32,Inhalation_Exp[Worker Type],$D32),SUMIFS(Inhalation_Exp[24hr_Central Tendency],Inhalation_Exp[OES],$C32,Inhalation_Exp[Worker Type],$D32))</f>
        <v>6.9036934760096638E-3</v>
      </c>
      <c r="H32" s="205">
        <f>IF(E32="High-End",SUMIFS(Inhalation_Exp[Int_High-End],Inhalation_Exp[OES],$C32,Inhalation_Exp[Worker Type],$D32),SUMIFS(Inhalation_Exp[Int_Central Tendency],Inhalation_Exp[OES],$C32,Inhalation_Exp[Worker Type],$D32))</f>
        <v>5.0627085490737534E-3</v>
      </c>
      <c r="I32" s="205">
        <f>IF(E32="High-End",SUMIFS(Inhalation_Exp[ADD_High-End],Inhalation_Exp[OES],$C32,Inhalation_Exp[Worker Type],$D32),SUMIFS(Inhalation_Exp[ADD_Central Tendency],Inhalation_Exp[OES],$C32,Inhalation_Exp[Worker Type],$D32))</f>
        <v>4.7285571753490855E-3</v>
      </c>
      <c r="J32" s="205">
        <f>IF(E32="High-End",SUMIFS(Inhalation_Exp[LADD_High-End],Inhalation_Exp[OES],$C32,Inhalation_Exp[Worker Type],$D32),SUMIFS(Inhalation_Exp[LADD_Central Tendency],Inhalation_Exp[OES],$C32,Inhalation_Exp[Worker Type],$D32))</f>
        <v>1.8792983645618158E-3</v>
      </c>
      <c r="K32" s="275">
        <f>IF($E32="High-End",SUMIFS(Dermal_Exp[High-End AD (mg/kg-day)],Dermal_Exp[Worker Type],$D32,Dermal_Exp[OES],$C32),SUMIFS(Dermal_Exp[Central Tendency AD (mg/kg-day)],Dermal_Exp[Worker Type],$D32,Dermal_Exp[OES],$C32))</f>
        <v>3.0486187845303863E-2</v>
      </c>
      <c r="L32" s="275">
        <f>IF($E32="High-End",SUMIFS(Dermal_Exp[High-End IADD (mg/kg-day)],Dermal_Exp[Worker Type],$D32,Dermal_Exp[OES],$C32),SUMIFS(Dermal_Exp[Central Tendency IADD (mg/kg-day)],Dermal_Exp[Worker Type],$D32,Dermal_Exp[OES],$C32))</f>
        <v>2.2356537753222834E-2</v>
      </c>
      <c r="M32" s="275">
        <f>IF($E32="High-End",SUMIFS(Dermal_Exp[High-End ADD (mg/kg-day)],Dermal_Exp[Worker Type],$D32,Dermal_Exp[OES],$C32),SUMIFS(Dermal_Exp[Central Tendency ADD (mg/kg-day)],Dermal_Exp[Worker Type],$D32,Dermal_Exp[OES],$C32))</f>
        <v>2.0880950578975249E-2</v>
      </c>
      <c r="N32" s="275">
        <f>IF($E32="High-End",SUMIFS(Dermal_Exp[High-End LADD (mg/kg-day)],Dermal_Exp[Worker Type],$D32,Dermal_Exp[OES],$C32),SUMIFS(Dermal_Exp[Central Tendency LADD (mg/kg-day)],Dermal_Exp[Worker Type],$D32,Dermal_Exp[OES],$C32))</f>
        <v>8.2988393326696493E-3</v>
      </c>
      <c r="O32" s="275">
        <f t="shared" si="5"/>
        <v>3.7389881321313524E-2</v>
      </c>
      <c r="P32" s="275">
        <f t="shared" si="2"/>
        <v>2.7419246302296588E-2</v>
      </c>
      <c r="Q32" s="275">
        <f t="shared" si="3"/>
        <v>2.5609507754324336E-2</v>
      </c>
      <c r="R32" s="295">
        <f t="shared" si="4"/>
        <v>1.0178137697231466E-2</v>
      </c>
      <c r="AF32" s="12"/>
      <c r="AG32" s="12"/>
      <c r="AH32" s="12"/>
      <c r="AI32" s="12"/>
      <c r="AJ32" s="12"/>
      <c r="AK32" s="12"/>
      <c r="AL32" s="12"/>
    </row>
    <row r="33" spans="3:38" x14ac:dyDescent="0.35">
      <c r="C33" s="392" t="str" cm="1">
        <f t="array" ref="C33">INDEX('List Values'!$B$2:$B$20,(1+ROUNDDOWN((ROW()-ROW($C$5))*1/6,2)))</f>
        <v>Incorporation into Adhesives and Sealants (Liquid)</v>
      </c>
      <c r="D33" s="307" t="s">
        <v>94</v>
      </c>
      <c r="E33" s="374" t="s">
        <v>92</v>
      </c>
      <c r="F33" s="393" t="s">
        <v>218</v>
      </c>
      <c r="G33" s="395">
        <f>IF(E33="High-End",SUMIFS(Inhalation_Exp[24hr_High-End],Inhalation_Exp[OES],$C33,Inhalation_Exp[Worker Type],$D33),SUMIFS(Inhalation_Exp[24hr_Central Tendency],Inhalation_Exp[OES],$C33,Inhalation_Exp[Worker Type],$D33))</f>
        <v>6.2500000000000003E-3</v>
      </c>
      <c r="H33" s="205">
        <f>IF(E33="High-End",SUMIFS(Inhalation_Exp[Int_High-End],Inhalation_Exp[OES],$C33,Inhalation_Exp[Worker Type],$D33),SUMIFS(Inhalation_Exp[Int_Central Tendency],Inhalation_Exp[OES],$C33,Inhalation_Exp[Worker Type],$D33))</f>
        <v>4.5833333333333334E-3</v>
      </c>
      <c r="I33" s="205">
        <f>IF(E33="High-End",SUMIFS(Inhalation_Exp[ADD_High-End],Inhalation_Exp[OES],$C33,Inhalation_Exp[Worker Type],$D33),SUMIFS(Inhalation_Exp[ADD_Central Tendency],Inhalation_Exp[OES],$C33,Inhalation_Exp[Worker Type],$D33))</f>
        <v>4.2808219178082189E-3</v>
      </c>
      <c r="J33" s="205">
        <f>IF(E33="High-End",SUMIFS(Inhalation_Exp[LADD_High-End],Inhalation_Exp[OES],$C33,Inhalation_Exp[Worker Type],$D33),SUMIFS(Inhalation_Exp[LADD_Central Tendency],Inhalation_Exp[OES],$C33,Inhalation_Exp[Worker Type],$D33))</f>
        <v>2.1952932911837022E-3</v>
      </c>
      <c r="K33" s="275">
        <f>IF($E33="High-End",SUMIFS(Dermal_Exp[High-End AD (mg/kg-day)],Dermal_Exp[Worker Type],$D33,Dermal_Exp[OES],$C33),SUMIFS(Dermal_Exp[Central Tendency AD (mg/kg-day)],Dermal_Exp[Worker Type],$D33,Dermal_Exp[OES],$C33))</f>
        <v>0</v>
      </c>
      <c r="L33" s="275">
        <f>IF($E33="High-End",SUMIFS(Dermal_Exp[High-End IADD (mg/kg-day)],Dermal_Exp[Worker Type],$D33,Dermal_Exp[OES],$C33),SUMIFS(Dermal_Exp[Central Tendency IADD (mg/kg-day)],Dermal_Exp[Worker Type],$D33,Dermal_Exp[OES],$C33))</f>
        <v>0</v>
      </c>
      <c r="M33" s="275">
        <f>IF($E33="High-End",SUMIFS(Dermal_Exp[High-End ADD (mg/kg-day)],Dermal_Exp[Worker Type],$D33,Dermal_Exp[OES],$C33),SUMIFS(Dermal_Exp[Central Tendency ADD (mg/kg-day)],Dermal_Exp[Worker Type],$D33,Dermal_Exp[OES],$C33))</f>
        <v>0</v>
      </c>
      <c r="N33" s="275">
        <f>IF($E33="High-End",SUMIFS(Dermal_Exp[High-End LADD (mg/kg-day)],Dermal_Exp[Worker Type],$D33,Dermal_Exp[OES],$C33),SUMIFS(Dermal_Exp[Central Tendency LADD (mg/kg-day)],Dermal_Exp[Worker Type],$D33,Dermal_Exp[OES],$C33))</f>
        <v>0</v>
      </c>
      <c r="O33" s="275">
        <f t="shared" si="5"/>
        <v>6.2500000000000003E-3</v>
      </c>
      <c r="P33" s="275">
        <f t="shared" si="2"/>
        <v>4.5833333333333334E-3</v>
      </c>
      <c r="Q33" s="275">
        <f t="shared" si="3"/>
        <v>4.2808219178082189E-3</v>
      </c>
      <c r="R33" s="295">
        <f t="shared" si="4"/>
        <v>2.1952932911837022E-3</v>
      </c>
      <c r="AF33" s="12"/>
      <c r="AG33" s="12"/>
      <c r="AH33" s="12"/>
      <c r="AI33" s="12"/>
      <c r="AJ33" s="12"/>
      <c r="AK33" s="12"/>
      <c r="AL33" s="12"/>
    </row>
    <row r="34" spans="3:38" x14ac:dyDescent="0.35">
      <c r="C34" s="392" t="str" cm="1">
        <f t="array" ref="C34">INDEX('List Values'!$B$2:$B$20,(1+ROUNDDOWN((ROW()-ROW($C$5))*1/6,2)))</f>
        <v>Incorporation into Adhesives and Sealants (Liquid)</v>
      </c>
      <c r="D34" s="307" t="s">
        <v>94</v>
      </c>
      <c r="E34" s="374" t="s">
        <v>93</v>
      </c>
      <c r="F34" s="393" t="s">
        <v>218</v>
      </c>
      <c r="G34" s="395">
        <f>IF(E34="High-End",SUMIFS(Inhalation_Exp[24hr_High-End],Inhalation_Exp[OES],$C34,Inhalation_Exp[Worker Type],$D34),SUMIFS(Inhalation_Exp[24hr_Central Tendency],Inhalation_Exp[OES],$C34,Inhalation_Exp[Worker Type],$D34))</f>
        <v>6.2500000000000003E-3</v>
      </c>
      <c r="H34" s="205">
        <f>IF(E34="High-End",SUMIFS(Inhalation_Exp[Int_High-End],Inhalation_Exp[OES],$C34,Inhalation_Exp[Worker Type],$D34),SUMIFS(Inhalation_Exp[Int_Central Tendency],Inhalation_Exp[OES],$C34,Inhalation_Exp[Worker Type],$D34))</f>
        <v>4.5833333333333334E-3</v>
      </c>
      <c r="I34" s="205">
        <f>IF(E34="High-End",SUMIFS(Inhalation_Exp[ADD_High-End],Inhalation_Exp[OES],$C34,Inhalation_Exp[Worker Type],$D34),SUMIFS(Inhalation_Exp[ADD_Central Tendency],Inhalation_Exp[OES],$C34,Inhalation_Exp[Worker Type],$D34))</f>
        <v>4.2808219178082189E-3</v>
      </c>
      <c r="J34" s="205">
        <f>IF(E34="High-End",SUMIFS(Inhalation_Exp[LADD_High-End],Inhalation_Exp[OES],$C34,Inhalation_Exp[Worker Type],$D34),SUMIFS(Inhalation_Exp[LADD_Central Tendency],Inhalation_Exp[OES],$C34,Inhalation_Exp[Worker Type],$D34))</f>
        <v>1.7013523006673692E-3</v>
      </c>
      <c r="K34" s="275">
        <f>IF($E34="High-End",SUMIFS(Dermal_Exp[High-End AD (mg/kg-day)],Dermal_Exp[Worker Type],$D34,Dermal_Exp[OES],$C34),SUMIFS(Dermal_Exp[Central Tendency AD (mg/kg-day)],Dermal_Exp[Worker Type],$D34,Dermal_Exp[OES],$C34))</f>
        <v>0</v>
      </c>
      <c r="L34" s="275">
        <f>IF($E34="High-End",SUMIFS(Dermal_Exp[High-End IADD (mg/kg-day)],Dermal_Exp[Worker Type],$D34,Dermal_Exp[OES],$C34),SUMIFS(Dermal_Exp[Central Tendency IADD (mg/kg-day)],Dermal_Exp[Worker Type],$D34,Dermal_Exp[OES],$C34))</f>
        <v>0</v>
      </c>
      <c r="M34" s="275">
        <f>IF($E34="High-End",SUMIFS(Dermal_Exp[High-End ADD (mg/kg-day)],Dermal_Exp[Worker Type],$D34,Dermal_Exp[OES],$C34),SUMIFS(Dermal_Exp[Central Tendency ADD (mg/kg-day)],Dermal_Exp[Worker Type],$D34,Dermal_Exp[OES],$C34))</f>
        <v>0</v>
      </c>
      <c r="N34" s="275">
        <f>IF($E34="High-End",SUMIFS(Dermal_Exp[High-End LADD (mg/kg-day)],Dermal_Exp[Worker Type],$D34,Dermal_Exp[OES],$C34),SUMIFS(Dermal_Exp[Central Tendency LADD (mg/kg-day)],Dermal_Exp[Worker Type],$D34,Dermal_Exp[OES],$C34))</f>
        <v>0</v>
      </c>
      <c r="O34" s="275">
        <f t="shared" si="5"/>
        <v>6.2500000000000003E-3</v>
      </c>
      <c r="P34" s="275">
        <f t="shared" si="2"/>
        <v>4.5833333333333334E-3</v>
      </c>
      <c r="Q34" s="275">
        <f t="shared" si="3"/>
        <v>4.2808219178082189E-3</v>
      </c>
      <c r="R34" s="295">
        <f t="shared" si="4"/>
        <v>1.7013523006673692E-3</v>
      </c>
      <c r="AF34" s="12"/>
      <c r="AG34" s="12"/>
      <c r="AH34" s="12"/>
      <c r="AI34" s="12"/>
      <c r="AJ34" s="12"/>
      <c r="AK34" s="12"/>
      <c r="AL34" s="12"/>
    </row>
    <row r="35" spans="3:38" x14ac:dyDescent="0.35">
      <c r="C35" s="392" t="str" cm="1">
        <f t="array" ref="C35">INDEX('List Values'!$B$2:$B$20,(1+ROUNDDOWN((ROW()-ROW($C$5))*1/6,2)))</f>
        <v>Incorporation into Paints and Coatings (Liquid)</v>
      </c>
      <c r="D35" s="307" t="s">
        <v>214</v>
      </c>
      <c r="E35" s="374" t="s">
        <v>92</v>
      </c>
      <c r="F35" s="393" t="s">
        <v>218</v>
      </c>
      <c r="G35" s="395">
        <f>IF(E35="High-End",SUMIFS(Inhalation_Exp[24hr_High-End],Inhalation_Exp[OES],$C35,Inhalation_Exp[Worker Type],$D35),SUMIFS(Inhalation_Exp[24hr_Central Tendency],Inhalation_Exp[OES],$C35,Inhalation_Exp[Worker Type],$D35))</f>
        <v>1.2500000000000001E-2</v>
      </c>
      <c r="H35" s="205">
        <f>IF(E35="High-End",SUMIFS(Inhalation_Exp[Int_High-End],Inhalation_Exp[OES],$C35,Inhalation_Exp[Worker Type],$D35),SUMIFS(Inhalation_Exp[Int_Central Tendency],Inhalation_Exp[OES],$C35,Inhalation_Exp[Worker Type],$D35))</f>
        <v>9.1666666666666667E-3</v>
      </c>
      <c r="I35" s="205">
        <f>IF(E35="High-End",SUMIFS(Inhalation_Exp[ADD_High-End],Inhalation_Exp[OES],$C35,Inhalation_Exp[Worker Type],$D35),SUMIFS(Inhalation_Exp[ADD_Central Tendency],Inhalation_Exp[OES],$C35,Inhalation_Exp[Worker Type],$D35))</f>
        <v>8.5616438356164379E-3</v>
      </c>
      <c r="J35" s="205">
        <f>IF(E35="High-End",SUMIFS(Inhalation_Exp[LADD_High-End],Inhalation_Exp[OES],$C35,Inhalation_Exp[Worker Type],$D35),SUMIFS(Inhalation_Exp[LADD_Central Tendency],Inhalation_Exp[OES],$C35,Inhalation_Exp[Worker Type],$D35))</f>
        <v>4.3905865823674044E-3</v>
      </c>
      <c r="K35" s="275">
        <f>IF($E35="High-End",SUMIFS(Dermal_Exp[High-End AD (mg/kg-day)],Dermal_Exp[Worker Type],$D35,Dermal_Exp[OES],$C35),SUMIFS(Dermal_Exp[Central Tendency AD (mg/kg-day)],Dermal_Exp[Worker Type],$D35,Dermal_Exp[OES],$C35))</f>
        <v>6.6339999999999996E-2</v>
      </c>
      <c r="L35" s="275">
        <f>IF($E35="High-End",SUMIFS(Dermal_Exp[High-End IADD (mg/kg-day)],Dermal_Exp[Worker Type],$D35,Dermal_Exp[OES],$C35),SUMIFS(Dermal_Exp[Central Tendency IADD (mg/kg-day)],Dermal_Exp[Worker Type],$D35,Dermal_Exp[OES],$C35))</f>
        <v>4.8649333333333329E-2</v>
      </c>
      <c r="M35" s="275">
        <f>IF($E35="High-End",SUMIFS(Dermal_Exp[High-End ADD (mg/kg-day)],Dermal_Exp[Worker Type],$D35,Dermal_Exp[OES],$C35),SUMIFS(Dermal_Exp[Central Tendency ADD (mg/kg-day)],Dermal_Exp[Worker Type],$D35,Dermal_Exp[OES],$C35))</f>
        <v>4.5438356164383555E-2</v>
      </c>
      <c r="N35" s="275">
        <f>IF($E35="High-End",SUMIFS(Dermal_Exp[High-End LADD (mg/kg-day)],Dermal_Exp[Worker Type],$D35,Dermal_Exp[OES],$C35),SUMIFS(Dermal_Exp[Central Tendency LADD (mg/kg-day)],Dermal_Exp[Worker Type],$D35,Dermal_Exp[OES],$C35))</f>
        <v>2.3301721109940284E-2</v>
      </c>
      <c r="O35" s="275">
        <f t="shared" si="5"/>
        <v>7.8839999999999993E-2</v>
      </c>
      <c r="P35" s="275">
        <f t="shared" si="2"/>
        <v>5.7815999999999992E-2</v>
      </c>
      <c r="Q35" s="275">
        <f t="shared" si="3"/>
        <v>5.3999999999999992E-2</v>
      </c>
      <c r="R35" s="295">
        <f t="shared" si="4"/>
        <v>2.769230769230769E-2</v>
      </c>
      <c r="AF35" s="12"/>
      <c r="AG35" s="12"/>
      <c r="AH35" s="12"/>
      <c r="AI35" s="12"/>
      <c r="AJ35" s="12"/>
      <c r="AK35" s="12"/>
      <c r="AL35" s="12"/>
    </row>
    <row r="36" spans="3:38" x14ac:dyDescent="0.35">
      <c r="C36" s="392" t="str" cm="1">
        <f t="array" ref="C36">INDEX('List Values'!$B$2:$B$20,(1+ROUNDDOWN((ROW()-ROW($C$5))*1/6,2)))</f>
        <v>Incorporation into Paints and Coatings (Liquid)</v>
      </c>
      <c r="D36" s="307" t="s">
        <v>214</v>
      </c>
      <c r="E36" s="374" t="s">
        <v>93</v>
      </c>
      <c r="F36" s="393" t="s">
        <v>218</v>
      </c>
      <c r="G36" s="395">
        <f>IF(E36="High-End",SUMIFS(Inhalation_Exp[24hr_High-End],Inhalation_Exp[OES],$C36,Inhalation_Exp[Worker Type],$D36),SUMIFS(Inhalation_Exp[24hr_Central Tendency],Inhalation_Exp[OES],$C36,Inhalation_Exp[Worker Type],$D36))</f>
        <v>6.2500000000000003E-3</v>
      </c>
      <c r="H36" s="205">
        <f>IF(E36="High-End",SUMIFS(Inhalation_Exp[Int_High-End],Inhalation_Exp[OES],$C36,Inhalation_Exp[Worker Type],$D36),SUMIFS(Inhalation_Exp[Int_Central Tendency],Inhalation_Exp[OES],$C36,Inhalation_Exp[Worker Type],$D36))</f>
        <v>4.5833333333333334E-3</v>
      </c>
      <c r="I36" s="205">
        <f>IF(E36="High-End",SUMIFS(Inhalation_Exp[ADD_High-End],Inhalation_Exp[OES],$C36,Inhalation_Exp[Worker Type],$D36),SUMIFS(Inhalation_Exp[ADD_Central Tendency],Inhalation_Exp[OES],$C36,Inhalation_Exp[Worker Type],$D36))</f>
        <v>4.2808219178082189E-3</v>
      </c>
      <c r="J36" s="205">
        <f>IF(E36="High-End",SUMIFS(Inhalation_Exp[LADD_High-End],Inhalation_Exp[OES],$C36,Inhalation_Exp[Worker Type],$D36),SUMIFS(Inhalation_Exp[LADD_Central Tendency],Inhalation_Exp[OES],$C36,Inhalation_Exp[Worker Type],$D36))</f>
        <v>1.7013523006673692E-3</v>
      </c>
      <c r="K36" s="275">
        <f>IF($E36="High-End",SUMIFS(Dermal_Exp[High-End AD (mg/kg-day)],Dermal_Exp[Worker Type],$D36,Dermal_Exp[OES],$C36),SUMIFS(Dermal_Exp[Central Tendency AD (mg/kg-day)],Dermal_Exp[Worker Type],$D36,Dermal_Exp[OES],$C36))</f>
        <v>3.3169999999999998E-2</v>
      </c>
      <c r="L36" s="275">
        <f>IF($E36="High-End",SUMIFS(Dermal_Exp[High-End IADD (mg/kg-day)],Dermal_Exp[Worker Type],$D36,Dermal_Exp[OES],$C36),SUMIFS(Dermal_Exp[Central Tendency IADD (mg/kg-day)],Dermal_Exp[Worker Type],$D36,Dermal_Exp[OES],$C36))</f>
        <v>2.4324666666666665E-2</v>
      </c>
      <c r="M36" s="275">
        <f>IF($E36="High-End",SUMIFS(Dermal_Exp[High-End ADD (mg/kg-day)],Dermal_Exp[Worker Type],$D36,Dermal_Exp[OES],$C36),SUMIFS(Dermal_Exp[Central Tendency ADD (mg/kg-day)],Dermal_Exp[Worker Type],$D36,Dermal_Exp[OES],$C36))</f>
        <v>2.2719178082191774E-2</v>
      </c>
      <c r="N36" s="275">
        <f>IF($E36="High-End",SUMIFS(Dermal_Exp[High-End LADD (mg/kg-day)],Dermal_Exp[Worker Type],$D36,Dermal_Exp[OES],$C36),SUMIFS(Dermal_Exp[Central Tendency LADD (mg/kg-day)],Dermal_Exp[Worker Type],$D36,Dermal_Exp[OES],$C36))</f>
        <v>9.0294169301018603E-3</v>
      </c>
      <c r="O36" s="275">
        <f t="shared" si="5"/>
        <v>3.9419999999999997E-2</v>
      </c>
      <c r="P36" s="275">
        <f t="shared" si="2"/>
        <v>2.8907999999999996E-2</v>
      </c>
      <c r="Q36" s="275">
        <f t="shared" si="3"/>
        <v>2.6999999999999993E-2</v>
      </c>
      <c r="R36" s="295">
        <f t="shared" si="4"/>
        <v>1.0730769230769229E-2</v>
      </c>
      <c r="AF36" s="12"/>
      <c r="AG36" s="12"/>
      <c r="AH36" s="12"/>
      <c r="AI36" s="12"/>
      <c r="AJ36" s="12"/>
      <c r="AK36" s="12"/>
      <c r="AL36" s="12"/>
    </row>
    <row r="37" spans="3:38" x14ac:dyDescent="0.35">
      <c r="C37" s="392" t="str" cm="1">
        <f t="array" ref="C37">INDEX('List Values'!$B$2:$B$20,(1+ROUNDDOWN((ROW()-ROW($C$5))*1/6,2)))</f>
        <v>Incorporation into Paints and Coatings (Liquid)</v>
      </c>
      <c r="D37" s="307" t="s">
        <v>74</v>
      </c>
      <c r="E37" s="374" t="s">
        <v>92</v>
      </c>
      <c r="F37" s="393" t="s">
        <v>218</v>
      </c>
      <c r="G37" s="395">
        <f>IF(E37="High-End",SUMIFS(Inhalation_Exp[24hr_High-End],Inhalation_Exp[OES],$C37,Inhalation_Exp[Worker Type],$D37),SUMIFS(Inhalation_Exp[24hr_Central Tendency],Inhalation_Exp[OES],$C37,Inhalation_Exp[Worker Type],$D37))</f>
        <v>1.3807386952019328E-2</v>
      </c>
      <c r="H37" s="205">
        <f>IF(E37="High-End",SUMIFS(Inhalation_Exp[Int_High-End],Inhalation_Exp[OES],$C37,Inhalation_Exp[Worker Type],$D37),SUMIFS(Inhalation_Exp[Int_Central Tendency],Inhalation_Exp[OES],$C37,Inhalation_Exp[Worker Type],$D37))</f>
        <v>1.0125417098147507E-2</v>
      </c>
      <c r="I37" s="205">
        <f>IF(E37="High-End",SUMIFS(Inhalation_Exp[ADD_High-End],Inhalation_Exp[OES],$C37,Inhalation_Exp[Worker Type],$D37),SUMIFS(Inhalation_Exp[ADD_Central Tendency],Inhalation_Exp[OES],$C37,Inhalation_Exp[Worker Type],$D37))</f>
        <v>9.457114350698171E-3</v>
      </c>
      <c r="J37" s="205">
        <f>IF(E37="High-End",SUMIFS(Inhalation_Exp[LADD_High-End],Inhalation_Exp[OES],$C37,Inhalation_Exp[Worker Type],$D37),SUMIFS(Inhalation_Exp[LADD_Central Tendency],Inhalation_Exp[OES],$C37,Inhalation_Exp[Worker Type],$D37))</f>
        <v>4.8498022311272669E-3</v>
      </c>
      <c r="K37" s="275">
        <f>IF($E37="High-End",SUMIFS(Dermal_Exp[High-End AD (mg/kg-day)],Dermal_Exp[Worker Type],$D37,Dermal_Exp[OES],$C37),SUMIFS(Dermal_Exp[Central Tendency AD (mg/kg-day)],Dermal_Exp[Worker Type],$D37,Dermal_Exp[OES],$C37))</f>
        <v>6.0972375690607726E-2</v>
      </c>
      <c r="L37" s="275">
        <f>IF($E37="High-End",SUMIFS(Dermal_Exp[High-End IADD (mg/kg-day)],Dermal_Exp[Worker Type],$D37,Dermal_Exp[OES],$C37),SUMIFS(Dermal_Exp[Central Tendency IADD (mg/kg-day)],Dermal_Exp[Worker Type],$D37,Dermal_Exp[OES],$C37))</f>
        <v>4.4713075506445668E-2</v>
      </c>
      <c r="M37" s="275">
        <f>IF($E37="High-End",SUMIFS(Dermal_Exp[High-End ADD (mg/kg-day)],Dermal_Exp[Worker Type],$D37,Dermal_Exp[OES],$C37),SUMIFS(Dermal_Exp[Central Tendency ADD (mg/kg-day)],Dermal_Exp[Worker Type],$D37,Dermal_Exp[OES],$C37))</f>
        <v>4.1761901157950497E-2</v>
      </c>
      <c r="N37" s="275">
        <f>IF($E37="High-End",SUMIFS(Dermal_Exp[High-End LADD (mg/kg-day)],Dermal_Exp[Worker Type],$D37,Dermal_Exp[OES],$C37),SUMIFS(Dermal_Exp[Central Tendency LADD (mg/kg-day)],Dermal_Exp[Worker Type],$D37,Dermal_Exp[OES],$C37))</f>
        <v>2.1416359568179742E-2</v>
      </c>
      <c r="O37" s="275">
        <f t="shared" si="5"/>
        <v>7.4779762642627048E-2</v>
      </c>
      <c r="P37" s="275">
        <f t="shared" si="2"/>
        <v>5.4838492604593177E-2</v>
      </c>
      <c r="Q37" s="275">
        <f t="shared" si="3"/>
        <v>5.1219015508648671E-2</v>
      </c>
      <c r="R37" s="295">
        <f t="shared" si="4"/>
        <v>2.6266161799307009E-2</v>
      </c>
      <c r="AF37" s="12"/>
      <c r="AG37" s="12"/>
      <c r="AH37" s="12"/>
      <c r="AI37" s="12"/>
      <c r="AJ37" s="12"/>
      <c r="AK37" s="12"/>
      <c r="AL37" s="12"/>
    </row>
    <row r="38" spans="3:38" x14ac:dyDescent="0.35">
      <c r="C38" s="392" t="str" cm="1">
        <f t="array" ref="C38">INDEX('List Values'!$B$2:$B$20,(1+ROUNDDOWN((ROW()-ROW($C$5))*1/6,2)))</f>
        <v>Incorporation into Paints and Coatings (Liquid)</v>
      </c>
      <c r="D38" s="307" t="s">
        <v>74</v>
      </c>
      <c r="E38" s="374" t="s">
        <v>93</v>
      </c>
      <c r="F38" s="393" t="s">
        <v>218</v>
      </c>
      <c r="G38" s="395">
        <f>IF(E38="High-End",SUMIFS(Inhalation_Exp[24hr_High-End],Inhalation_Exp[OES],$C38,Inhalation_Exp[Worker Type],$D38),SUMIFS(Inhalation_Exp[24hr_Central Tendency],Inhalation_Exp[OES],$C38,Inhalation_Exp[Worker Type],$D38))</f>
        <v>6.9036934760096638E-3</v>
      </c>
      <c r="H38" s="205">
        <f>IF(E38="High-End",SUMIFS(Inhalation_Exp[Int_High-End],Inhalation_Exp[OES],$C38,Inhalation_Exp[Worker Type],$D38),SUMIFS(Inhalation_Exp[Int_Central Tendency],Inhalation_Exp[OES],$C38,Inhalation_Exp[Worker Type],$D38))</f>
        <v>5.0627085490737534E-3</v>
      </c>
      <c r="I38" s="205">
        <f>IF(E38="High-End",SUMIFS(Inhalation_Exp[ADD_High-End],Inhalation_Exp[OES],$C38,Inhalation_Exp[Worker Type],$D38),SUMIFS(Inhalation_Exp[ADD_Central Tendency],Inhalation_Exp[OES],$C38,Inhalation_Exp[Worker Type],$D38))</f>
        <v>4.7285571753490855E-3</v>
      </c>
      <c r="J38" s="205">
        <f>IF(E38="High-End",SUMIFS(Inhalation_Exp[LADD_High-End],Inhalation_Exp[OES],$C38,Inhalation_Exp[Worker Type],$D38),SUMIFS(Inhalation_Exp[LADD_Central Tendency],Inhalation_Exp[OES],$C38,Inhalation_Exp[Worker Type],$D38))</f>
        <v>1.8792983645618158E-3</v>
      </c>
      <c r="K38" s="275">
        <f>IF($E38="High-End",SUMIFS(Dermal_Exp[High-End AD (mg/kg-day)],Dermal_Exp[Worker Type],$D38,Dermal_Exp[OES],$C38),SUMIFS(Dermal_Exp[Central Tendency AD (mg/kg-day)],Dermal_Exp[Worker Type],$D38,Dermal_Exp[OES],$C38))</f>
        <v>3.0486187845303863E-2</v>
      </c>
      <c r="L38" s="275">
        <f>IF($E38="High-End",SUMIFS(Dermal_Exp[High-End IADD (mg/kg-day)],Dermal_Exp[Worker Type],$D38,Dermal_Exp[OES],$C38),SUMIFS(Dermal_Exp[Central Tendency IADD (mg/kg-day)],Dermal_Exp[Worker Type],$D38,Dermal_Exp[OES],$C38))</f>
        <v>2.2356537753222834E-2</v>
      </c>
      <c r="M38" s="275">
        <f>IF($E38="High-End",SUMIFS(Dermal_Exp[High-End ADD (mg/kg-day)],Dermal_Exp[Worker Type],$D38,Dermal_Exp[OES],$C38),SUMIFS(Dermal_Exp[Central Tendency ADD (mg/kg-day)],Dermal_Exp[Worker Type],$D38,Dermal_Exp[OES],$C38))</f>
        <v>2.0880950578975249E-2</v>
      </c>
      <c r="N38" s="275">
        <f>IF($E38="High-End",SUMIFS(Dermal_Exp[High-End LADD (mg/kg-day)],Dermal_Exp[Worker Type],$D38,Dermal_Exp[OES],$C38),SUMIFS(Dermal_Exp[Central Tendency LADD (mg/kg-day)],Dermal_Exp[Worker Type],$D38,Dermal_Exp[OES],$C38))</f>
        <v>8.2988393326696493E-3</v>
      </c>
      <c r="O38" s="275">
        <f t="shared" si="5"/>
        <v>3.7389881321313524E-2</v>
      </c>
      <c r="P38" s="275">
        <f t="shared" si="2"/>
        <v>2.7419246302296588E-2</v>
      </c>
      <c r="Q38" s="275">
        <f t="shared" si="3"/>
        <v>2.5609507754324336E-2</v>
      </c>
      <c r="R38" s="295">
        <f t="shared" si="4"/>
        <v>1.0178137697231466E-2</v>
      </c>
      <c r="AF38" s="12"/>
      <c r="AG38" s="12"/>
      <c r="AH38" s="12"/>
      <c r="AI38" s="12"/>
      <c r="AJ38" s="12"/>
      <c r="AK38" s="12"/>
      <c r="AL38" s="12"/>
    </row>
    <row r="39" spans="3:38" x14ac:dyDescent="0.35">
      <c r="C39" s="392" t="str" cm="1">
        <f t="array" ref="C39">INDEX('List Values'!$B$2:$B$20,(1+ROUNDDOWN((ROW()-ROW($C$5))*1/6,2)))</f>
        <v>Incorporation into Paints and Coatings (Liquid)</v>
      </c>
      <c r="D39" s="307" t="s">
        <v>94</v>
      </c>
      <c r="E39" s="374" t="s">
        <v>92</v>
      </c>
      <c r="F39" s="393" t="s">
        <v>218</v>
      </c>
      <c r="G39" s="395">
        <f>IF(E39="High-End",SUMIFS(Inhalation_Exp[24hr_High-End],Inhalation_Exp[OES],$C39,Inhalation_Exp[Worker Type],$D39),SUMIFS(Inhalation_Exp[24hr_Central Tendency],Inhalation_Exp[OES],$C39,Inhalation_Exp[Worker Type],$D39))</f>
        <v>6.2500000000000003E-3</v>
      </c>
      <c r="H39" s="205">
        <f>IF(E39="High-End",SUMIFS(Inhalation_Exp[Int_High-End],Inhalation_Exp[OES],$C39,Inhalation_Exp[Worker Type],$D39),SUMIFS(Inhalation_Exp[Int_Central Tendency],Inhalation_Exp[OES],$C39,Inhalation_Exp[Worker Type],$D39))</f>
        <v>4.5833333333333334E-3</v>
      </c>
      <c r="I39" s="205">
        <f>IF(E39="High-End",SUMIFS(Inhalation_Exp[ADD_High-End],Inhalation_Exp[OES],$C39,Inhalation_Exp[Worker Type],$D39),SUMIFS(Inhalation_Exp[ADD_Central Tendency],Inhalation_Exp[OES],$C39,Inhalation_Exp[Worker Type],$D39))</f>
        <v>4.2808219178082189E-3</v>
      </c>
      <c r="J39" s="205">
        <f>IF(E39="High-End",SUMIFS(Inhalation_Exp[LADD_High-End],Inhalation_Exp[OES],$C39,Inhalation_Exp[Worker Type],$D39),SUMIFS(Inhalation_Exp[LADD_Central Tendency],Inhalation_Exp[OES],$C39,Inhalation_Exp[Worker Type],$D39))</f>
        <v>2.1952932911837022E-3</v>
      </c>
      <c r="K39" s="275">
        <f>IF($E39="High-End",SUMIFS(Dermal_Exp[High-End AD (mg/kg-day)],Dermal_Exp[Worker Type],$D39,Dermal_Exp[OES],$C39),SUMIFS(Dermal_Exp[Central Tendency AD (mg/kg-day)],Dermal_Exp[Worker Type],$D39,Dermal_Exp[OES],$C39))</f>
        <v>0</v>
      </c>
      <c r="L39" s="275">
        <f>IF($E39="High-End",SUMIFS(Dermal_Exp[High-End IADD (mg/kg-day)],Dermal_Exp[Worker Type],$D39,Dermal_Exp[OES],$C39),SUMIFS(Dermal_Exp[Central Tendency IADD (mg/kg-day)],Dermal_Exp[Worker Type],$D39,Dermal_Exp[OES],$C39))</f>
        <v>0</v>
      </c>
      <c r="M39" s="275">
        <f>IF($E39="High-End",SUMIFS(Dermal_Exp[High-End ADD (mg/kg-day)],Dermal_Exp[Worker Type],$D39,Dermal_Exp[OES],$C39),SUMIFS(Dermal_Exp[Central Tendency ADD (mg/kg-day)],Dermal_Exp[Worker Type],$D39,Dermal_Exp[OES],$C39))</f>
        <v>0</v>
      </c>
      <c r="N39" s="275">
        <f>IF($E39="High-End",SUMIFS(Dermal_Exp[High-End LADD (mg/kg-day)],Dermal_Exp[Worker Type],$D39,Dermal_Exp[OES],$C39),SUMIFS(Dermal_Exp[Central Tendency LADD (mg/kg-day)],Dermal_Exp[Worker Type],$D39,Dermal_Exp[OES],$C39))</f>
        <v>0</v>
      </c>
      <c r="O39" s="275">
        <f t="shared" si="5"/>
        <v>6.2500000000000003E-3</v>
      </c>
      <c r="P39" s="275">
        <f t="shared" si="2"/>
        <v>4.5833333333333334E-3</v>
      </c>
      <c r="Q39" s="275">
        <f t="shared" si="3"/>
        <v>4.2808219178082189E-3</v>
      </c>
      <c r="R39" s="295">
        <f t="shared" si="4"/>
        <v>2.1952932911837022E-3</v>
      </c>
      <c r="AF39" s="12"/>
      <c r="AG39" s="12"/>
      <c r="AH39" s="12"/>
      <c r="AI39" s="12"/>
      <c r="AJ39" s="12"/>
      <c r="AK39" s="12"/>
      <c r="AL39" s="12"/>
    </row>
    <row r="40" spans="3:38" x14ac:dyDescent="0.35">
      <c r="C40" s="392" t="str" cm="1">
        <f t="array" ref="C40">INDEX('List Values'!$B$2:$B$20,(1+ROUNDDOWN((ROW()-ROW($C$5))*1/6,2)))</f>
        <v>Incorporation into Paints and Coatings (Liquid)</v>
      </c>
      <c r="D40" s="307" t="s">
        <v>94</v>
      </c>
      <c r="E40" s="374" t="s">
        <v>93</v>
      </c>
      <c r="F40" s="393" t="s">
        <v>218</v>
      </c>
      <c r="G40" s="395">
        <f>IF(E40="High-End",SUMIFS(Inhalation_Exp[24hr_High-End],Inhalation_Exp[OES],$C40,Inhalation_Exp[Worker Type],$D40),SUMIFS(Inhalation_Exp[24hr_Central Tendency],Inhalation_Exp[OES],$C40,Inhalation_Exp[Worker Type],$D40))</f>
        <v>6.2500000000000003E-3</v>
      </c>
      <c r="H40" s="205">
        <f>IF(E40="High-End",SUMIFS(Inhalation_Exp[Int_High-End],Inhalation_Exp[OES],$C40,Inhalation_Exp[Worker Type],$D40),SUMIFS(Inhalation_Exp[Int_Central Tendency],Inhalation_Exp[OES],$C40,Inhalation_Exp[Worker Type],$D40))</f>
        <v>4.5833333333333334E-3</v>
      </c>
      <c r="I40" s="205">
        <f>IF(E40="High-End",SUMIFS(Inhalation_Exp[ADD_High-End],Inhalation_Exp[OES],$C40,Inhalation_Exp[Worker Type],$D40),SUMIFS(Inhalation_Exp[ADD_Central Tendency],Inhalation_Exp[OES],$C40,Inhalation_Exp[Worker Type],$D40))</f>
        <v>4.2808219178082189E-3</v>
      </c>
      <c r="J40" s="205">
        <f>IF(E40="High-End",SUMIFS(Inhalation_Exp[LADD_High-End],Inhalation_Exp[OES],$C40,Inhalation_Exp[Worker Type],$D40),SUMIFS(Inhalation_Exp[LADD_Central Tendency],Inhalation_Exp[OES],$C40,Inhalation_Exp[Worker Type],$D40))</f>
        <v>1.7013523006673692E-3</v>
      </c>
      <c r="K40" s="275">
        <f>IF($E40="High-End",SUMIFS(Dermal_Exp[High-End AD (mg/kg-day)],Dermal_Exp[Worker Type],$D40,Dermal_Exp[OES],$C40),SUMIFS(Dermal_Exp[Central Tendency AD (mg/kg-day)],Dermal_Exp[Worker Type],$D40,Dermal_Exp[OES],$C40))</f>
        <v>0</v>
      </c>
      <c r="L40" s="275">
        <f>IF($E40="High-End",SUMIFS(Dermal_Exp[High-End IADD (mg/kg-day)],Dermal_Exp[Worker Type],$D40,Dermal_Exp[OES],$C40),SUMIFS(Dermal_Exp[Central Tendency IADD (mg/kg-day)],Dermal_Exp[Worker Type],$D40,Dermal_Exp[OES],$C40))</f>
        <v>0</v>
      </c>
      <c r="M40" s="275">
        <f>IF($E40="High-End",SUMIFS(Dermal_Exp[High-End ADD (mg/kg-day)],Dermal_Exp[Worker Type],$D40,Dermal_Exp[OES],$C40),SUMIFS(Dermal_Exp[Central Tendency ADD (mg/kg-day)],Dermal_Exp[Worker Type],$D40,Dermal_Exp[OES],$C40))</f>
        <v>0</v>
      </c>
      <c r="N40" s="275">
        <f>IF($E40="High-End",SUMIFS(Dermal_Exp[High-End LADD (mg/kg-day)],Dermal_Exp[Worker Type],$D40,Dermal_Exp[OES],$C40),SUMIFS(Dermal_Exp[Central Tendency LADD (mg/kg-day)],Dermal_Exp[Worker Type],$D40,Dermal_Exp[OES],$C40))</f>
        <v>0</v>
      </c>
      <c r="O40" s="275">
        <f t="shared" si="5"/>
        <v>6.2500000000000003E-3</v>
      </c>
      <c r="P40" s="275">
        <f t="shared" si="2"/>
        <v>4.5833333333333334E-3</v>
      </c>
      <c r="Q40" s="275">
        <f t="shared" si="3"/>
        <v>4.2808219178082189E-3</v>
      </c>
      <c r="R40" s="295">
        <f t="shared" si="4"/>
        <v>1.7013523006673692E-3</v>
      </c>
      <c r="AF40" s="12"/>
      <c r="AG40" s="12"/>
      <c r="AH40" s="12"/>
      <c r="AI40" s="12"/>
      <c r="AJ40" s="12"/>
      <c r="AK40" s="12"/>
      <c r="AL40" s="12"/>
    </row>
    <row r="41" spans="3:38" x14ac:dyDescent="0.35">
      <c r="C41" s="392" t="str" cm="1">
        <f t="array" ref="C41">INDEX('List Values'!$B$2:$B$20,(1+ROUNDDOWN((ROW()-ROW($C$5))*1/6,2)))</f>
        <v>Incorporation into Other Formulations, Mixtures, or Reaction Products (Liquid)</v>
      </c>
      <c r="D41" s="307" t="s">
        <v>214</v>
      </c>
      <c r="E41" s="374" t="s">
        <v>92</v>
      </c>
      <c r="F41" s="393" t="s">
        <v>218</v>
      </c>
      <c r="G41" s="395">
        <f>IF(E41="High-End",SUMIFS(Inhalation_Exp[24hr_High-End],Inhalation_Exp[OES],$C41,Inhalation_Exp[Worker Type],$D41),SUMIFS(Inhalation_Exp[24hr_Central Tendency],Inhalation_Exp[OES],$C41,Inhalation_Exp[Worker Type],$D41))</f>
        <v>1.2500000000000001E-2</v>
      </c>
      <c r="H41" s="205">
        <f>IF(E41="High-End",SUMIFS(Inhalation_Exp[Int_High-End],Inhalation_Exp[OES],$C41,Inhalation_Exp[Worker Type],$D41),SUMIFS(Inhalation_Exp[Int_Central Tendency],Inhalation_Exp[OES],$C41,Inhalation_Exp[Worker Type],$D41))</f>
        <v>9.1666666666666667E-3</v>
      </c>
      <c r="I41" s="205">
        <f>IF(E41="High-End",SUMIFS(Inhalation_Exp[ADD_High-End],Inhalation_Exp[OES],$C41,Inhalation_Exp[Worker Type],$D41),SUMIFS(Inhalation_Exp[ADD_Central Tendency],Inhalation_Exp[OES],$C41,Inhalation_Exp[Worker Type],$D41))</f>
        <v>8.5616438356164379E-3</v>
      </c>
      <c r="J41" s="205">
        <f>IF(E41="High-End",SUMIFS(Inhalation_Exp[LADD_High-End],Inhalation_Exp[OES],$C41,Inhalation_Exp[Worker Type],$D41),SUMIFS(Inhalation_Exp[LADD_Central Tendency],Inhalation_Exp[OES],$C41,Inhalation_Exp[Worker Type],$D41))</f>
        <v>4.3905865823674044E-3</v>
      </c>
      <c r="K41" s="275">
        <f>IF($E41="High-End",SUMIFS(Dermal_Exp[High-End AD (mg/kg-day)],Dermal_Exp[Worker Type],$D41,Dermal_Exp[OES],$C41),SUMIFS(Dermal_Exp[Central Tendency AD (mg/kg-day)],Dermal_Exp[Worker Type],$D41,Dermal_Exp[OES],$C41))</f>
        <v>6.6339999999999996E-2</v>
      </c>
      <c r="L41" s="275">
        <f>IF($E41="High-End",SUMIFS(Dermal_Exp[High-End IADD (mg/kg-day)],Dermal_Exp[Worker Type],$D41,Dermal_Exp[OES],$C41),SUMIFS(Dermal_Exp[Central Tendency IADD (mg/kg-day)],Dermal_Exp[Worker Type],$D41,Dermal_Exp[OES],$C41))</f>
        <v>4.8649333333333329E-2</v>
      </c>
      <c r="M41" s="275">
        <f>IF($E41="High-End",SUMIFS(Dermal_Exp[High-End ADD (mg/kg-day)],Dermal_Exp[Worker Type],$D41,Dermal_Exp[OES],$C41),SUMIFS(Dermal_Exp[Central Tendency ADD (mg/kg-day)],Dermal_Exp[Worker Type],$D41,Dermal_Exp[OES],$C41))</f>
        <v>4.5438356164383555E-2</v>
      </c>
      <c r="N41" s="275">
        <f>IF($E41="High-End",SUMIFS(Dermal_Exp[High-End LADD (mg/kg-day)],Dermal_Exp[Worker Type],$D41,Dermal_Exp[OES],$C41),SUMIFS(Dermal_Exp[Central Tendency LADD (mg/kg-day)],Dermal_Exp[Worker Type],$D41,Dermal_Exp[OES],$C41))</f>
        <v>2.3301721109940284E-2</v>
      </c>
      <c r="O41" s="275">
        <f t="shared" si="5"/>
        <v>7.8839999999999993E-2</v>
      </c>
      <c r="P41" s="275">
        <f t="shared" si="2"/>
        <v>5.7815999999999992E-2</v>
      </c>
      <c r="Q41" s="275">
        <f t="shared" si="3"/>
        <v>5.3999999999999992E-2</v>
      </c>
      <c r="R41" s="295">
        <f t="shared" si="4"/>
        <v>2.769230769230769E-2</v>
      </c>
      <c r="AF41" s="12"/>
      <c r="AG41" s="12"/>
      <c r="AH41" s="12"/>
      <c r="AI41" s="12"/>
      <c r="AJ41" s="12"/>
      <c r="AK41" s="12"/>
      <c r="AL41" s="12"/>
    </row>
    <row r="42" spans="3:38" x14ac:dyDescent="0.35">
      <c r="C42" s="392" t="str" cm="1">
        <f t="array" ref="C42">INDEX('List Values'!$B$2:$B$20,(1+ROUNDDOWN((ROW()-ROW($C$5))*1/6,2)))</f>
        <v>Incorporation into Other Formulations, Mixtures, or Reaction Products (Liquid)</v>
      </c>
      <c r="D42" s="307" t="s">
        <v>214</v>
      </c>
      <c r="E42" s="374" t="s">
        <v>93</v>
      </c>
      <c r="F42" s="393" t="s">
        <v>218</v>
      </c>
      <c r="G42" s="395">
        <f>IF(E42="High-End",SUMIFS(Inhalation_Exp[24hr_High-End],Inhalation_Exp[OES],$C42,Inhalation_Exp[Worker Type],$D42),SUMIFS(Inhalation_Exp[24hr_Central Tendency],Inhalation_Exp[OES],$C42,Inhalation_Exp[Worker Type],$D42))</f>
        <v>6.2500000000000003E-3</v>
      </c>
      <c r="H42" s="205">
        <f>IF(E42="High-End",SUMIFS(Inhalation_Exp[Int_High-End],Inhalation_Exp[OES],$C42,Inhalation_Exp[Worker Type],$D42),SUMIFS(Inhalation_Exp[Int_Central Tendency],Inhalation_Exp[OES],$C42,Inhalation_Exp[Worker Type],$D42))</f>
        <v>4.5833333333333334E-3</v>
      </c>
      <c r="I42" s="205">
        <f>IF(E42="High-End",SUMIFS(Inhalation_Exp[ADD_High-End],Inhalation_Exp[OES],$C42,Inhalation_Exp[Worker Type],$D42),SUMIFS(Inhalation_Exp[ADD_Central Tendency],Inhalation_Exp[OES],$C42,Inhalation_Exp[Worker Type],$D42))</f>
        <v>4.2808219178082189E-3</v>
      </c>
      <c r="J42" s="205">
        <f>IF(E42="High-End",SUMIFS(Inhalation_Exp[LADD_High-End],Inhalation_Exp[OES],$C42,Inhalation_Exp[Worker Type],$D42),SUMIFS(Inhalation_Exp[LADD_Central Tendency],Inhalation_Exp[OES],$C42,Inhalation_Exp[Worker Type],$D42))</f>
        <v>1.7013523006673692E-3</v>
      </c>
      <c r="K42" s="275">
        <f>IF($E42="High-End",SUMIFS(Dermal_Exp[High-End AD (mg/kg-day)],Dermal_Exp[Worker Type],$D42,Dermal_Exp[OES],$C42),SUMIFS(Dermal_Exp[Central Tendency AD (mg/kg-day)],Dermal_Exp[Worker Type],$D42,Dermal_Exp[OES],$C42))</f>
        <v>3.3169999999999998E-2</v>
      </c>
      <c r="L42" s="275">
        <f>IF($E42="High-End",SUMIFS(Dermal_Exp[High-End IADD (mg/kg-day)],Dermal_Exp[Worker Type],$D42,Dermal_Exp[OES],$C42),SUMIFS(Dermal_Exp[Central Tendency IADD (mg/kg-day)],Dermal_Exp[Worker Type],$D42,Dermal_Exp[OES],$C42))</f>
        <v>2.4324666666666665E-2</v>
      </c>
      <c r="M42" s="275">
        <f>IF($E42="High-End",SUMIFS(Dermal_Exp[High-End ADD (mg/kg-day)],Dermal_Exp[Worker Type],$D42,Dermal_Exp[OES],$C42),SUMIFS(Dermal_Exp[Central Tendency ADD (mg/kg-day)],Dermal_Exp[Worker Type],$D42,Dermal_Exp[OES],$C42))</f>
        <v>2.2719178082191774E-2</v>
      </c>
      <c r="N42" s="275">
        <f>IF($E42="High-End",SUMIFS(Dermal_Exp[High-End LADD (mg/kg-day)],Dermal_Exp[Worker Type],$D42,Dermal_Exp[OES],$C42),SUMIFS(Dermal_Exp[Central Tendency LADD (mg/kg-day)],Dermal_Exp[Worker Type],$D42,Dermal_Exp[OES],$C42))</f>
        <v>9.0294169301018603E-3</v>
      </c>
      <c r="O42" s="275">
        <f t="shared" si="5"/>
        <v>3.9419999999999997E-2</v>
      </c>
      <c r="P42" s="275">
        <f t="shared" si="2"/>
        <v>2.8907999999999996E-2</v>
      </c>
      <c r="Q42" s="275">
        <f t="shared" si="3"/>
        <v>2.6999999999999993E-2</v>
      </c>
      <c r="R42" s="295">
        <f t="shared" si="4"/>
        <v>1.0730769230769229E-2</v>
      </c>
      <c r="AF42" s="12"/>
      <c r="AG42" s="12"/>
      <c r="AH42" s="12"/>
      <c r="AI42" s="12"/>
      <c r="AJ42" s="12"/>
      <c r="AK42" s="12"/>
      <c r="AL42" s="12"/>
    </row>
    <row r="43" spans="3:38" x14ac:dyDescent="0.35">
      <c r="C43" s="392" t="str" cm="1">
        <f t="array" ref="C43">INDEX('List Values'!$B$2:$B$20,(1+ROUNDDOWN((ROW()-ROW($C$5))*1/6,2)))</f>
        <v>Incorporation into Other Formulations, Mixtures, or Reaction Products (Liquid)</v>
      </c>
      <c r="D43" s="307" t="s">
        <v>74</v>
      </c>
      <c r="E43" s="374" t="s">
        <v>92</v>
      </c>
      <c r="F43" s="393" t="s">
        <v>218</v>
      </c>
      <c r="G43" s="395">
        <f>IF(E43="High-End",SUMIFS(Inhalation_Exp[24hr_High-End],Inhalation_Exp[OES],$C43,Inhalation_Exp[Worker Type],$D43),SUMIFS(Inhalation_Exp[24hr_Central Tendency],Inhalation_Exp[OES],$C43,Inhalation_Exp[Worker Type],$D43))</f>
        <v>1.3807386952019328E-2</v>
      </c>
      <c r="H43" s="205">
        <f>IF(E43="High-End",SUMIFS(Inhalation_Exp[Int_High-End],Inhalation_Exp[OES],$C43,Inhalation_Exp[Worker Type],$D43),SUMIFS(Inhalation_Exp[Int_Central Tendency],Inhalation_Exp[OES],$C43,Inhalation_Exp[Worker Type],$D43))</f>
        <v>1.0125417098147507E-2</v>
      </c>
      <c r="I43" s="205">
        <f>IF(E43="High-End",SUMIFS(Inhalation_Exp[ADD_High-End],Inhalation_Exp[OES],$C43,Inhalation_Exp[Worker Type],$D43),SUMIFS(Inhalation_Exp[ADD_Central Tendency],Inhalation_Exp[OES],$C43,Inhalation_Exp[Worker Type],$D43))</f>
        <v>9.457114350698171E-3</v>
      </c>
      <c r="J43" s="205">
        <f>IF(E43="High-End",SUMIFS(Inhalation_Exp[LADD_High-End],Inhalation_Exp[OES],$C43,Inhalation_Exp[Worker Type],$D43),SUMIFS(Inhalation_Exp[LADD_Central Tendency],Inhalation_Exp[OES],$C43,Inhalation_Exp[Worker Type],$D43))</f>
        <v>4.8498022311272669E-3</v>
      </c>
      <c r="K43" s="275">
        <f>IF($E43="High-End",SUMIFS(Dermal_Exp[High-End AD (mg/kg-day)],Dermal_Exp[Worker Type],$D43,Dermal_Exp[OES],$C43),SUMIFS(Dermal_Exp[Central Tendency AD (mg/kg-day)],Dermal_Exp[Worker Type],$D43,Dermal_Exp[OES],$C43))</f>
        <v>6.0972375690607726E-2</v>
      </c>
      <c r="L43" s="275">
        <f>IF($E43="High-End",SUMIFS(Dermal_Exp[High-End IADD (mg/kg-day)],Dermal_Exp[Worker Type],$D43,Dermal_Exp[OES],$C43),SUMIFS(Dermal_Exp[Central Tendency IADD (mg/kg-day)],Dermal_Exp[Worker Type],$D43,Dermal_Exp[OES],$C43))</f>
        <v>4.4713075506445668E-2</v>
      </c>
      <c r="M43" s="275">
        <f>IF($E43="High-End",SUMIFS(Dermal_Exp[High-End ADD (mg/kg-day)],Dermal_Exp[Worker Type],$D43,Dermal_Exp[OES],$C43),SUMIFS(Dermal_Exp[Central Tendency ADD (mg/kg-day)],Dermal_Exp[Worker Type],$D43,Dermal_Exp[OES],$C43))</f>
        <v>4.1761901157950497E-2</v>
      </c>
      <c r="N43" s="275">
        <f>IF($E43="High-End",SUMIFS(Dermal_Exp[High-End LADD (mg/kg-day)],Dermal_Exp[Worker Type],$D43,Dermal_Exp[OES],$C43),SUMIFS(Dermal_Exp[Central Tendency LADD (mg/kg-day)],Dermal_Exp[Worker Type],$D43,Dermal_Exp[OES],$C43))</f>
        <v>2.1416359568179742E-2</v>
      </c>
      <c r="O43" s="275">
        <f t="shared" si="5"/>
        <v>7.4779762642627048E-2</v>
      </c>
      <c r="P43" s="275">
        <f t="shared" si="2"/>
        <v>5.4838492604593177E-2</v>
      </c>
      <c r="Q43" s="275">
        <f t="shared" si="3"/>
        <v>5.1219015508648671E-2</v>
      </c>
      <c r="R43" s="295">
        <f t="shared" si="4"/>
        <v>2.6266161799307009E-2</v>
      </c>
      <c r="AF43" s="12"/>
      <c r="AG43" s="12"/>
      <c r="AH43" s="12"/>
      <c r="AI43" s="12"/>
      <c r="AJ43" s="12"/>
      <c r="AK43" s="12"/>
      <c r="AL43" s="12"/>
    </row>
    <row r="44" spans="3:38" x14ac:dyDescent="0.35">
      <c r="C44" s="392" t="str" cm="1">
        <f t="array" ref="C44">INDEX('List Values'!$B$2:$B$20,(1+ROUNDDOWN((ROW()-ROW($C$5))*1/6,2)))</f>
        <v>Incorporation into Other Formulations, Mixtures, or Reaction Products (Liquid)</v>
      </c>
      <c r="D44" s="307" t="s">
        <v>74</v>
      </c>
      <c r="E44" s="374" t="s">
        <v>93</v>
      </c>
      <c r="F44" s="393" t="s">
        <v>218</v>
      </c>
      <c r="G44" s="395">
        <f>IF(E44="High-End",SUMIFS(Inhalation_Exp[24hr_High-End],Inhalation_Exp[OES],$C44,Inhalation_Exp[Worker Type],$D44),SUMIFS(Inhalation_Exp[24hr_Central Tendency],Inhalation_Exp[OES],$C44,Inhalation_Exp[Worker Type],$D44))</f>
        <v>6.9036934760096638E-3</v>
      </c>
      <c r="H44" s="205">
        <f>IF(E44="High-End",SUMIFS(Inhalation_Exp[Int_High-End],Inhalation_Exp[OES],$C44,Inhalation_Exp[Worker Type],$D44),SUMIFS(Inhalation_Exp[Int_Central Tendency],Inhalation_Exp[OES],$C44,Inhalation_Exp[Worker Type],$D44))</f>
        <v>5.0627085490737534E-3</v>
      </c>
      <c r="I44" s="205">
        <f>IF(E44="High-End",SUMIFS(Inhalation_Exp[ADD_High-End],Inhalation_Exp[OES],$C44,Inhalation_Exp[Worker Type],$D44),SUMIFS(Inhalation_Exp[ADD_Central Tendency],Inhalation_Exp[OES],$C44,Inhalation_Exp[Worker Type],$D44))</f>
        <v>4.7285571753490855E-3</v>
      </c>
      <c r="J44" s="205">
        <f>IF(E44="High-End",SUMIFS(Inhalation_Exp[LADD_High-End],Inhalation_Exp[OES],$C44,Inhalation_Exp[Worker Type],$D44),SUMIFS(Inhalation_Exp[LADD_Central Tendency],Inhalation_Exp[OES],$C44,Inhalation_Exp[Worker Type],$D44))</f>
        <v>1.8792983645618158E-3</v>
      </c>
      <c r="K44" s="275">
        <f>IF($E44="High-End",SUMIFS(Dermal_Exp[High-End AD (mg/kg-day)],Dermal_Exp[Worker Type],$D44,Dermal_Exp[OES],$C44),SUMIFS(Dermal_Exp[Central Tendency AD (mg/kg-day)],Dermal_Exp[Worker Type],$D44,Dermal_Exp[OES],$C44))</f>
        <v>3.0486187845303863E-2</v>
      </c>
      <c r="L44" s="275">
        <f>IF($E44="High-End",SUMIFS(Dermal_Exp[High-End IADD (mg/kg-day)],Dermal_Exp[Worker Type],$D44,Dermal_Exp[OES],$C44),SUMIFS(Dermal_Exp[Central Tendency IADD (mg/kg-day)],Dermal_Exp[Worker Type],$D44,Dermal_Exp[OES],$C44))</f>
        <v>2.2356537753222834E-2</v>
      </c>
      <c r="M44" s="275">
        <f>IF($E44="High-End",SUMIFS(Dermal_Exp[High-End ADD (mg/kg-day)],Dermal_Exp[Worker Type],$D44,Dermal_Exp[OES],$C44),SUMIFS(Dermal_Exp[Central Tendency ADD (mg/kg-day)],Dermal_Exp[Worker Type],$D44,Dermal_Exp[OES],$C44))</f>
        <v>2.0880950578975249E-2</v>
      </c>
      <c r="N44" s="275">
        <f>IF($E44="High-End",SUMIFS(Dermal_Exp[High-End LADD (mg/kg-day)],Dermal_Exp[Worker Type],$D44,Dermal_Exp[OES],$C44),SUMIFS(Dermal_Exp[Central Tendency LADD (mg/kg-day)],Dermal_Exp[Worker Type],$D44,Dermal_Exp[OES],$C44))</f>
        <v>8.2988393326696493E-3</v>
      </c>
      <c r="O44" s="275">
        <f t="shared" si="5"/>
        <v>3.7389881321313524E-2</v>
      </c>
      <c r="P44" s="275">
        <f t="shared" si="2"/>
        <v>2.7419246302296588E-2</v>
      </c>
      <c r="Q44" s="275">
        <f t="shared" si="3"/>
        <v>2.5609507754324336E-2</v>
      </c>
      <c r="R44" s="295">
        <f t="shared" si="4"/>
        <v>1.0178137697231466E-2</v>
      </c>
      <c r="AF44" s="12"/>
      <c r="AG44" s="12"/>
      <c r="AH44" s="12"/>
      <c r="AI44" s="12"/>
      <c r="AJ44" s="12"/>
      <c r="AK44" s="12"/>
      <c r="AL44" s="12"/>
    </row>
    <row r="45" spans="3:38" x14ac:dyDescent="0.35">
      <c r="C45" s="392" t="str" cm="1">
        <f t="array" ref="C45">INDEX('List Values'!$B$2:$B$20,(1+ROUNDDOWN((ROW()-ROW($C$5))*1/6,2)))</f>
        <v>Incorporation into Other Formulations, Mixtures, or Reaction Products (Liquid)</v>
      </c>
      <c r="D45" s="307" t="s">
        <v>94</v>
      </c>
      <c r="E45" s="374" t="s">
        <v>92</v>
      </c>
      <c r="F45" s="393" t="s">
        <v>218</v>
      </c>
      <c r="G45" s="395">
        <f>IF(E45="High-End",SUMIFS(Inhalation_Exp[24hr_High-End],Inhalation_Exp[OES],$C45,Inhalation_Exp[Worker Type],$D45),SUMIFS(Inhalation_Exp[24hr_Central Tendency],Inhalation_Exp[OES],$C45,Inhalation_Exp[Worker Type],$D45))</f>
        <v>6.2500000000000003E-3</v>
      </c>
      <c r="H45" s="205">
        <f>IF(E45="High-End",SUMIFS(Inhalation_Exp[Int_High-End],Inhalation_Exp[OES],$C45,Inhalation_Exp[Worker Type],$D45),SUMIFS(Inhalation_Exp[Int_Central Tendency],Inhalation_Exp[OES],$C45,Inhalation_Exp[Worker Type],$D45))</f>
        <v>4.5833333333333334E-3</v>
      </c>
      <c r="I45" s="205">
        <f>IF(E45="High-End",SUMIFS(Inhalation_Exp[ADD_High-End],Inhalation_Exp[OES],$C45,Inhalation_Exp[Worker Type],$D45),SUMIFS(Inhalation_Exp[ADD_Central Tendency],Inhalation_Exp[OES],$C45,Inhalation_Exp[Worker Type],$D45))</f>
        <v>4.2808219178082189E-3</v>
      </c>
      <c r="J45" s="205">
        <f>IF(E45="High-End",SUMIFS(Inhalation_Exp[LADD_High-End],Inhalation_Exp[OES],$C45,Inhalation_Exp[Worker Type],$D45),SUMIFS(Inhalation_Exp[LADD_Central Tendency],Inhalation_Exp[OES],$C45,Inhalation_Exp[Worker Type],$D45))</f>
        <v>2.1952932911837022E-3</v>
      </c>
      <c r="K45" s="275">
        <f>IF($E45="High-End",SUMIFS(Dermal_Exp[High-End AD (mg/kg-day)],Dermal_Exp[Worker Type],$D45,Dermal_Exp[OES],$C45),SUMIFS(Dermal_Exp[Central Tendency AD (mg/kg-day)],Dermal_Exp[Worker Type],$D45,Dermal_Exp[OES],$C45))</f>
        <v>0</v>
      </c>
      <c r="L45" s="275">
        <f>IF($E45="High-End",SUMIFS(Dermal_Exp[High-End IADD (mg/kg-day)],Dermal_Exp[Worker Type],$D45,Dermal_Exp[OES],$C45),SUMIFS(Dermal_Exp[Central Tendency IADD (mg/kg-day)],Dermal_Exp[Worker Type],$D45,Dermal_Exp[OES],$C45))</f>
        <v>0</v>
      </c>
      <c r="M45" s="275">
        <f>IF($E45="High-End",SUMIFS(Dermal_Exp[High-End ADD (mg/kg-day)],Dermal_Exp[Worker Type],$D45,Dermal_Exp[OES],$C45),SUMIFS(Dermal_Exp[Central Tendency ADD (mg/kg-day)],Dermal_Exp[Worker Type],$D45,Dermal_Exp[OES],$C45))</f>
        <v>0</v>
      </c>
      <c r="N45" s="275">
        <f>IF($E45="High-End",SUMIFS(Dermal_Exp[High-End LADD (mg/kg-day)],Dermal_Exp[Worker Type],$D45,Dermal_Exp[OES],$C45),SUMIFS(Dermal_Exp[Central Tendency LADD (mg/kg-day)],Dermal_Exp[Worker Type],$D45,Dermal_Exp[OES],$C45))</f>
        <v>0</v>
      </c>
      <c r="O45" s="275">
        <f t="shared" si="5"/>
        <v>6.2500000000000003E-3</v>
      </c>
      <c r="P45" s="275">
        <f t="shared" si="2"/>
        <v>4.5833333333333334E-3</v>
      </c>
      <c r="Q45" s="275">
        <f t="shared" si="3"/>
        <v>4.2808219178082189E-3</v>
      </c>
      <c r="R45" s="295">
        <f t="shared" si="4"/>
        <v>2.1952932911837022E-3</v>
      </c>
      <c r="AF45" s="12"/>
      <c r="AG45" s="12"/>
      <c r="AH45" s="12"/>
      <c r="AI45" s="12"/>
      <c r="AJ45" s="12"/>
      <c r="AK45" s="12"/>
      <c r="AL45" s="12"/>
    </row>
    <row r="46" spans="3:38" x14ac:dyDescent="0.35">
      <c r="C46" s="392" t="str" cm="1">
        <f t="array" ref="C46">INDEX('List Values'!$B$2:$B$20,(1+ROUNDDOWN((ROW()-ROW($C$5))*1/6,2)))</f>
        <v>Incorporation into Other Formulations, Mixtures, or Reaction Products (Liquid)</v>
      </c>
      <c r="D46" s="307" t="s">
        <v>94</v>
      </c>
      <c r="E46" s="374" t="s">
        <v>93</v>
      </c>
      <c r="F46" s="393" t="s">
        <v>218</v>
      </c>
      <c r="G46" s="395">
        <f>IF(E46="High-End",SUMIFS(Inhalation_Exp[24hr_High-End],Inhalation_Exp[OES],$C46,Inhalation_Exp[Worker Type],$D46),SUMIFS(Inhalation_Exp[24hr_Central Tendency],Inhalation_Exp[OES],$C46,Inhalation_Exp[Worker Type],$D46))</f>
        <v>6.2500000000000003E-3</v>
      </c>
      <c r="H46" s="205">
        <f>IF(E46="High-End",SUMIFS(Inhalation_Exp[Int_High-End],Inhalation_Exp[OES],$C46,Inhalation_Exp[Worker Type],$D46),SUMIFS(Inhalation_Exp[Int_Central Tendency],Inhalation_Exp[OES],$C46,Inhalation_Exp[Worker Type],$D46))</f>
        <v>4.5833333333333334E-3</v>
      </c>
      <c r="I46" s="205">
        <f>IF(E46="High-End",SUMIFS(Inhalation_Exp[ADD_High-End],Inhalation_Exp[OES],$C46,Inhalation_Exp[Worker Type],$D46),SUMIFS(Inhalation_Exp[ADD_Central Tendency],Inhalation_Exp[OES],$C46,Inhalation_Exp[Worker Type],$D46))</f>
        <v>4.2808219178082189E-3</v>
      </c>
      <c r="J46" s="205">
        <f>IF(E46="High-End",SUMIFS(Inhalation_Exp[LADD_High-End],Inhalation_Exp[OES],$C46,Inhalation_Exp[Worker Type],$D46),SUMIFS(Inhalation_Exp[LADD_Central Tendency],Inhalation_Exp[OES],$C46,Inhalation_Exp[Worker Type],$D46))</f>
        <v>1.7013523006673692E-3</v>
      </c>
      <c r="K46" s="275">
        <f>IF($E46="High-End",SUMIFS(Dermal_Exp[High-End AD (mg/kg-day)],Dermal_Exp[Worker Type],$D46,Dermal_Exp[OES],$C46),SUMIFS(Dermal_Exp[Central Tendency AD (mg/kg-day)],Dermal_Exp[Worker Type],$D46,Dermal_Exp[OES],$C46))</f>
        <v>0</v>
      </c>
      <c r="L46" s="275">
        <f>IF($E46="High-End",SUMIFS(Dermal_Exp[High-End IADD (mg/kg-day)],Dermal_Exp[Worker Type],$D46,Dermal_Exp[OES],$C46),SUMIFS(Dermal_Exp[Central Tendency IADD (mg/kg-day)],Dermal_Exp[Worker Type],$D46,Dermal_Exp[OES],$C46))</f>
        <v>0</v>
      </c>
      <c r="M46" s="275">
        <f>IF($E46="High-End",SUMIFS(Dermal_Exp[High-End ADD (mg/kg-day)],Dermal_Exp[Worker Type],$D46,Dermal_Exp[OES],$C46),SUMIFS(Dermal_Exp[Central Tendency ADD (mg/kg-day)],Dermal_Exp[Worker Type],$D46,Dermal_Exp[OES],$C46))</f>
        <v>0</v>
      </c>
      <c r="N46" s="275">
        <f>IF($E46="High-End",SUMIFS(Dermal_Exp[High-End LADD (mg/kg-day)],Dermal_Exp[Worker Type],$D46,Dermal_Exp[OES],$C46),SUMIFS(Dermal_Exp[Central Tendency LADD (mg/kg-day)],Dermal_Exp[Worker Type],$D46,Dermal_Exp[OES],$C46))</f>
        <v>0</v>
      </c>
      <c r="O46" s="275">
        <f t="shared" si="5"/>
        <v>6.2500000000000003E-3</v>
      </c>
      <c r="P46" s="275">
        <f t="shared" si="2"/>
        <v>4.5833333333333334E-3</v>
      </c>
      <c r="Q46" s="275">
        <f t="shared" si="3"/>
        <v>4.2808219178082189E-3</v>
      </c>
      <c r="R46" s="295">
        <f t="shared" si="4"/>
        <v>1.7013523006673692E-3</v>
      </c>
      <c r="AF46" s="12"/>
      <c r="AG46" s="12"/>
      <c r="AH46" s="12"/>
      <c r="AI46" s="12"/>
      <c r="AJ46" s="12"/>
      <c r="AK46" s="12"/>
      <c r="AL46" s="12"/>
    </row>
    <row r="47" spans="3:38" x14ac:dyDescent="0.35">
      <c r="C47" s="392" t="str" cm="1">
        <f t="array" ref="C47">INDEX('List Values'!$B$2:$B$20,(1+ROUNDDOWN((ROW()-ROW($C$5))*1/6,2)))</f>
        <v>PVC Plastics Compounding</v>
      </c>
      <c r="D47" s="307" t="s">
        <v>214</v>
      </c>
      <c r="E47" s="374" t="s">
        <v>92</v>
      </c>
      <c r="F47" s="393" t="s">
        <v>218</v>
      </c>
      <c r="G47" s="395">
        <f>IF(E47="High-End",SUMIFS(Inhalation_Exp[24hr_High-End],Inhalation_Exp[OES],$C47,Inhalation_Exp[Worker Type],$D47),SUMIFS(Inhalation_Exp[24hr_Central Tendency],Inhalation_Exp[OES],$C47,Inhalation_Exp[Worker Type],$D47))</f>
        <v>0.55125000000000002</v>
      </c>
      <c r="H47" s="205">
        <f>IF(E47="High-End",SUMIFS(Inhalation_Exp[Int_High-End],Inhalation_Exp[OES],$C47,Inhalation_Exp[Worker Type],$D47),SUMIFS(Inhalation_Exp[Int_Central Tendency],Inhalation_Exp[OES],$C47,Inhalation_Exp[Worker Type],$D47))</f>
        <v>0.40425000000000005</v>
      </c>
      <c r="I47" s="205">
        <f>IF(E47="High-End",SUMIFS(Inhalation_Exp[ADD_High-End],Inhalation_Exp[OES],$C47,Inhalation_Exp[Worker Type],$D47),SUMIFS(Inhalation_Exp[ADD_Central Tendency],Inhalation_Exp[OES],$C47,Inhalation_Exp[Worker Type],$D47))</f>
        <v>0.37756849315068491</v>
      </c>
      <c r="J47" s="205">
        <f>IF(E47="High-End",SUMIFS(Inhalation_Exp[LADD_High-End],Inhalation_Exp[OES],$C47,Inhalation_Exp[Worker Type],$D47),SUMIFS(Inhalation_Exp[LADD_Central Tendency],Inhalation_Exp[OES],$C47,Inhalation_Exp[Worker Type],$D47))</f>
        <v>0.19362486828240252</v>
      </c>
      <c r="K47" s="275">
        <f>IF($E47="High-End",SUMIFS(Dermal_Exp[High-End AD (mg/kg-day)],Dermal_Exp[Worker Type],$D47,Dermal_Exp[OES],$C47),SUMIFS(Dermal_Exp[Central Tendency AD (mg/kg-day)],Dermal_Exp[Worker Type],$D47,Dermal_Exp[OES],$C47))</f>
        <v>7.8249099999999988E-2</v>
      </c>
      <c r="L47" s="275">
        <f>IF($E47="High-End",SUMIFS(Dermal_Exp[High-End IADD (mg/kg-day)],Dermal_Exp[Worker Type],$D47,Dermal_Exp[OES],$C47),SUMIFS(Dermal_Exp[Central Tendency IADD (mg/kg-day)],Dermal_Exp[Worker Type],$D47,Dermal_Exp[OES],$C47))</f>
        <v>5.7382673333333328E-2</v>
      </c>
      <c r="M47" s="275">
        <f>IF($E47="High-End",SUMIFS(Dermal_Exp[High-End ADD (mg/kg-day)],Dermal_Exp[Worker Type],$D47,Dermal_Exp[OES],$C47),SUMIFS(Dermal_Exp[Central Tendency ADD (mg/kg-day)],Dermal_Exp[Worker Type],$D47,Dermal_Exp[OES],$C47))</f>
        <v>5.3595273972602733E-2</v>
      </c>
      <c r="N47" s="275">
        <f>IF($E47="High-End",SUMIFS(Dermal_Exp[High-End LADD (mg/kg-day)],Dermal_Exp[Worker Type],$D47,Dermal_Exp[OES],$C47),SUMIFS(Dermal_Exp[Central Tendency LADD (mg/kg-day)],Dermal_Exp[Worker Type],$D47,Dermal_Exp[OES],$C47))</f>
        <v>2.7484755883386017E-2</v>
      </c>
      <c r="O47" s="275">
        <f t="shared" si="5"/>
        <v>0.62949909999999998</v>
      </c>
      <c r="P47" s="275">
        <f t="shared" si="2"/>
        <v>0.46163267333333335</v>
      </c>
      <c r="Q47" s="275">
        <f t="shared" si="3"/>
        <v>0.43116376712328763</v>
      </c>
      <c r="R47" s="295">
        <f t="shared" si="4"/>
        <v>0.22110962416578855</v>
      </c>
      <c r="AF47" s="12"/>
      <c r="AG47" s="12"/>
      <c r="AH47" s="12"/>
      <c r="AI47" s="12"/>
      <c r="AJ47" s="12"/>
      <c r="AK47" s="12"/>
      <c r="AL47" s="12"/>
    </row>
    <row r="48" spans="3:38" x14ac:dyDescent="0.35">
      <c r="C48" s="392" t="str" cm="1">
        <f t="array" ref="C48">INDEX('List Values'!$B$2:$B$20,(1+ROUNDDOWN((ROW()-ROW($C$5))*1/6,2)))</f>
        <v>PVC Plastics Compounding</v>
      </c>
      <c r="D48" s="307" t="s">
        <v>214</v>
      </c>
      <c r="E48" s="374" t="s">
        <v>93</v>
      </c>
      <c r="F48" s="393" t="s">
        <v>218</v>
      </c>
      <c r="G48" s="395">
        <f>IF(E48="High-End",SUMIFS(Inhalation_Exp[24hr_High-End],Inhalation_Exp[OES],$C48,Inhalation_Exp[Worker Type],$D48),SUMIFS(Inhalation_Exp[24hr_Central Tendency],Inhalation_Exp[OES],$C48,Inhalation_Exp[Worker Type],$D48))</f>
        <v>8.9249999999999996E-2</v>
      </c>
      <c r="H48" s="205">
        <f>IF(E48="High-End",SUMIFS(Inhalation_Exp[Int_High-End],Inhalation_Exp[OES],$C48,Inhalation_Exp[Worker Type],$D48),SUMIFS(Inhalation_Exp[Int_Central Tendency],Inhalation_Exp[OES],$C48,Inhalation_Exp[Worker Type],$D48))</f>
        <v>6.5449999999999994E-2</v>
      </c>
      <c r="I48" s="205">
        <f>IF(E48="High-End",SUMIFS(Inhalation_Exp[ADD_High-End],Inhalation_Exp[OES],$C48,Inhalation_Exp[Worker Type],$D48),SUMIFS(Inhalation_Exp[ADD_Central Tendency],Inhalation_Exp[OES],$C48,Inhalation_Exp[Worker Type],$D48))</f>
        <v>5.4528082191780819E-2</v>
      </c>
      <c r="J48" s="205">
        <f>IF(E48="High-End",SUMIFS(Inhalation_Exp[LADD_High-End],Inhalation_Exp[OES],$C48,Inhalation_Exp[Worker Type],$D48),SUMIFS(Inhalation_Exp[LADD_Central Tendency],Inhalation_Exp[OES],$C48,Inhalation_Exp[Worker Type],$D48))</f>
        <v>2.1671417281348786E-2</v>
      </c>
      <c r="K48" s="275">
        <f>IF($E48="High-End",SUMIFS(Dermal_Exp[High-End AD (mg/kg-day)],Dermal_Exp[Worker Type],$D48,Dermal_Exp[OES],$C48),SUMIFS(Dermal_Exp[Central Tendency AD (mg/kg-day)],Dermal_Exp[Worker Type],$D48,Dermal_Exp[OES],$C48))</f>
        <v>3.9124549999999994E-2</v>
      </c>
      <c r="L48" s="275">
        <f>IF($E48="High-End",SUMIFS(Dermal_Exp[High-End IADD (mg/kg-day)],Dermal_Exp[Worker Type],$D48,Dermal_Exp[OES],$C48),SUMIFS(Dermal_Exp[Central Tendency IADD (mg/kg-day)],Dermal_Exp[Worker Type],$D48,Dermal_Exp[OES],$C48))</f>
        <v>2.8691336666666664E-2</v>
      </c>
      <c r="M48" s="275">
        <f>IF($E48="High-End",SUMIFS(Dermal_Exp[High-End ADD (mg/kg-day)],Dermal_Exp[Worker Type],$D48,Dermal_Exp[OES],$C48),SUMIFS(Dermal_Exp[Central Tendency ADD (mg/kg-day)],Dermal_Exp[Worker Type],$D48,Dermal_Exp[OES],$C48))</f>
        <v>2.3903492191780822E-2</v>
      </c>
      <c r="N48" s="275">
        <f>IF($E48="High-End",SUMIFS(Dermal_Exp[High-End LADD (mg/kg-day)],Dermal_Exp[Worker Type],$D48,Dermal_Exp[OES],$C48),SUMIFS(Dermal_Exp[Central Tendency LADD (mg/kg-day)],Dermal_Exp[Worker Type],$D48,Dermal_Exp[OES],$C48))</f>
        <v>9.5001058710923771E-3</v>
      </c>
      <c r="O48" s="275">
        <f t="shared" si="5"/>
        <v>0.12837454999999998</v>
      </c>
      <c r="P48" s="275">
        <f t="shared" si="2"/>
        <v>9.4141336666666658E-2</v>
      </c>
      <c r="Q48" s="275">
        <f t="shared" si="3"/>
        <v>7.8431574383561645E-2</v>
      </c>
      <c r="R48" s="295">
        <f t="shared" si="4"/>
        <v>3.1171523152441163E-2</v>
      </c>
      <c r="AF48" s="12"/>
      <c r="AG48" s="12"/>
      <c r="AH48" s="12"/>
      <c r="AI48" s="12"/>
      <c r="AJ48" s="12"/>
      <c r="AK48" s="12"/>
      <c r="AL48" s="12"/>
    </row>
    <row r="49" spans="3:38" x14ac:dyDescent="0.35">
      <c r="C49" s="392" t="str" cm="1">
        <f t="array" ref="C49">INDEX('List Values'!$B$2:$B$20,(1+ROUNDDOWN((ROW()-ROW($C$5))*1/6,2)))</f>
        <v>PVC Plastics Compounding</v>
      </c>
      <c r="D49" s="307" t="s">
        <v>74</v>
      </c>
      <c r="E49" s="374" t="s">
        <v>92</v>
      </c>
      <c r="F49" s="393" t="s">
        <v>218</v>
      </c>
      <c r="G49" s="395">
        <f>IF(E49="High-End",SUMIFS(Inhalation_Exp[24hr_High-End],Inhalation_Exp[OES],$C49,Inhalation_Exp[Worker Type],$D49),SUMIFS(Inhalation_Exp[24hr_Central Tendency],Inhalation_Exp[OES],$C49,Inhalation_Exp[Worker Type],$D49))</f>
        <v>0.60890576458405243</v>
      </c>
      <c r="H49" s="205">
        <f>IF(E49="High-End",SUMIFS(Inhalation_Exp[Int_High-End],Inhalation_Exp[OES],$C49,Inhalation_Exp[Worker Type],$D49),SUMIFS(Inhalation_Exp[Int_Central Tendency],Inhalation_Exp[OES],$C49,Inhalation_Exp[Worker Type],$D49))</f>
        <v>0.44653089402830509</v>
      </c>
      <c r="I49" s="205">
        <f>IF(E49="High-End",SUMIFS(Inhalation_Exp[ADD_High-End],Inhalation_Exp[OES],$C49,Inhalation_Exp[Worker Type],$D49),SUMIFS(Inhalation_Exp[ADD_Central Tendency],Inhalation_Exp[OES],$C49,Inhalation_Exp[Worker Type],$D49))</f>
        <v>0.41705874286578937</v>
      </c>
      <c r="J49" s="205">
        <f>IF(E49="High-End",SUMIFS(Inhalation_Exp[LADD_High-End],Inhalation_Exp[OES],$C49,Inhalation_Exp[Worker Type],$D49),SUMIFS(Inhalation_Exp[LADD_Central Tendency],Inhalation_Exp[OES],$C49,Inhalation_Exp[Worker Type],$D49))</f>
        <v>0.2138762783927125</v>
      </c>
      <c r="K49" s="275">
        <f>IF($E49="High-End",SUMIFS(Dermal_Exp[High-End AD (mg/kg-day)],Dermal_Exp[Worker Type],$D49,Dermal_Exp[OES],$C49),SUMIFS(Dermal_Exp[Central Tendency AD (mg/kg-day)],Dermal_Exp[Worker Type],$D49,Dermal_Exp[OES],$C49))</f>
        <v>7.1917900552486175E-2</v>
      </c>
      <c r="L49" s="275">
        <f>IF($E49="High-End",SUMIFS(Dermal_Exp[High-End IADD (mg/kg-day)],Dermal_Exp[Worker Type],$D49,Dermal_Exp[OES],$C49),SUMIFS(Dermal_Exp[Central Tendency IADD (mg/kg-day)],Dermal_Exp[Worker Type],$D49,Dermal_Exp[OES],$C49))</f>
        <v>5.2739793738489867E-2</v>
      </c>
      <c r="M49" s="275">
        <f>IF($E49="High-End",SUMIFS(Dermal_Exp[High-End ADD (mg/kg-day)],Dermal_Exp[Worker Type],$D49,Dermal_Exp[OES],$C49),SUMIFS(Dermal_Exp[Central Tendency ADD (mg/kg-day)],Dermal_Exp[Worker Type],$D49,Dermal_Exp[OES],$C49))</f>
        <v>4.9258835994853541E-2</v>
      </c>
      <c r="N49" s="275">
        <f>IF($E49="High-End",SUMIFS(Dermal_Exp[High-End LADD (mg/kg-day)],Dermal_Exp[Worker Type],$D49,Dermal_Exp[OES],$C49),SUMIFS(Dermal_Exp[Central Tendency LADD (mg/kg-day)],Dermal_Exp[Worker Type],$D49,Dermal_Exp[OES],$C49))</f>
        <v>2.526094153582233E-2</v>
      </c>
      <c r="O49" s="275">
        <f t="shared" si="5"/>
        <v>0.68082366513653858</v>
      </c>
      <c r="P49" s="275">
        <f t="shared" si="2"/>
        <v>0.49927068776679495</v>
      </c>
      <c r="Q49" s="275">
        <f t="shared" si="3"/>
        <v>0.4663175788606429</v>
      </c>
      <c r="R49" s="295">
        <f t="shared" si="4"/>
        <v>0.23913721992853484</v>
      </c>
      <c r="AF49" s="12"/>
      <c r="AG49" s="12"/>
      <c r="AH49" s="12"/>
      <c r="AI49" s="12"/>
      <c r="AJ49" s="12"/>
      <c r="AK49" s="12"/>
      <c r="AL49" s="12"/>
    </row>
    <row r="50" spans="3:38" x14ac:dyDescent="0.35">
      <c r="C50" s="392" t="str" cm="1">
        <f t="array" ref="C50">INDEX('List Values'!$B$2:$B$20,(1+ROUNDDOWN((ROW()-ROW($C$5))*1/6,2)))</f>
        <v>PVC Plastics Compounding</v>
      </c>
      <c r="D50" s="307" t="s">
        <v>74</v>
      </c>
      <c r="E50" s="374" t="s">
        <v>93</v>
      </c>
      <c r="F50" s="393" t="s">
        <v>218</v>
      </c>
      <c r="G50" s="395">
        <f>IF(E50="High-End",SUMIFS(Inhalation_Exp[24hr_High-End],Inhalation_Exp[OES],$C50,Inhalation_Exp[Worker Type],$D50),SUMIFS(Inhalation_Exp[24hr_Central Tendency],Inhalation_Exp[OES],$C50,Inhalation_Exp[Worker Type],$D50))</f>
        <v>9.8584742837417999E-2</v>
      </c>
      <c r="H50" s="205">
        <f>IF(E50="High-End",SUMIFS(Inhalation_Exp[Int_High-End],Inhalation_Exp[OES],$C50,Inhalation_Exp[Worker Type],$D50),SUMIFS(Inhalation_Exp[Int_Central Tendency],Inhalation_Exp[OES],$C50,Inhalation_Exp[Worker Type],$D50))</f>
        <v>7.2295478080773204E-2</v>
      </c>
      <c r="I50" s="205">
        <f>IF(E50="High-End",SUMIFS(Inhalation_Exp[ADD_High-End],Inhalation_Exp[OES],$C50,Inhalation_Exp[Worker Type],$D50),SUMIFS(Inhalation_Exp[ADD_Central Tendency],Inhalation_Exp[OES],$C50,Inhalation_Exp[Worker Type],$D50))</f>
        <v>6.0231226445874558E-2</v>
      </c>
      <c r="J50" s="205">
        <f>IF(E50="High-End",SUMIFS(Inhalation_Exp[LADD_High-End],Inhalation_Exp[OES],$C50,Inhalation_Exp[Worker Type],$D50),SUMIFS(Inhalation_Exp[LADD_Central Tendency],Inhalation_Exp[OES],$C50,Inhalation_Exp[Worker Type],$D50))</f>
        <v>2.3938051536180914E-2</v>
      </c>
      <c r="K50" s="275">
        <f>IF($E50="High-End",SUMIFS(Dermal_Exp[High-End AD (mg/kg-day)],Dermal_Exp[Worker Type],$D50,Dermal_Exp[OES],$C50),SUMIFS(Dermal_Exp[Central Tendency AD (mg/kg-day)],Dermal_Exp[Worker Type],$D50,Dermal_Exp[OES],$C50))</f>
        <v>3.5958950276243087E-2</v>
      </c>
      <c r="L50" s="275">
        <f>IF($E50="High-End",SUMIFS(Dermal_Exp[High-End IADD (mg/kg-day)],Dermal_Exp[Worker Type],$D50,Dermal_Exp[OES],$C50),SUMIFS(Dermal_Exp[Central Tendency IADD (mg/kg-day)],Dermal_Exp[Worker Type],$D50,Dermal_Exp[OES],$C50))</f>
        <v>2.6369896869244933E-2</v>
      </c>
      <c r="M50" s="275">
        <f>IF($E50="High-End",SUMIFS(Dermal_Exp[High-End ADD (mg/kg-day)],Dermal_Exp[Worker Type],$D50,Dermal_Exp[OES],$C50),SUMIFS(Dermal_Exp[Central Tendency ADD (mg/kg-day)],Dermal_Exp[Worker Type],$D50,Dermal_Exp[OES],$C50))</f>
        <v>2.196944085370468E-2</v>
      </c>
      <c r="N50" s="275">
        <f>IF($E50="High-End",SUMIFS(Dermal_Exp[High-End LADD (mg/kg-day)],Dermal_Exp[Worker Type],$D50,Dermal_Exp[OES],$C50),SUMIFS(Dermal_Exp[Central Tendency LADD (mg/kg-day)],Dermal_Exp[Worker Type],$D50,Dermal_Exp[OES],$C50))</f>
        <v>8.7314444418569882E-3</v>
      </c>
      <c r="O50" s="275">
        <f t="shared" si="5"/>
        <v>0.1345436931136611</v>
      </c>
      <c r="P50" s="275">
        <f t="shared" si="2"/>
        <v>9.8665374950018134E-2</v>
      </c>
      <c r="Q50" s="275">
        <f t="shared" si="3"/>
        <v>8.2200667299579241E-2</v>
      </c>
      <c r="R50" s="295">
        <f t="shared" si="4"/>
        <v>3.26694959780379E-2</v>
      </c>
      <c r="AF50" s="12"/>
      <c r="AG50" s="12"/>
      <c r="AH50" s="12"/>
      <c r="AI50" s="12"/>
      <c r="AJ50" s="12"/>
      <c r="AK50" s="12"/>
      <c r="AL50" s="12"/>
    </row>
    <row r="51" spans="3:38" x14ac:dyDescent="0.35">
      <c r="C51" s="392" t="str" cm="1">
        <f t="array" ref="C51">INDEX('List Values'!$B$2:$B$20,(1+ROUNDDOWN((ROW()-ROW($C$5))*1/6,2)))</f>
        <v>PVC Plastics Compounding</v>
      </c>
      <c r="D51" s="307" t="s">
        <v>94</v>
      </c>
      <c r="E51" s="374" t="s">
        <v>92</v>
      </c>
      <c r="F51" s="393" t="s">
        <v>218</v>
      </c>
      <c r="G51" s="395">
        <f>IF(E51="High-End",SUMIFS(Inhalation_Exp[24hr_High-End],Inhalation_Exp[OES],$C51,Inhalation_Exp[Worker Type],$D51),SUMIFS(Inhalation_Exp[24hr_Central Tendency],Inhalation_Exp[OES],$C51,Inhalation_Exp[Worker Type],$D51))</f>
        <v>8.9249999999999996E-2</v>
      </c>
      <c r="H51" s="205">
        <f>IF(E51="High-End",SUMIFS(Inhalation_Exp[Int_High-End],Inhalation_Exp[OES],$C51,Inhalation_Exp[Worker Type],$D51),SUMIFS(Inhalation_Exp[Int_Central Tendency],Inhalation_Exp[OES],$C51,Inhalation_Exp[Worker Type],$D51))</f>
        <v>6.5449999999999994E-2</v>
      </c>
      <c r="I51" s="205">
        <f>IF(E51="High-End",SUMIFS(Inhalation_Exp[ADD_High-End],Inhalation_Exp[OES],$C51,Inhalation_Exp[Worker Type],$D51),SUMIFS(Inhalation_Exp[ADD_Central Tendency],Inhalation_Exp[OES],$C51,Inhalation_Exp[Worker Type],$D51))</f>
        <v>6.1130136986301369E-2</v>
      </c>
      <c r="J51" s="205">
        <f>IF(E51="High-End",SUMIFS(Inhalation_Exp[LADD_High-End],Inhalation_Exp[OES],$C51,Inhalation_Exp[Worker Type],$D51),SUMIFS(Inhalation_Exp[LADD_Central Tendency],Inhalation_Exp[OES],$C51,Inhalation_Exp[Worker Type],$D51))</f>
        <v>3.1348788198103265E-2</v>
      </c>
      <c r="K51" s="275">
        <f>IF($E51="High-End",SUMIFS(Dermal_Exp[High-End AD (mg/kg-day)],Dermal_Exp[Worker Type],$D51,Dermal_Exp[OES],$C51),SUMIFS(Dermal_Exp[Central Tendency AD (mg/kg-day)],Dermal_Exp[Worker Type],$D51,Dermal_Exp[OES],$C51))</f>
        <v>2.9828399999999996E-3</v>
      </c>
      <c r="L51" s="275">
        <f>IF($E51="High-End",SUMIFS(Dermal_Exp[High-End IADD (mg/kg-day)],Dermal_Exp[Worker Type],$D51,Dermal_Exp[OES],$C51),SUMIFS(Dermal_Exp[Central Tendency IADD (mg/kg-day)],Dermal_Exp[Worker Type],$D51,Dermal_Exp[OES],$C51))</f>
        <v>2.1874159999999998E-3</v>
      </c>
      <c r="M51" s="275">
        <f>IF($E51="High-End",SUMIFS(Dermal_Exp[High-End ADD (mg/kg-day)],Dermal_Exp[Worker Type],$D51,Dermal_Exp[OES],$C51),SUMIFS(Dermal_Exp[Central Tendency ADD (mg/kg-day)],Dermal_Exp[Worker Type],$D51,Dermal_Exp[OES],$C51))</f>
        <v>2.0430410958904104E-3</v>
      </c>
      <c r="N51" s="275">
        <f>IF($E51="High-End",SUMIFS(Dermal_Exp[High-End LADD (mg/kg-day)],Dermal_Exp[Worker Type],$D51,Dermal_Exp[OES],$C51),SUMIFS(Dermal_Exp[Central Tendency LADD (mg/kg-day)],Dermal_Exp[Worker Type],$D51,Dermal_Exp[OES],$C51))</f>
        <v>1.047713382507903E-3</v>
      </c>
      <c r="O51" s="275">
        <f t="shared" si="5"/>
        <v>9.2232839999999996E-2</v>
      </c>
      <c r="P51" s="275">
        <f t="shared" si="2"/>
        <v>6.7637415999999992E-2</v>
      </c>
      <c r="Q51" s="275">
        <f t="shared" si="3"/>
        <v>6.3173178082191778E-2</v>
      </c>
      <c r="R51" s="295">
        <f t="shared" si="4"/>
        <v>3.2396501580611171E-2</v>
      </c>
      <c r="AF51" s="12"/>
      <c r="AG51" s="12"/>
      <c r="AH51" s="12"/>
      <c r="AI51" s="12"/>
      <c r="AJ51" s="12"/>
      <c r="AK51" s="12"/>
      <c r="AL51" s="12"/>
    </row>
    <row r="52" spans="3:38" x14ac:dyDescent="0.35">
      <c r="C52" s="392" t="str" cm="1">
        <f t="array" ref="C52">INDEX('List Values'!$B$2:$B$20,(1+ROUNDDOWN((ROW()-ROW($C$5))*1/6,2)))</f>
        <v>PVC Plastics Compounding</v>
      </c>
      <c r="D52" s="307" t="s">
        <v>94</v>
      </c>
      <c r="E52" s="374" t="s">
        <v>93</v>
      </c>
      <c r="F52" s="393" t="s">
        <v>218</v>
      </c>
      <c r="G52" s="395">
        <f>IF(E52="High-End",SUMIFS(Inhalation_Exp[24hr_High-End],Inhalation_Exp[OES],$C52,Inhalation_Exp[Worker Type],$D52),SUMIFS(Inhalation_Exp[24hr_Central Tendency],Inhalation_Exp[OES],$C52,Inhalation_Exp[Worker Type],$D52))</f>
        <v>8.9249999999999996E-2</v>
      </c>
      <c r="H52" s="205">
        <f>IF(E52="High-End",SUMIFS(Inhalation_Exp[Int_High-End],Inhalation_Exp[OES],$C52,Inhalation_Exp[Worker Type],$D52),SUMIFS(Inhalation_Exp[Int_Central Tendency],Inhalation_Exp[OES],$C52,Inhalation_Exp[Worker Type],$D52))</f>
        <v>6.5449999999999994E-2</v>
      </c>
      <c r="I52" s="205">
        <f>IF(E52="High-End",SUMIFS(Inhalation_Exp[ADD_High-End],Inhalation_Exp[OES],$C52,Inhalation_Exp[Worker Type],$D52),SUMIFS(Inhalation_Exp[ADD_Central Tendency],Inhalation_Exp[OES],$C52,Inhalation_Exp[Worker Type],$D52))</f>
        <v>5.4528082191780819E-2</v>
      </c>
      <c r="J52" s="205">
        <f>IF(E52="High-End",SUMIFS(Inhalation_Exp[LADD_High-End],Inhalation_Exp[OES],$C52,Inhalation_Exp[Worker Type],$D52),SUMIFS(Inhalation_Exp[LADD_Central Tendency],Inhalation_Exp[OES],$C52,Inhalation_Exp[Worker Type],$D52))</f>
        <v>2.1671417281348786E-2</v>
      </c>
      <c r="K52" s="275">
        <f>IF($E52="High-End",SUMIFS(Dermal_Exp[High-End AD (mg/kg-day)],Dermal_Exp[Worker Type],$D52,Dermal_Exp[OES],$C52),SUMIFS(Dermal_Exp[Central Tendency AD (mg/kg-day)],Dermal_Exp[Worker Type],$D52,Dermal_Exp[OES],$C52))</f>
        <v>2.9828399999999996E-3</v>
      </c>
      <c r="L52" s="275">
        <f>IF($E52="High-End",SUMIFS(Dermal_Exp[High-End IADD (mg/kg-day)],Dermal_Exp[Worker Type],$D52,Dermal_Exp[OES],$C52),SUMIFS(Dermal_Exp[Central Tendency IADD (mg/kg-day)],Dermal_Exp[Worker Type],$D52,Dermal_Exp[OES],$C52))</f>
        <v>2.1874159999999998E-3</v>
      </c>
      <c r="M52" s="275">
        <f>IF($E52="High-End",SUMIFS(Dermal_Exp[High-End ADD (mg/kg-day)],Dermal_Exp[Worker Type],$D52,Dermal_Exp[OES],$C52),SUMIFS(Dermal_Exp[Central Tendency ADD (mg/kg-day)],Dermal_Exp[Worker Type],$D52,Dermal_Exp[OES],$C52))</f>
        <v>1.8223926575342464E-3</v>
      </c>
      <c r="N52" s="275">
        <f>IF($E52="High-End",SUMIFS(Dermal_Exp[High-End LADD (mg/kg-day)],Dermal_Exp[Worker Type],$D52,Dermal_Exp[OES],$C52),SUMIFS(Dermal_Exp[Central Tendency LADD (mg/kg-day)],Dermal_Exp[Worker Type],$D52,Dermal_Exp[OES],$C52))</f>
        <v>7.2428426132771333E-4</v>
      </c>
      <c r="O52" s="275">
        <f t="shared" si="5"/>
        <v>9.2232839999999996E-2</v>
      </c>
      <c r="P52" s="275">
        <f t="shared" si="2"/>
        <v>6.7637415999999992E-2</v>
      </c>
      <c r="Q52" s="275">
        <f t="shared" si="3"/>
        <v>5.6350474849315067E-2</v>
      </c>
      <c r="R52" s="295">
        <f t="shared" si="4"/>
        <v>2.2395701542676498E-2</v>
      </c>
      <c r="AF52" s="12"/>
      <c r="AG52" s="12"/>
      <c r="AH52" s="12"/>
      <c r="AI52" s="12"/>
      <c r="AJ52" s="12"/>
      <c r="AK52" s="12"/>
      <c r="AL52" s="12"/>
    </row>
    <row r="53" spans="3:38" x14ac:dyDescent="0.35">
      <c r="C53" s="392" t="str" cm="1">
        <f t="array" ref="C53">INDEX('List Values'!$B$2:$B$20,(1+ROUNDDOWN((ROW()-ROW($C$5))*1/6,2)))</f>
        <v>PVC Plastics Converting</v>
      </c>
      <c r="D53" s="307" t="s">
        <v>214</v>
      </c>
      <c r="E53" s="374" t="s">
        <v>92</v>
      </c>
      <c r="F53" s="393" t="s">
        <v>218</v>
      </c>
      <c r="G53" s="395">
        <f>IF(E53="High-End",SUMIFS(Inhalation_Exp[24hr_High-End],Inhalation_Exp[OES],$C53,Inhalation_Exp[Worker Type],$D53),SUMIFS(Inhalation_Exp[24hr_Central Tendency],Inhalation_Exp[OES],$C53,Inhalation_Exp[Worker Type],$D53))</f>
        <v>0.55125000000000002</v>
      </c>
      <c r="H53" s="205">
        <f>IF(E53="High-End",SUMIFS(Inhalation_Exp[Int_High-End],Inhalation_Exp[OES],$C53,Inhalation_Exp[Worker Type],$D53),SUMIFS(Inhalation_Exp[Int_Central Tendency],Inhalation_Exp[OES],$C53,Inhalation_Exp[Worker Type],$D53))</f>
        <v>0.40425000000000005</v>
      </c>
      <c r="I53" s="205">
        <f>IF(E53="High-End",SUMIFS(Inhalation_Exp[ADD_High-End],Inhalation_Exp[OES],$C53,Inhalation_Exp[Worker Type],$D53),SUMIFS(Inhalation_Exp[ADD_Central Tendency],Inhalation_Exp[OES],$C53,Inhalation_Exp[Worker Type],$D53))</f>
        <v>0.37756849315068491</v>
      </c>
      <c r="J53" s="205">
        <f>IF(E53="High-End",SUMIFS(Inhalation_Exp[LADD_High-End],Inhalation_Exp[OES],$C53,Inhalation_Exp[Worker Type],$D53),SUMIFS(Inhalation_Exp[LADD_Central Tendency],Inhalation_Exp[OES],$C53,Inhalation_Exp[Worker Type],$D53))</f>
        <v>0.19362486828240252</v>
      </c>
      <c r="K53" s="275">
        <f>IF($E53="High-End",SUMIFS(Dermal_Exp[High-End AD (mg/kg-day)],Dermal_Exp[Worker Type],$D53,Dermal_Exp[OES],$C53),SUMIFS(Dermal_Exp[Central Tendency AD (mg/kg-day)],Dermal_Exp[Worker Type],$D53,Dermal_Exp[OES],$C53))</f>
        <v>1.1909099999999999E-2</v>
      </c>
      <c r="L53" s="275">
        <f>IF($E53="High-End",SUMIFS(Dermal_Exp[High-End IADD (mg/kg-day)],Dermal_Exp[Worker Type],$D53,Dermal_Exp[OES],$C53),SUMIFS(Dermal_Exp[Central Tendency IADD (mg/kg-day)],Dermal_Exp[Worker Type],$D53,Dermal_Exp[OES],$C53))</f>
        <v>8.7333399999999992E-3</v>
      </c>
      <c r="M53" s="275">
        <f>IF($E53="High-End",SUMIFS(Dermal_Exp[High-End ADD (mg/kg-day)],Dermal_Exp[Worker Type],$D53,Dermal_Exp[OES],$C53),SUMIFS(Dermal_Exp[Central Tendency ADD (mg/kg-day)],Dermal_Exp[Worker Type],$D53,Dermal_Exp[OES],$C53))</f>
        <v>8.156917808219177E-3</v>
      </c>
      <c r="N53" s="275">
        <f>IF($E53="High-End",SUMIFS(Dermal_Exp[High-End LADD (mg/kg-day)],Dermal_Exp[Worker Type],$D53,Dermal_Exp[OES],$C53),SUMIFS(Dermal_Exp[Central Tendency LADD (mg/kg-day)],Dermal_Exp[Worker Type],$D53,Dermal_Exp[OES],$C53))</f>
        <v>4.1830347734457315E-3</v>
      </c>
      <c r="O53" s="275">
        <f t="shared" si="5"/>
        <v>0.56315910000000002</v>
      </c>
      <c r="P53" s="275">
        <f t="shared" si="2"/>
        <v>0.41298334000000003</v>
      </c>
      <c r="Q53" s="275">
        <f t="shared" si="3"/>
        <v>0.38572541095890411</v>
      </c>
      <c r="R53" s="295">
        <f t="shared" si="4"/>
        <v>0.19780790305584825</v>
      </c>
      <c r="AF53" s="12"/>
      <c r="AG53" s="12"/>
      <c r="AH53" s="12"/>
      <c r="AI53" s="12"/>
      <c r="AJ53" s="12"/>
      <c r="AK53" s="12"/>
      <c r="AL53" s="12"/>
    </row>
    <row r="54" spans="3:38" x14ac:dyDescent="0.35">
      <c r="C54" s="392" t="str" cm="1">
        <f t="array" ref="C54">INDEX('List Values'!$B$2:$B$20,(1+ROUNDDOWN((ROW()-ROW($C$5))*1/6,2)))</f>
        <v>PVC Plastics Converting</v>
      </c>
      <c r="D54" s="307" t="s">
        <v>214</v>
      </c>
      <c r="E54" s="374" t="s">
        <v>93</v>
      </c>
      <c r="F54" s="393" t="s">
        <v>218</v>
      </c>
      <c r="G54" s="395">
        <f>IF(E54="High-End",SUMIFS(Inhalation_Exp[24hr_High-End],Inhalation_Exp[OES],$C54,Inhalation_Exp[Worker Type],$D54),SUMIFS(Inhalation_Exp[24hr_Central Tendency],Inhalation_Exp[OES],$C54,Inhalation_Exp[Worker Type],$D54))</f>
        <v>8.9249999999999996E-2</v>
      </c>
      <c r="H54" s="205">
        <f>IF(E54="High-End",SUMIFS(Inhalation_Exp[Int_High-End],Inhalation_Exp[OES],$C54,Inhalation_Exp[Worker Type],$D54),SUMIFS(Inhalation_Exp[Int_Central Tendency],Inhalation_Exp[OES],$C54,Inhalation_Exp[Worker Type],$D54))</f>
        <v>6.5449999999999994E-2</v>
      </c>
      <c r="I54" s="205">
        <f>IF(E54="High-End",SUMIFS(Inhalation_Exp[ADD_High-End],Inhalation_Exp[OES],$C54,Inhalation_Exp[Worker Type],$D54),SUMIFS(Inhalation_Exp[ADD_Central Tendency],Inhalation_Exp[OES],$C54,Inhalation_Exp[Worker Type],$D54))</f>
        <v>5.3549999999999993E-2</v>
      </c>
      <c r="J54" s="205">
        <f>IF(E54="High-End",SUMIFS(Inhalation_Exp[LADD_High-End],Inhalation_Exp[OES],$C54,Inhalation_Exp[Worker Type],$D54),SUMIFS(Inhalation_Exp[LADD_Central Tendency],Inhalation_Exp[OES],$C54,Inhalation_Exp[Worker Type],$D54))</f>
        <v>2.1282692307692305E-2</v>
      </c>
      <c r="K54" s="275">
        <f>IF($E54="High-End",SUMIFS(Dermal_Exp[High-End AD (mg/kg-day)],Dermal_Exp[Worker Type],$D54,Dermal_Exp[OES],$C54),SUMIFS(Dermal_Exp[Central Tendency AD (mg/kg-day)],Dermal_Exp[Worker Type],$D54,Dermal_Exp[OES],$C54))</f>
        <v>5.9545499999999994E-3</v>
      </c>
      <c r="L54" s="275">
        <f>IF($E54="High-End",SUMIFS(Dermal_Exp[High-End IADD (mg/kg-day)],Dermal_Exp[Worker Type],$D54,Dermal_Exp[OES],$C54),SUMIFS(Dermal_Exp[Central Tendency IADD (mg/kg-day)],Dermal_Exp[Worker Type],$D54,Dermal_Exp[OES],$C54))</f>
        <v>4.3666699999999996E-3</v>
      </c>
      <c r="M54" s="275">
        <f>IF($E54="High-End",SUMIFS(Dermal_Exp[High-End ADD (mg/kg-day)],Dermal_Exp[Worker Type],$D54,Dermal_Exp[OES],$C54),SUMIFS(Dermal_Exp[Central Tendency ADD (mg/kg-day)],Dermal_Exp[Worker Type],$D54,Dermal_Exp[OES],$C54))</f>
        <v>3.5727299999999997E-3</v>
      </c>
      <c r="N54" s="275">
        <f>IF($E54="High-End",SUMIFS(Dermal_Exp[High-End LADD (mg/kg-day)],Dermal_Exp[Worker Type],$D54,Dermal_Exp[OES],$C54),SUMIFS(Dermal_Exp[Central Tendency LADD (mg/kg-day)],Dermal_Exp[Worker Type],$D54,Dermal_Exp[OES],$C54))</f>
        <v>1.4199311538461538E-3</v>
      </c>
      <c r="O54" s="275">
        <f t="shared" si="5"/>
        <v>9.5204549999999999E-2</v>
      </c>
      <c r="P54" s="275">
        <f t="shared" si="2"/>
        <v>6.9816669999999997E-2</v>
      </c>
      <c r="Q54" s="275">
        <f t="shared" si="3"/>
        <v>5.7122729999999997E-2</v>
      </c>
      <c r="R54" s="295">
        <f t="shared" si="4"/>
        <v>2.2702623461538458E-2</v>
      </c>
      <c r="AF54" s="12"/>
      <c r="AG54" s="12"/>
      <c r="AH54" s="12"/>
      <c r="AI54" s="12"/>
      <c r="AJ54" s="12"/>
      <c r="AK54" s="12"/>
      <c r="AL54" s="12"/>
    </row>
    <row r="55" spans="3:38" x14ac:dyDescent="0.35">
      <c r="C55" s="392" t="str" cm="1">
        <f t="array" ref="C55">INDEX('List Values'!$B$2:$B$20,(1+ROUNDDOWN((ROW()-ROW($C$5))*1/6,2)))</f>
        <v>PVC Plastics Converting</v>
      </c>
      <c r="D55" s="307" t="s">
        <v>74</v>
      </c>
      <c r="E55" s="374" t="s">
        <v>92</v>
      </c>
      <c r="F55" s="393" t="s">
        <v>218</v>
      </c>
      <c r="G55" s="395">
        <f>IF(E55="High-End",SUMIFS(Inhalation_Exp[24hr_High-End],Inhalation_Exp[OES],$C55,Inhalation_Exp[Worker Type],$D55),SUMIFS(Inhalation_Exp[24hr_Central Tendency],Inhalation_Exp[OES],$C55,Inhalation_Exp[Worker Type],$D55))</f>
        <v>0.60890576458405243</v>
      </c>
      <c r="H55" s="205">
        <f>IF(E55="High-End",SUMIFS(Inhalation_Exp[Int_High-End],Inhalation_Exp[OES],$C55,Inhalation_Exp[Worker Type],$D55),SUMIFS(Inhalation_Exp[Int_Central Tendency],Inhalation_Exp[OES],$C55,Inhalation_Exp[Worker Type],$D55))</f>
        <v>0.44653089402830509</v>
      </c>
      <c r="I55" s="205">
        <f>IF(E55="High-End",SUMIFS(Inhalation_Exp[ADD_High-End],Inhalation_Exp[OES],$C55,Inhalation_Exp[Worker Type],$D55),SUMIFS(Inhalation_Exp[ADD_Central Tendency],Inhalation_Exp[OES],$C55,Inhalation_Exp[Worker Type],$D55))</f>
        <v>0.41705874286578937</v>
      </c>
      <c r="J55" s="205">
        <f>IF(E55="High-End",SUMIFS(Inhalation_Exp[LADD_High-End],Inhalation_Exp[OES],$C55,Inhalation_Exp[Worker Type],$D55),SUMIFS(Inhalation_Exp[LADD_Central Tendency],Inhalation_Exp[OES],$C55,Inhalation_Exp[Worker Type],$D55))</f>
        <v>0.2138762783927125</v>
      </c>
      <c r="K55" s="275">
        <f>IF($E55="High-End",SUMIFS(Dermal_Exp[High-End AD (mg/kg-day)],Dermal_Exp[Worker Type],$D55,Dermal_Exp[OES],$C55),SUMIFS(Dermal_Exp[Central Tendency AD (mg/kg-day)],Dermal_Exp[Worker Type],$D55,Dermal_Exp[OES],$C55))</f>
        <v>1.0945524861878452E-2</v>
      </c>
      <c r="L55" s="275">
        <f>IF($E55="High-End",SUMIFS(Dermal_Exp[High-End IADD (mg/kg-day)],Dermal_Exp[Worker Type],$D55,Dermal_Exp[OES],$C55),SUMIFS(Dermal_Exp[Central Tendency IADD (mg/kg-day)],Dermal_Exp[Worker Type],$D55,Dermal_Exp[OES],$C55))</f>
        <v>8.0267182320441985E-3</v>
      </c>
      <c r="M55" s="275">
        <f>IF($E55="High-End",SUMIFS(Dermal_Exp[High-End ADD (mg/kg-day)],Dermal_Exp[Worker Type],$D55,Dermal_Exp[OES],$C55),SUMIFS(Dermal_Exp[Central Tendency ADD (mg/kg-day)],Dermal_Exp[Worker Type],$D55,Dermal_Exp[OES],$C55))</f>
        <v>7.4969348369030497E-3</v>
      </c>
      <c r="N55" s="275">
        <f>IF($E55="High-End",SUMIFS(Dermal_Exp[High-End LADD (mg/kg-day)],Dermal_Exp[Worker Type],$D55,Dermal_Exp[OES],$C55),SUMIFS(Dermal_Exp[Central Tendency LADD (mg/kg-day)],Dermal_Exp[Worker Type],$D55,Dermal_Exp[OES],$C55))</f>
        <v>3.8445819676425894E-3</v>
      </c>
      <c r="O55" s="275">
        <f t="shared" si="5"/>
        <v>0.61985128944593093</v>
      </c>
      <c r="P55" s="275">
        <f t="shared" si="2"/>
        <v>0.4545576122603493</v>
      </c>
      <c r="Q55" s="275">
        <f t="shared" si="3"/>
        <v>0.42455567770269242</v>
      </c>
      <c r="R55" s="295">
        <f t="shared" si="4"/>
        <v>0.2177208603603551</v>
      </c>
      <c r="AF55" s="12"/>
      <c r="AG55" s="12"/>
      <c r="AH55" s="12"/>
      <c r="AI55" s="12"/>
      <c r="AJ55" s="12"/>
      <c r="AK55" s="12"/>
      <c r="AL55" s="12"/>
    </row>
    <row r="56" spans="3:38" x14ac:dyDescent="0.35">
      <c r="C56" s="392" t="str" cm="1">
        <f t="array" ref="C56">INDEX('List Values'!$B$2:$B$20,(1+ROUNDDOWN((ROW()-ROW($C$5))*1/6,2)))</f>
        <v>PVC Plastics Converting</v>
      </c>
      <c r="D56" s="307" t="s">
        <v>74</v>
      </c>
      <c r="E56" s="374" t="s">
        <v>93</v>
      </c>
      <c r="F56" s="393" t="s">
        <v>218</v>
      </c>
      <c r="G56" s="395">
        <f>IF(E56="High-End",SUMIFS(Inhalation_Exp[24hr_High-End],Inhalation_Exp[OES],$C56,Inhalation_Exp[Worker Type],$D56),SUMIFS(Inhalation_Exp[24hr_Central Tendency],Inhalation_Exp[OES],$C56,Inhalation_Exp[Worker Type],$D56))</f>
        <v>9.8584742837417999E-2</v>
      </c>
      <c r="H56" s="205">
        <f>IF(E56="High-End",SUMIFS(Inhalation_Exp[Int_High-End],Inhalation_Exp[OES],$C56,Inhalation_Exp[Worker Type],$D56),SUMIFS(Inhalation_Exp[Int_Central Tendency],Inhalation_Exp[OES],$C56,Inhalation_Exp[Worker Type],$D56))</f>
        <v>7.2295478080773204E-2</v>
      </c>
      <c r="I56" s="205">
        <f>IF(E56="High-End",SUMIFS(Inhalation_Exp[ADD_High-End],Inhalation_Exp[OES],$C56,Inhalation_Exp[Worker Type],$D56),SUMIFS(Inhalation_Exp[ADD_Central Tendency],Inhalation_Exp[OES],$C56,Inhalation_Exp[Worker Type],$D56))</f>
        <v>5.9150845702450799E-2</v>
      </c>
      <c r="J56" s="205">
        <f>IF(E56="High-End",SUMIFS(Inhalation_Exp[LADD_High-End],Inhalation_Exp[OES],$C56,Inhalation_Exp[Worker Type],$D56),SUMIFS(Inhalation_Exp[LADD_Central Tendency],Inhalation_Exp[OES],$C56,Inhalation_Exp[Worker Type],$D56))</f>
        <v>2.3508669445845828E-2</v>
      </c>
      <c r="K56" s="275">
        <f>IF($E56="High-End",SUMIFS(Dermal_Exp[High-End AD (mg/kg-day)],Dermal_Exp[Worker Type],$D56,Dermal_Exp[OES],$C56),SUMIFS(Dermal_Exp[Central Tendency AD (mg/kg-day)],Dermal_Exp[Worker Type],$D56,Dermal_Exp[OES],$C56))</f>
        <v>5.4727624309392261E-3</v>
      </c>
      <c r="L56" s="275">
        <f>IF($E56="High-End",SUMIFS(Dermal_Exp[High-End IADD (mg/kg-day)],Dermal_Exp[Worker Type],$D56,Dermal_Exp[OES],$C56),SUMIFS(Dermal_Exp[Central Tendency IADD (mg/kg-day)],Dermal_Exp[Worker Type],$D56,Dermal_Exp[OES],$C56))</f>
        <v>4.0133591160220992E-3</v>
      </c>
      <c r="M56" s="275">
        <f>IF($E56="High-End",SUMIFS(Dermal_Exp[High-End ADD (mg/kg-day)],Dermal_Exp[Worker Type],$D56,Dermal_Exp[OES],$C56),SUMIFS(Dermal_Exp[Central Tendency ADD (mg/kg-day)],Dermal_Exp[Worker Type],$D56,Dermal_Exp[OES],$C56))</f>
        <v>3.2836574585635358E-3</v>
      </c>
      <c r="N56" s="275">
        <f>IF($E56="High-End",SUMIFS(Dermal_Exp[High-End LADD (mg/kg-day)],Dermal_Exp[Worker Type],$D56,Dermal_Exp[OES],$C56),SUMIFS(Dermal_Exp[Central Tendency LADD (mg/kg-day)],Dermal_Exp[Worker Type],$D56,Dermal_Exp[OES],$C56))</f>
        <v>1.305043348916277E-3</v>
      </c>
      <c r="O56" s="275">
        <f t="shared" si="5"/>
        <v>0.10405750526835722</v>
      </c>
      <c r="P56" s="275">
        <f t="shared" si="2"/>
        <v>7.6308837196795307E-2</v>
      </c>
      <c r="Q56" s="275">
        <f t="shared" si="3"/>
        <v>6.2434503161014336E-2</v>
      </c>
      <c r="R56" s="295">
        <f t="shared" si="4"/>
        <v>2.4813712794762105E-2</v>
      </c>
      <c r="AF56" s="12"/>
      <c r="AG56" s="12"/>
      <c r="AH56" s="12"/>
      <c r="AI56" s="12"/>
      <c r="AJ56" s="12"/>
      <c r="AK56" s="12"/>
      <c r="AL56" s="12"/>
    </row>
    <row r="57" spans="3:38" x14ac:dyDescent="0.35">
      <c r="C57" s="392" t="str" cm="1">
        <f t="array" ref="C57">INDEX('List Values'!$B$2:$B$20,(1+ROUNDDOWN((ROW()-ROW($C$5))*1/6,2)))</f>
        <v>PVC Plastics Converting</v>
      </c>
      <c r="D57" s="307" t="s">
        <v>94</v>
      </c>
      <c r="E57" s="374" t="s">
        <v>92</v>
      </c>
      <c r="F57" s="393" t="s">
        <v>218</v>
      </c>
      <c r="G57" s="395">
        <f>IF(E57="High-End",SUMIFS(Inhalation_Exp[24hr_High-End],Inhalation_Exp[OES],$C57,Inhalation_Exp[Worker Type],$D57),SUMIFS(Inhalation_Exp[24hr_Central Tendency],Inhalation_Exp[OES],$C57,Inhalation_Exp[Worker Type],$D57))</f>
        <v>8.9249999999999996E-2</v>
      </c>
      <c r="H57" s="205">
        <f>IF(E57="High-End",SUMIFS(Inhalation_Exp[Int_High-End],Inhalation_Exp[OES],$C57,Inhalation_Exp[Worker Type],$D57),SUMIFS(Inhalation_Exp[Int_Central Tendency],Inhalation_Exp[OES],$C57,Inhalation_Exp[Worker Type],$D57))</f>
        <v>6.5449999999999994E-2</v>
      </c>
      <c r="I57" s="205">
        <f>IF(E57="High-End",SUMIFS(Inhalation_Exp[ADD_High-End],Inhalation_Exp[OES],$C57,Inhalation_Exp[Worker Type],$D57),SUMIFS(Inhalation_Exp[ADD_Central Tendency],Inhalation_Exp[OES],$C57,Inhalation_Exp[Worker Type],$D57))</f>
        <v>6.1130136986301369E-2</v>
      </c>
      <c r="J57" s="205">
        <f>IF(E57="High-End",SUMIFS(Inhalation_Exp[LADD_High-End],Inhalation_Exp[OES],$C57,Inhalation_Exp[Worker Type],$D57),SUMIFS(Inhalation_Exp[LADD_Central Tendency],Inhalation_Exp[OES],$C57,Inhalation_Exp[Worker Type],$D57))</f>
        <v>3.1348788198103265E-2</v>
      </c>
      <c r="K57" s="275">
        <f>IF($E57="High-End",SUMIFS(Dermal_Exp[High-End AD (mg/kg-day)],Dermal_Exp[Worker Type],$D57,Dermal_Exp[OES],$C57),SUMIFS(Dermal_Exp[Central Tendency AD (mg/kg-day)],Dermal_Exp[Worker Type],$D57,Dermal_Exp[OES],$C57))</f>
        <v>2.9828399999999996E-3</v>
      </c>
      <c r="L57" s="275">
        <f>IF($E57="High-End",SUMIFS(Dermal_Exp[High-End IADD (mg/kg-day)],Dermal_Exp[Worker Type],$D57,Dermal_Exp[OES],$C57),SUMIFS(Dermal_Exp[Central Tendency IADD (mg/kg-day)],Dermal_Exp[Worker Type],$D57,Dermal_Exp[OES],$C57))</f>
        <v>2.1874159999999998E-3</v>
      </c>
      <c r="M57" s="275">
        <f>IF($E57="High-End",SUMIFS(Dermal_Exp[High-End ADD (mg/kg-day)],Dermal_Exp[Worker Type],$D57,Dermal_Exp[OES],$C57),SUMIFS(Dermal_Exp[Central Tendency ADD (mg/kg-day)],Dermal_Exp[Worker Type],$D57,Dermal_Exp[OES],$C57))</f>
        <v>2.0430410958904104E-3</v>
      </c>
      <c r="N57" s="275">
        <f>IF($E57="High-End",SUMIFS(Dermal_Exp[High-End LADD (mg/kg-day)],Dermal_Exp[Worker Type],$D57,Dermal_Exp[OES],$C57),SUMIFS(Dermal_Exp[Central Tendency LADD (mg/kg-day)],Dermal_Exp[Worker Type],$D57,Dermal_Exp[OES],$C57))</f>
        <v>1.047713382507903E-3</v>
      </c>
      <c r="O57" s="275">
        <f t="shared" si="5"/>
        <v>9.2232839999999996E-2</v>
      </c>
      <c r="P57" s="275">
        <f t="shared" si="2"/>
        <v>6.7637415999999992E-2</v>
      </c>
      <c r="Q57" s="275">
        <f t="shared" si="3"/>
        <v>6.3173178082191778E-2</v>
      </c>
      <c r="R57" s="295">
        <f t="shared" si="4"/>
        <v>3.2396501580611171E-2</v>
      </c>
      <c r="AF57" s="12"/>
      <c r="AG57" s="12"/>
      <c r="AH57" s="12"/>
      <c r="AI57" s="12"/>
      <c r="AJ57" s="12"/>
      <c r="AK57" s="12"/>
      <c r="AL57" s="12"/>
    </row>
    <row r="58" spans="3:38" x14ac:dyDescent="0.35">
      <c r="C58" s="392" t="str" cm="1">
        <f t="array" ref="C58">INDEX('List Values'!$B$2:$B$20,(1+ROUNDDOWN((ROW()-ROW($C$5))*1/6,2)))</f>
        <v>PVC Plastics Converting</v>
      </c>
      <c r="D58" s="307" t="s">
        <v>94</v>
      </c>
      <c r="E58" s="374" t="s">
        <v>93</v>
      </c>
      <c r="F58" s="393" t="s">
        <v>218</v>
      </c>
      <c r="G58" s="395">
        <f>IF(E58="High-End",SUMIFS(Inhalation_Exp[24hr_High-End],Inhalation_Exp[OES],$C58,Inhalation_Exp[Worker Type],$D58),SUMIFS(Inhalation_Exp[24hr_Central Tendency],Inhalation_Exp[OES],$C58,Inhalation_Exp[Worker Type],$D58))</f>
        <v>8.9249999999999996E-2</v>
      </c>
      <c r="H58" s="205">
        <f>IF(E58="High-End",SUMIFS(Inhalation_Exp[Int_High-End],Inhalation_Exp[OES],$C58,Inhalation_Exp[Worker Type],$D58),SUMIFS(Inhalation_Exp[Int_Central Tendency],Inhalation_Exp[OES],$C58,Inhalation_Exp[Worker Type],$D58))</f>
        <v>6.5449999999999994E-2</v>
      </c>
      <c r="I58" s="205">
        <f>IF(E58="High-End",SUMIFS(Inhalation_Exp[ADD_High-End],Inhalation_Exp[OES],$C58,Inhalation_Exp[Worker Type],$D58),SUMIFS(Inhalation_Exp[ADD_Central Tendency],Inhalation_Exp[OES],$C58,Inhalation_Exp[Worker Type],$D58))</f>
        <v>5.3549999999999993E-2</v>
      </c>
      <c r="J58" s="205">
        <f>IF(E58="High-End",SUMIFS(Inhalation_Exp[LADD_High-End],Inhalation_Exp[OES],$C58,Inhalation_Exp[Worker Type],$D58),SUMIFS(Inhalation_Exp[LADD_Central Tendency],Inhalation_Exp[OES],$C58,Inhalation_Exp[Worker Type],$D58))</f>
        <v>2.1282692307692305E-2</v>
      </c>
      <c r="K58" s="275">
        <f>IF($E58="High-End",SUMIFS(Dermal_Exp[High-End AD (mg/kg-day)],Dermal_Exp[Worker Type],$D58,Dermal_Exp[OES],$C58),SUMIFS(Dermal_Exp[Central Tendency AD (mg/kg-day)],Dermal_Exp[Worker Type],$D58,Dermal_Exp[OES],$C58))</f>
        <v>2.9828399999999996E-3</v>
      </c>
      <c r="L58" s="275">
        <f>IF($E58="High-End",SUMIFS(Dermal_Exp[High-End IADD (mg/kg-day)],Dermal_Exp[Worker Type],$D58,Dermal_Exp[OES],$C58),SUMIFS(Dermal_Exp[Central Tendency IADD (mg/kg-day)],Dermal_Exp[Worker Type],$D58,Dermal_Exp[OES],$C58))</f>
        <v>2.1874159999999998E-3</v>
      </c>
      <c r="M58" s="275">
        <f>IF($E58="High-End",SUMIFS(Dermal_Exp[High-End ADD (mg/kg-day)],Dermal_Exp[Worker Type],$D58,Dermal_Exp[OES],$C58),SUMIFS(Dermal_Exp[Central Tendency ADD (mg/kg-day)],Dermal_Exp[Worker Type],$D58,Dermal_Exp[OES],$C58))</f>
        <v>1.7897039999999998E-3</v>
      </c>
      <c r="N58" s="275">
        <f>IF($E58="High-End",SUMIFS(Dermal_Exp[High-End LADD (mg/kg-day)],Dermal_Exp[Worker Type],$D58,Dermal_Exp[OES],$C58),SUMIFS(Dermal_Exp[Central Tendency LADD (mg/kg-day)],Dermal_Exp[Worker Type],$D58,Dermal_Exp[OES],$C58))</f>
        <v>7.1129261538461531E-4</v>
      </c>
      <c r="O58" s="275">
        <f t="shared" si="5"/>
        <v>9.2232839999999996E-2</v>
      </c>
      <c r="P58" s="275">
        <f t="shared" si="2"/>
        <v>6.7637415999999992E-2</v>
      </c>
      <c r="Q58" s="275">
        <f t="shared" si="3"/>
        <v>5.5339703999999997E-2</v>
      </c>
      <c r="R58" s="295">
        <f t="shared" si="4"/>
        <v>2.1993984923076922E-2</v>
      </c>
      <c r="AF58" s="12"/>
      <c r="AG58" s="12"/>
      <c r="AH58" s="12"/>
      <c r="AI58" s="12"/>
      <c r="AJ58" s="12"/>
      <c r="AK58" s="12"/>
      <c r="AL58" s="12"/>
    </row>
    <row r="59" spans="3:38" x14ac:dyDescent="0.35">
      <c r="C59" s="392" t="str" cm="1">
        <f t="array" ref="C59">INDEX('List Values'!$B$2:$B$20,(1+ROUNDDOWN((ROW()-ROW($C$5))*1/6,2)))</f>
        <v>Non-PVC Materials Compounding</v>
      </c>
      <c r="D59" s="307" t="s">
        <v>214</v>
      </c>
      <c r="E59" s="374" t="s">
        <v>92</v>
      </c>
      <c r="F59" s="393" t="s">
        <v>218</v>
      </c>
      <c r="G59" s="395">
        <f>IF(E59="High-End",SUMIFS(Inhalation_Exp[24hr_High-End],Inhalation_Exp[OES],$C59,Inhalation_Exp[Worker Type],$D59),SUMIFS(Inhalation_Exp[24hr_Central Tendency],Inhalation_Exp[OES],$C59,Inhalation_Exp[Worker Type],$D59))</f>
        <v>0.55125000000000002</v>
      </c>
      <c r="H59" s="205">
        <f>IF(E59="High-End",SUMIFS(Inhalation_Exp[Int_High-End],Inhalation_Exp[OES],$C59,Inhalation_Exp[Worker Type],$D59),SUMIFS(Inhalation_Exp[Int_Central Tendency],Inhalation_Exp[OES],$C59,Inhalation_Exp[Worker Type],$D59))</f>
        <v>0.40425000000000005</v>
      </c>
      <c r="I59" s="205">
        <f>IF(E59="High-End",SUMIFS(Inhalation_Exp[ADD_High-End],Inhalation_Exp[OES],$C59,Inhalation_Exp[Worker Type],$D59),SUMIFS(Inhalation_Exp[ADD_Central Tendency],Inhalation_Exp[OES],$C59,Inhalation_Exp[Worker Type],$D59))</f>
        <v>0.37756849315068491</v>
      </c>
      <c r="J59" s="205">
        <f>IF(E59="High-End",SUMIFS(Inhalation_Exp[LADD_High-End],Inhalation_Exp[OES],$C59,Inhalation_Exp[Worker Type],$D59),SUMIFS(Inhalation_Exp[LADD_Central Tendency],Inhalation_Exp[OES],$C59,Inhalation_Exp[Worker Type],$D59))</f>
        <v>0.19362486828240252</v>
      </c>
      <c r="K59" s="275">
        <f>IF($E59="High-End",SUMIFS(Dermal_Exp[High-End AD (mg/kg-day)],Dermal_Exp[Worker Type],$D59,Dermal_Exp[OES],$C59),SUMIFS(Dermal_Exp[Central Tendency AD (mg/kg-day)],Dermal_Exp[Worker Type],$D59,Dermal_Exp[OES],$C59))</f>
        <v>7.8240000000000004E-2</v>
      </c>
      <c r="L59" s="275">
        <f>IF($E59="High-End",SUMIFS(Dermal_Exp[High-End IADD (mg/kg-day)],Dermal_Exp[Worker Type],$D59,Dermal_Exp[OES],$C59),SUMIFS(Dermal_Exp[Central Tendency IADD (mg/kg-day)],Dermal_Exp[Worker Type],$D59,Dermal_Exp[OES],$C59))</f>
        <v>5.7376000000000003E-2</v>
      </c>
      <c r="M59" s="275">
        <f>IF($E59="High-End",SUMIFS(Dermal_Exp[High-End ADD (mg/kg-day)],Dermal_Exp[Worker Type],$D59,Dermal_Exp[OES],$C59),SUMIFS(Dermal_Exp[Central Tendency ADD (mg/kg-day)],Dermal_Exp[Worker Type],$D59,Dermal_Exp[OES],$C59))</f>
        <v>5.3589041095890418E-2</v>
      </c>
      <c r="N59" s="275">
        <f>IF($E59="High-End",SUMIFS(Dermal_Exp[High-End LADD (mg/kg-day)],Dermal_Exp[Worker Type],$D59,Dermal_Exp[OES],$C59),SUMIFS(Dermal_Exp[Central Tendency LADD (mg/kg-day)],Dermal_Exp[Worker Type],$D59,Dermal_Exp[OES],$C59))</f>
        <v>2.7481559536354061E-2</v>
      </c>
      <c r="O59" s="275">
        <f t="shared" si="5"/>
        <v>0.62948999999999999</v>
      </c>
      <c r="P59" s="275">
        <f t="shared" si="2"/>
        <v>0.46162600000000004</v>
      </c>
      <c r="Q59" s="275">
        <f t="shared" si="3"/>
        <v>0.43115753424657532</v>
      </c>
      <c r="R59" s="295">
        <f t="shared" si="4"/>
        <v>0.22110642781875658</v>
      </c>
      <c r="AF59" s="12"/>
      <c r="AG59" s="12"/>
      <c r="AH59" s="12"/>
      <c r="AI59" s="12"/>
      <c r="AJ59" s="12"/>
      <c r="AK59" s="12"/>
      <c r="AL59" s="12"/>
    </row>
    <row r="60" spans="3:38" x14ac:dyDescent="0.35">
      <c r="C60" s="392" t="str" cm="1">
        <f t="array" ref="C60">INDEX('List Values'!$B$2:$B$20,(1+ROUNDDOWN((ROW()-ROW($C$5))*1/6,2)))</f>
        <v>Non-PVC Materials Compounding</v>
      </c>
      <c r="D60" s="307" t="s">
        <v>214</v>
      </c>
      <c r="E60" s="374" t="s">
        <v>93</v>
      </c>
      <c r="F60" s="393" t="s">
        <v>218</v>
      </c>
      <c r="G60" s="395">
        <f>IF(E60="High-End",SUMIFS(Inhalation_Exp[24hr_High-End],Inhalation_Exp[OES],$C60,Inhalation_Exp[Worker Type],$D60),SUMIFS(Inhalation_Exp[24hr_Central Tendency],Inhalation_Exp[OES],$C60,Inhalation_Exp[Worker Type],$D60))</f>
        <v>8.9249999999999996E-2</v>
      </c>
      <c r="H60" s="205">
        <f>IF(E60="High-End",SUMIFS(Inhalation_Exp[Int_High-End],Inhalation_Exp[OES],$C60,Inhalation_Exp[Worker Type],$D60),SUMIFS(Inhalation_Exp[Int_Central Tendency],Inhalation_Exp[OES],$C60,Inhalation_Exp[Worker Type],$D60))</f>
        <v>6.5449999999999994E-2</v>
      </c>
      <c r="I60" s="205">
        <f>IF(E60="High-End",SUMIFS(Inhalation_Exp[ADD_High-End],Inhalation_Exp[OES],$C60,Inhalation_Exp[Worker Type],$D60),SUMIFS(Inhalation_Exp[ADD_Central Tendency],Inhalation_Exp[OES],$C60,Inhalation_Exp[Worker Type],$D60))</f>
        <v>5.721780821917808E-2</v>
      </c>
      <c r="J60" s="205">
        <f>IF(E60="High-End",SUMIFS(Inhalation_Exp[LADD_High-End],Inhalation_Exp[OES],$C60,Inhalation_Exp[Worker Type],$D60),SUMIFS(Inhalation_Exp[LADD_Central Tendency],Inhalation_Exp[OES],$C60,Inhalation_Exp[Worker Type],$D60))</f>
        <v>2.2740410958904108E-2</v>
      </c>
      <c r="K60" s="275">
        <f>IF($E60="High-End",SUMIFS(Dermal_Exp[High-End AD (mg/kg-day)],Dermal_Exp[Worker Type],$D60,Dermal_Exp[OES],$C60),SUMIFS(Dermal_Exp[Central Tendency AD (mg/kg-day)],Dermal_Exp[Worker Type],$D60,Dermal_Exp[OES],$C60))</f>
        <v>3.9169999999999996E-2</v>
      </c>
      <c r="L60" s="275">
        <f>IF($E60="High-End",SUMIFS(Dermal_Exp[High-End IADD (mg/kg-day)],Dermal_Exp[Worker Type],$D60,Dermal_Exp[OES],$C60),SUMIFS(Dermal_Exp[Central Tendency IADD (mg/kg-day)],Dermal_Exp[Worker Type],$D60,Dermal_Exp[OES],$C60))</f>
        <v>2.8724666666666666E-2</v>
      </c>
      <c r="M60" s="275">
        <f>IF($E60="High-End",SUMIFS(Dermal_Exp[High-End ADD (mg/kg-day)],Dermal_Exp[Worker Type],$D60,Dermal_Exp[OES],$C60),SUMIFS(Dermal_Exp[Central Tendency ADD (mg/kg-day)],Dermal_Exp[Worker Type],$D60,Dermal_Exp[OES],$C60))</f>
        <v>2.5111726027397262E-2</v>
      </c>
      <c r="N60" s="275">
        <f>IF($E60="High-End",SUMIFS(Dermal_Exp[High-End LADD (mg/kg-day)],Dermal_Exp[Worker Type],$D60,Dermal_Exp[OES],$C60),SUMIFS(Dermal_Exp[Central Tendency LADD (mg/kg-day)],Dermal_Exp[Worker Type],$D60,Dermal_Exp[OES],$C60))</f>
        <v>9.9803013698630139E-3</v>
      </c>
      <c r="O60" s="275">
        <f t="shared" si="5"/>
        <v>0.12841999999999998</v>
      </c>
      <c r="P60" s="275">
        <f t="shared" si="2"/>
        <v>9.4174666666666657E-2</v>
      </c>
      <c r="Q60" s="275">
        <f t="shared" si="3"/>
        <v>8.2329534246575339E-2</v>
      </c>
      <c r="R60" s="295">
        <f t="shared" si="4"/>
        <v>3.2720712328767124E-2</v>
      </c>
      <c r="AF60" s="12"/>
      <c r="AG60" s="12"/>
      <c r="AH60" s="12"/>
      <c r="AI60" s="12"/>
      <c r="AJ60" s="12"/>
      <c r="AK60" s="12"/>
      <c r="AL60" s="12"/>
    </row>
    <row r="61" spans="3:38" x14ac:dyDescent="0.35">
      <c r="C61" s="392" t="str" cm="1">
        <f t="array" ref="C61">INDEX('List Values'!$B$2:$B$20,(1+ROUNDDOWN((ROW()-ROW($C$5))*1/6,2)))</f>
        <v>Non-PVC Materials Compounding</v>
      </c>
      <c r="D61" s="307" t="s">
        <v>74</v>
      </c>
      <c r="E61" s="374" t="s">
        <v>92</v>
      </c>
      <c r="F61" s="393" t="s">
        <v>218</v>
      </c>
      <c r="G61" s="395">
        <f>IF(E61="High-End",SUMIFS(Inhalation_Exp[24hr_High-End],Inhalation_Exp[OES],$C61,Inhalation_Exp[Worker Type],$D61),SUMIFS(Inhalation_Exp[24hr_Central Tendency],Inhalation_Exp[OES],$C61,Inhalation_Exp[Worker Type],$D61))</f>
        <v>0.60890576458405243</v>
      </c>
      <c r="H61" s="205">
        <f>IF(E61="High-End",SUMIFS(Inhalation_Exp[Int_High-End],Inhalation_Exp[OES],$C61,Inhalation_Exp[Worker Type],$D61),SUMIFS(Inhalation_Exp[Int_Central Tendency],Inhalation_Exp[OES],$C61,Inhalation_Exp[Worker Type],$D61))</f>
        <v>0.44653089402830509</v>
      </c>
      <c r="I61" s="205">
        <f>IF(E61="High-End",SUMIFS(Inhalation_Exp[ADD_High-End],Inhalation_Exp[OES],$C61,Inhalation_Exp[Worker Type],$D61),SUMIFS(Inhalation_Exp[ADD_Central Tendency],Inhalation_Exp[OES],$C61,Inhalation_Exp[Worker Type],$D61))</f>
        <v>0.41705874286578937</v>
      </c>
      <c r="J61" s="205">
        <f>IF(E61="High-End",SUMIFS(Inhalation_Exp[LADD_High-End],Inhalation_Exp[OES],$C61,Inhalation_Exp[Worker Type],$D61),SUMIFS(Inhalation_Exp[LADD_Central Tendency],Inhalation_Exp[OES],$C61,Inhalation_Exp[Worker Type],$D61))</f>
        <v>0.2138762783927125</v>
      </c>
      <c r="K61" s="275">
        <f>IF($E61="High-End",SUMIFS(Dermal_Exp[High-End AD (mg/kg-day)],Dermal_Exp[Worker Type],$D61,Dermal_Exp[OES],$C61),SUMIFS(Dermal_Exp[Central Tendency AD (mg/kg-day)],Dermal_Exp[Worker Type],$D61,Dermal_Exp[OES],$C61))</f>
        <v>7.1917900552486175E-2</v>
      </c>
      <c r="L61" s="275">
        <f>IF($E61="High-End",SUMIFS(Dermal_Exp[High-End IADD (mg/kg-day)],Dermal_Exp[Worker Type],$D61,Dermal_Exp[OES],$C61),SUMIFS(Dermal_Exp[Central Tendency IADD (mg/kg-day)],Dermal_Exp[Worker Type],$D61,Dermal_Exp[OES],$C61))</f>
        <v>5.2739793738489867E-2</v>
      </c>
      <c r="M61" s="275">
        <f>IF($E61="High-End",SUMIFS(Dermal_Exp[High-End ADD (mg/kg-day)],Dermal_Exp[Worker Type],$D61,Dermal_Exp[OES],$C61),SUMIFS(Dermal_Exp[Central Tendency ADD (mg/kg-day)],Dermal_Exp[Worker Type],$D61,Dermal_Exp[OES],$C61))</f>
        <v>4.9258835994853541E-2</v>
      </c>
      <c r="N61" s="275">
        <f>IF($E61="High-End",SUMIFS(Dermal_Exp[High-End LADD (mg/kg-day)],Dermal_Exp[Worker Type],$D61,Dermal_Exp[OES],$C61),SUMIFS(Dermal_Exp[Central Tendency LADD (mg/kg-day)],Dermal_Exp[Worker Type],$D61,Dermal_Exp[OES],$C61))</f>
        <v>2.526094153582233E-2</v>
      </c>
      <c r="O61" s="275">
        <f t="shared" si="5"/>
        <v>0.68082366513653858</v>
      </c>
      <c r="P61" s="275">
        <f t="shared" si="2"/>
        <v>0.49927068776679495</v>
      </c>
      <c r="Q61" s="275">
        <f t="shared" si="3"/>
        <v>0.4663175788606429</v>
      </c>
      <c r="R61" s="295">
        <f t="shared" si="4"/>
        <v>0.23913721992853484</v>
      </c>
      <c r="AF61" s="12"/>
      <c r="AG61" s="12"/>
      <c r="AH61" s="12"/>
      <c r="AI61" s="12"/>
      <c r="AJ61" s="12"/>
      <c r="AK61" s="12"/>
      <c r="AL61" s="12"/>
    </row>
    <row r="62" spans="3:38" x14ac:dyDescent="0.35">
      <c r="C62" s="392" t="str" cm="1">
        <f t="array" ref="C62">INDEX('List Values'!$B$2:$B$20,(1+ROUNDDOWN((ROW()-ROW($C$5))*1/6,2)))</f>
        <v>Non-PVC Materials Compounding</v>
      </c>
      <c r="D62" s="307" t="s">
        <v>74</v>
      </c>
      <c r="E62" s="374" t="s">
        <v>93</v>
      </c>
      <c r="F62" s="393" t="s">
        <v>218</v>
      </c>
      <c r="G62" s="395">
        <f>IF(E62="High-End",SUMIFS(Inhalation_Exp[24hr_High-End],Inhalation_Exp[OES],$C62,Inhalation_Exp[Worker Type],$D62),SUMIFS(Inhalation_Exp[24hr_Central Tendency],Inhalation_Exp[OES],$C62,Inhalation_Exp[Worker Type],$D62))</f>
        <v>9.8584742837417999E-2</v>
      </c>
      <c r="H62" s="205">
        <f>IF(E62="High-End",SUMIFS(Inhalation_Exp[Int_High-End],Inhalation_Exp[OES],$C62,Inhalation_Exp[Worker Type],$D62),SUMIFS(Inhalation_Exp[Int_Central Tendency],Inhalation_Exp[OES],$C62,Inhalation_Exp[Worker Type],$D62))</f>
        <v>7.2295478080773204E-2</v>
      </c>
      <c r="I62" s="205">
        <f>IF(E62="High-End",SUMIFS(Inhalation_Exp[ADD_High-End],Inhalation_Exp[OES],$C62,Inhalation_Exp[Worker Type],$D62),SUMIFS(Inhalation_Exp[ADD_Central Tendency],Inhalation_Exp[OES],$C62,Inhalation_Exp[Worker Type],$D62))</f>
        <v>6.3202273490289895E-2</v>
      </c>
      <c r="J62" s="205">
        <f>IF(E62="High-End",SUMIFS(Inhalation_Exp[LADD_High-End],Inhalation_Exp[OES],$C62,Inhalation_Exp[Worker Type],$D62),SUMIFS(Inhalation_Exp[LADD_Central Tendency],Inhalation_Exp[OES],$C62,Inhalation_Exp[Worker Type],$D62))</f>
        <v>2.5118852284602394E-2</v>
      </c>
      <c r="K62" s="275">
        <f>IF($E62="High-End",SUMIFS(Dermal_Exp[High-End AD (mg/kg-day)],Dermal_Exp[Worker Type],$D62,Dermal_Exp[OES],$C62),SUMIFS(Dermal_Exp[Central Tendency AD (mg/kg-day)],Dermal_Exp[Worker Type],$D62,Dermal_Exp[OES],$C62))</f>
        <v>3.5958950276243087E-2</v>
      </c>
      <c r="L62" s="275">
        <f>IF($E62="High-End",SUMIFS(Dermal_Exp[High-End IADD (mg/kg-day)],Dermal_Exp[Worker Type],$D62,Dermal_Exp[OES],$C62),SUMIFS(Dermal_Exp[Central Tendency IADD (mg/kg-day)],Dermal_Exp[Worker Type],$D62,Dermal_Exp[OES],$C62))</f>
        <v>2.6369896869244933E-2</v>
      </c>
      <c r="M62" s="275">
        <f>IF($E62="High-End",SUMIFS(Dermal_Exp[High-End ADD (mg/kg-day)],Dermal_Exp[Worker Type],$D62,Dermal_Exp[OES],$C62),SUMIFS(Dermal_Exp[Central Tendency ADD (mg/kg-day)],Dermal_Exp[Worker Type],$D62,Dermal_Exp[OES],$C62))</f>
        <v>2.3053135245591459E-2</v>
      </c>
      <c r="N62" s="275">
        <f>IF($E62="High-End",SUMIFS(Dermal_Exp[High-End LADD (mg/kg-day)],Dermal_Exp[Worker Type],$D62,Dermal_Exp[OES],$C62),SUMIFS(Dermal_Exp[Central Tendency LADD (mg/kg-day)],Dermal_Exp[Worker Type],$D62,Dermal_Exp[OES],$C62))</f>
        <v>9.1621434950427596E-3</v>
      </c>
      <c r="O62" s="275">
        <f t="shared" si="5"/>
        <v>0.1345436931136611</v>
      </c>
      <c r="P62" s="275">
        <f t="shared" si="2"/>
        <v>9.8665374950018134E-2</v>
      </c>
      <c r="Q62" s="275">
        <f t="shared" si="3"/>
        <v>8.6255408735881361E-2</v>
      </c>
      <c r="R62" s="295">
        <f t="shared" si="4"/>
        <v>3.4280995779645156E-2</v>
      </c>
      <c r="AF62" s="12"/>
      <c r="AG62" s="12"/>
      <c r="AH62" s="12"/>
      <c r="AI62" s="12"/>
      <c r="AJ62" s="12"/>
      <c r="AK62" s="12"/>
      <c r="AL62" s="12"/>
    </row>
    <row r="63" spans="3:38" x14ac:dyDescent="0.35">
      <c r="C63" s="392" t="str" cm="1">
        <f t="array" ref="C63">INDEX('List Values'!$B$2:$B$20,(1+ROUNDDOWN((ROW()-ROW($C$5))*1/6,2)))</f>
        <v>Non-PVC Materials Compounding</v>
      </c>
      <c r="D63" s="307" t="s">
        <v>94</v>
      </c>
      <c r="E63" s="374" t="s">
        <v>92</v>
      </c>
      <c r="F63" s="393" t="s">
        <v>218</v>
      </c>
      <c r="G63" s="395">
        <f>IF(E63="High-End",SUMIFS(Inhalation_Exp[24hr_High-End],Inhalation_Exp[OES],$C63,Inhalation_Exp[Worker Type],$D63),SUMIFS(Inhalation_Exp[24hr_Central Tendency],Inhalation_Exp[OES],$C63,Inhalation_Exp[Worker Type],$D63))</f>
        <v>8.9249999999999996E-2</v>
      </c>
      <c r="H63" s="205">
        <f>IF(E63="High-End",SUMIFS(Inhalation_Exp[Int_High-End],Inhalation_Exp[OES],$C63,Inhalation_Exp[Worker Type],$D63),SUMIFS(Inhalation_Exp[Int_Central Tendency],Inhalation_Exp[OES],$C63,Inhalation_Exp[Worker Type],$D63))</f>
        <v>6.5449999999999994E-2</v>
      </c>
      <c r="I63" s="205">
        <f>IF(E63="High-End",SUMIFS(Inhalation_Exp[ADD_High-End],Inhalation_Exp[OES],$C63,Inhalation_Exp[Worker Type],$D63),SUMIFS(Inhalation_Exp[ADD_Central Tendency],Inhalation_Exp[OES],$C63,Inhalation_Exp[Worker Type],$D63))</f>
        <v>6.1130136986301369E-2</v>
      </c>
      <c r="J63" s="205">
        <f>IF(E63="High-End",SUMIFS(Inhalation_Exp[LADD_High-End],Inhalation_Exp[OES],$C63,Inhalation_Exp[Worker Type],$D63),SUMIFS(Inhalation_Exp[LADD_Central Tendency],Inhalation_Exp[OES],$C63,Inhalation_Exp[Worker Type],$D63))</f>
        <v>3.1348788198103265E-2</v>
      </c>
      <c r="K63" s="275">
        <f>IF($E63="High-End",SUMIFS(Dermal_Exp[High-End AD (mg/kg-day)],Dermal_Exp[Worker Type],$D63,Dermal_Exp[OES],$C63),SUMIFS(Dermal_Exp[Central Tendency AD (mg/kg-day)],Dermal_Exp[Worker Type],$D63,Dermal_Exp[OES],$C63))</f>
        <v>2.9828399999999996E-3</v>
      </c>
      <c r="L63" s="275">
        <f>IF($E63="High-End",SUMIFS(Dermal_Exp[High-End IADD (mg/kg-day)],Dermal_Exp[Worker Type],$D63,Dermal_Exp[OES],$C63),SUMIFS(Dermal_Exp[Central Tendency IADD (mg/kg-day)],Dermal_Exp[Worker Type],$D63,Dermal_Exp[OES],$C63))</f>
        <v>2.1874159999999998E-3</v>
      </c>
      <c r="M63" s="275">
        <f>IF($E63="High-End",SUMIFS(Dermal_Exp[High-End ADD (mg/kg-day)],Dermal_Exp[Worker Type],$D63,Dermal_Exp[OES],$C63),SUMIFS(Dermal_Exp[Central Tendency ADD (mg/kg-day)],Dermal_Exp[Worker Type],$D63,Dermal_Exp[OES],$C63))</f>
        <v>2.0430410958904104E-3</v>
      </c>
      <c r="N63" s="275">
        <f>IF($E63="High-End",SUMIFS(Dermal_Exp[High-End LADD (mg/kg-day)],Dermal_Exp[Worker Type],$D63,Dermal_Exp[OES],$C63),SUMIFS(Dermal_Exp[Central Tendency LADD (mg/kg-day)],Dermal_Exp[Worker Type],$D63,Dermal_Exp[OES],$C63))</f>
        <v>1.047713382507903E-3</v>
      </c>
      <c r="O63" s="275">
        <f t="shared" si="5"/>
        <v>9.2232839999999996E-2</v>
      </c>
      <c r="P63" s="275">
        <f t="shared" si="2"/>
        <v>6.7637415999999992E-2</v>
      </c>
      <c r="Q63" s="275">
        <f t="shared" si="3"/>
        <v>6.3173178082191778E-2</v>
      </c>
      <c r="R63" s="295">
        <f t="shared" si="4"/>
        <v>3.2396501580611171E-2</v>
      </c>
      <c r="AF63" s="12"/>
      <c r="AG63" s="12"/>
      <c r="AH63" s="12"/>
      <c r="AI63" s="12"/>
      <c r="AJ63" s="12"/>
      <c r="AK63" s="12"/>
      <c r="AL63" s="12"/>
    </row>
    <row r="64" spans="3:38" x14ac:dyDescent="0.35">
      <c r="C64" s="392" t="str" cm="1">
        <f t="array" ref="C64">INDEX('List Values'!$B$2:$B$20,(1+ROUNDDOWN((ROW()-ROW($C$5))*1/6,2)))</f>
        <v>Non-PVC Materials Compounding</v>
      </c>
      <c r="D64" s="307" t="s">
        <v>94</v>
      </c>
      <c r="E64" s="374" t="s">
        <v>93</v>
      </c>
      <c r="F64" s="393" t="s">
        <v>218</v>
      </c>
      <c r="G64" s="395">
        <f>IF(E64="High-End",SUMIFS(Inhalation_Exp[24hr_High-End],Inhalation_Exp[OES],$C64,Inhalation_Exp[Worker Type],$D64),SUMIFS(Inhalation_Exp[24hr_Central Tendency],Inhalation_Exp[OES],$C64,Inhalation_Exp[Worker Type],$D64))</f>
        <v>8.9249999999999996E-2</v>
      </c>
      <c r="H64" s="205">
        <f>IF(E64="High-End",SUMIFS(Inhalation_Exp[Int_High-End],Inhalation_Exp[OES],$C64,Inhalation_Exp[Worker Type],$D64),SUMIFS(Inhalation_Exp[Int_Central Tendency],Inhalation_Exp[OES],$C64,Inhalation_Exp[Worker Type],$D64))</f>
        <v>6.5449999999999994E-2</v>
      </c>
      <c r="I64" s="205">
        <f>IF(E64="High-End",SUMIFS(Inhalation_Exp[ADD_High-End],Inhalation_Exp[OES],$C64,Inhalation_Exp[Worker Type],$D64),SUMIFS(Inhalation_Exp[ADD_Central Tendency],Inhalation_Exp[OES],$C64,Inhalation_Exp[Worker Type],$D64))</f>
        <v>5.721780821917808E-2</v>
      </c>
      <c r="J64" s="205">
        <f>IF(E64="High-End",SUMIFS(Inhalation_Exp[LADD_High-End],Inhalation_Exp[OES],$C64,Inhalation_Exp[Worker Type],$D64),SUMIFS(Inhalation_Exp[LADD_Central Tendency],Inhalation_Exp[OES],$C64,Inhalation_Exp[Worker Type],$D64))</f>
        <v>2.2740410958904108E-2</v>
      </c>
      <c r="K64" s="275">
        <f>IF($E64="High-End",SUMIFS(Dermal_Exp[High-End AD (mg/kg-day)],Dermal_Exp[Worker Type],$D64,Dermal_Exp[OES],$C64),SUMIFS(Dermal_Exp[Central Tendency AD (mg/kg-day)],Dermal_Exp[Worker Type],$D64,Dermal_Exp[OES],$C64))</f>
        <v>2.9828399999999996E-3</v>
      </c>
      <c r="L64" s="275">
        <f>IF($E64="High-End",SUMIFS(Dermal_Exp[High-End IADD (mg/kg-day)],Dermal_Exp[Worker Type],$D64,Dermal_Exp[OES],$C64),SUMIFS(Dermal_Exp[Central Tendency IADD (mg/kg-day)],Dermal_Exp[Worker Type],$D64,Dermal_Exp[OES],$C64))</f>
        <v>2.1874159999999998E-3</v>
      </c>
      <c r="M64" s="275">
        <f>IF($E64="High-End",SUMIFS(Dermal_Exp[High-End ADD (mg/kg-day)],Dermal_Exp[Worker Type],$D64,Dermal_Exp[OES],$C64),SUMIFS(Dermal_Exp[Central Tendency ADD (mg/kg-day)],Dermal_Exp[Worker Type],$D64,Dermal_Exp[OES],$C64))</f>
        <v>1.9122864657534243E-3</v>
      </c>
      <c r="N64" s="275">
        <f>IF($E64="High-End",SUMIFS(Dermal_Exp[High-End LADD (mg/kg-day)],Dermal_Exp[Worker Type],$D64,Dermal_Exp[OES],$C64),SUMIFS(Dermal_Exp[Central Tendency LADD (mg/kg-day)],Dermal_Exp[Worker Type],$D64,Dermal_Exp[OES],$C64))</f>
        <v>7.6001128767123275E-4</v>
      </c>
      <c r="O64" s="275">
        <f t="shared" si="5"/>
        <v>9.2232839999999996E-2</v>
      </c>
      <c r="P64" s="275">
        <f t="shared" si="2"/>
        <v>6.7637415999999992E-2</v>
      </c>
      <c r="Q64" s="275">
        <f t="shared" si="3"/>
        <v>5.9130094684931502E-2</v>
      </c>
      <c r="R64" s="295">
        <f t="shared" si="4"/>
        <v>2.350042224657534E-2</v>
      </c>
      <c r="AF64" s="12"/>
      <c r="AG64" s="12"/>
      <c r="AH64" s="12"/>
      <c r="AI64" s="12"/>
      <c r="AJ64" s="12"/>
      <c r="AK64" s="12"/>
      <c r="AL64" s="12"/>
    </row>
    <row r="65" spans="3:38" x14ac:dyDescent="0.35">
      <c r="C65" s="392" t="str" cm="1">
        <f t="array" ref="C65">INDEX('List Values'!$B$2:$B$20,(1+ROUNDDOWN((ROW()-ROW($C$5))*1/6,2)))</f>
        <v>Non-PVC Materials Converting</v>
      </c>
      <c r="D65" s="307" t="s">
        <v>214</v>
      </c>
      <c r="E65" s="374" t="s">
        <v>92</v>
      </c>
      <c r="F65" s="393" t="s">
        <v>218</v>
      </c>
      <c r="G65" s="395">
        <f>IF(E65="High-End",SUMIFS(Inhalation_Exp[24hr_High-End],Inhalation_Exp[OES],$C65,Inhalation_Exp[Worker Type],$D65),SUMIFS(Inhalation_Exp[24hr_Central Tendency],Inhalation_Exp[OES],$C65,Inhalation_Exp[Worker Type],$D65))</f>
        <v>0.55125000000000002</v>
      </c>
      <c r="H65" s="205">
        <f>IF(E65="High-End",SUMIFS(Inhalation_Exp[Int_High-End],Inhalation_Exp[OES],$C65,Inhalation_Exp[Worker Type],$D65),SUMIFS(Inhalation_Exp[Int_Central Tendency],Inhalation_Exp[OES],$C65,Inhalation_Exp[Worker Type],$D65))</f>
        <v>0.40425000000000005</v>
      </c>
      <c r="I65" s="205">
        <f>IF(E65="High-End",SUMIFS(Inhalation_Exp[ADD_High-End],Inhalation_Exp[OES],$C65,Inhalation_Exp[Worker Type],$D65),SUMIFS(Inhalation_Exp[ADD_Central Tendency],Inhalation_Exp[OES],$C65,Inhalation_Exp[Worker Type],$D65))</f>
        <v>0.37756849315068491</v>
      </c>
      <c r="J65" s="205">
        <f>IF(E65="High-End",SUMIFS(Inhalation_Exp[LADD_High-End],Inhalation_Exp[OES],$C65,Inhalation_Exp[Worker Type],$D65),SUMIFS(Inhalation_Exp[LADD_Central Tendency],Inhalation_Exp[OES],$C65,Inhalation_Exp[Worker Type],$D65))</f>
        <v>0.19362486828240252</v>
      </c>
      <c r="K65" s="275">
        <f>IF($E65="High-End",SUMIFS(Dermal_Exp[High-End AD (mg/kg-day)],Dermal_Exp[Worker Type],$D65,Dermal_Exp[OES],$C65),SUMIFS(Dermal_Exp[Central Tendency AD (mg/kg-day)],Dermal_Exp[Worker Type],$D65,Dermal_Exp[OES],$C65))</f>
        <v>1.1909099999999999E-2</v>
      </c>
      <c r="L65" s="275">
        <f>IF($E65="High-End",SUMIFS(Dermal_Exp[High-End IADD (mg/kg-day)],Dermal_Exp[Worker Type],$D65,Dermal_Exp[OES],$C65),SUMIFS(Dermal_Exp[Central Tendency IADD (mg/kg-day)],Dermal_Exp[Worker Type],$D65,Dermal_Exp[OES],$C65))</f>
        <v>8.7333399999999992E-3</v>
      </c>
      <c r="M65" s="275">
        <f>IF($E65="High-End",SUMIFS(Dermal_Exp[High-End ADD (mg/kg-day)],Dermal_Exp[Worker Type],$D65,Dermal_Exp[OES],$C65),SUMIFS(Dermal_Exp[Central Tendency ADD (mg/kg-day)],Dermal_Exp[Worker Type],$D65,Dermal_Exp[OES],$C65))</f>
        <v>8.156917808219177E-3</v>
      </c>
      <c r="N65" s="275">
        <f>IF($E65="High-End",SUMIFS(Dermal_Exp[High-End LADD (mg/kg-day)],Dermal_Exp[Worker Type],$D65,Dermal_Exp[OES],$C65),SUMIFS(Dermal_Exp[Central Tendency LADD (mg/kg-day)],Dermal_Exp[Worker Type],$D65,Dermal_Exp[OES],$C65))</f>
        <v>4.1830347734457315E-3</v>
      </c>
      <c r="O65" s="275">
        <f t="shared" si="5"/>
        <v>0.56315910000000002</v>
      </c>
      <c r="P65" s="275">
        <f t="shared" si="2"/>
        <v>0.41298334000000003</v>
      </c>
      <c r="Q65" s="275">
        <f t="shared" si="3"/>
        <v>0.38572541095890411</v>
      </c>
      <c r="R65" s="295">
        <f t="shared" si="4"/>
        <v>0.19780790305584825</v>
      </c>
      <c r="AF65" s="12"/>
      <c r="AG65" s="12"/>
      <c r="AH65" s="12"/>
      <c r="AI65" s="12"/>
      <c r="AJ65" s="12"/>
      <c r="AK65" s="12"/>
      <c r="AL65" s="12"/>
    </row>
    <row r="66" spans="3:38" x14ac:dyDescent="0.35">
      <c r="C66" s="392" t="str" cm="1">
        <f t="array" ref="C66">INDEX('List Values'!$B$2:$B$20,(1+ROUNDDOWN((ROW()-ROW($C$5))*1/6,2)))</f>
        <v>Non-PVC Materials Converting</v>
      </c>
      <c r="D66" s="307" t="s">
        <v>214</v>
      </c>
      <c r="E66" s="374" t="s">
        <v>93</v>
      </c>
      <c r="F66" s="393" t="s">
        <v>218</v>
      </c>
      <c r="G66" s="395">
        <f>IF(E66="High-End",SUMIFS(Inhalation_Exp[24hr_High-End],Inhalation_Exp[OES],$C66,Inhalation_Exp[Worker Type],$D66),SUMIFS(Inhalation_Exp[24hr_Central Tendency],Inhalation_Exp[OES],$C66,Inhalation_Exp[Worker Type],$D66))</f>
        <v>8.9249999999999996E-2</v>
      </c>
      <c r="H66" s="205">
        <f>IF(E66="High-End",SUMIFS(Inhalation_Exp[Int_High-End],Inhalation_Exp[OES],$C66,Inhalation_Exp[Worker Type],$D66),SUMIFS(Inhalation_Exp[Int_Central Tendency],Inhalation_Exp[OES],$C66,Inhalation_Exp[Worker Type],$D66))</f>
        <v>6.5449999999999994E-2</v>
      </c>
      <c r="I66" s="205">
        <f>IF(E66="High-End",SUMIFS(Inhalation_Exp[ADD_High-End],Inhalation_Exp[OES],$C66,Inhalation_Exp[Worker Type],$D66),SUMIFS(Inhalation_Exp[ADD_Central Tendency],Inhalation_Exp[OES],$C66,Inhalation_Exp[Worker Type],$D66))</f>
        <v>5.3549999999999993E-2</v>
      </c>
      <c r="J66" s="205">
        <f>IF(E66="High-End",SUMIFS(Inhalation_Exp[LADD_High-End],Inhalation_Exp[OES],$C66,Inhalation_Exp[Worker Type],$D66),SUMIFS(Inhalation_Exp[LADD_Central Tendency],Inhalation_Exp[OES],$C66,Inhalation_Exp[Worker Type],$D66))</f>
        <v>2.1282692307692305E-2</v>
      </c>
      <c r="K66" s="275">
        <f>IF($E66="High-End",SUMIFS(Dermal_Exp[High-End AD (mg/kg-day)],Dermal_Exp[Worker Type],$D66,Dermal_Exp[OES],$C66),SUMIFS(Dermal_Exp[Central Tendency AD (mg/kg-day)],Dermal_Exp[Worker Type],$D66,Dermal_Exp[OES],$C66))</f>
        <v>5.9545499999999994E-3</v>
      </c>
      <c r="L66" s="275">
        <f>IF($E66="High-End",SUMIFS(Dermal_Exp[High-End IADD (mg/kg-day)],Dermal_Exp[Worker Type],$D66,Dermal_Exp[OES],$C66),SUMIFS(Dermal_Exp[Central Tendency IADD (mg/kg-day)],Dermal_Exp[Worker Type],$D66,Dermal_Exp[OES],$C66))</f>
        <v>4.3666699999999996E-3</v>
      </c>
      <c r="M66" s="275">
        <f>IF($E66="High-End",SUMIFS(Dermal_Exp[High-End ADD (mg/kg-day)],Dermal_Exp[Worker Type],$D66,Dermal_Exp[OES],$C66),SUMIFS(Dermal_Exp[Central Tendency ADD (mg/kg-day)],Dermal_Exp[Worker Type],$D66,Dermal_Exp[OES],$C66))</f>
        <v>3.5727299999999997E-3</v>
      </c>
      <c r="N66" s="275">
        <f>IF($E66="High-End",SUMIFS(Dermal_Exp[High-End LADD (mg/kg-day)],Dermal_Exp[Worker Type],$D66,Dermal_Exp[OES],$C66),SUMIFS(Dermal_Exp[Central Tendency LADD (mg/kg-day)],Dermal_Exp[Worker Type],$D66,Dermal_Exp[OES],$C66))</f>
        <v>1.4199311538461538E-3</v>
      </c>
      <c r="O66" s="275">
        <f t="shared" si="5"/>
        <v>9.5204549999999999E-2</v>
      </c>
      <c r="P66" s="275">
        <f t="shared" si="2"/>
        <v>6.9816669999999997E-2</v>
      </c>
      <c r="Q66" s="275">
        <f t="shared" si="3"/>
        <v>5.7122729999999997E-2</v>
      </c>
      <c r="R66" s="295">
        <f t="shared" si="4"/>
        <v>2.2702623461538458E-2</v>
      </c>
      <c r="AF66" s="12"/>
      <c r="AG66" s="12"/>
      <c r="AH66" s="12"/>
      <c r="AI66" s="12"/>
      <c r="AJ66" s="12"/>
      <c r="AK66" s="12"/>
      <c r="AL66" s="12"/>
    </row>
    <row r="67" spans="3:38" x14ac:dyDescent="0.35">
      <c r="C67" s="392" t="str" cm="1">
        <f t="array" ref="C67">INDEX('List Values'!$B$2:$B$20,(1+ROUNDDOWN((ROW()-ROW($C$5))*1/6,2)))</f>
        <v>Non-PVC Materials Converting</v>
      </c>
      <c r="D67" s="307" t="s">
        <v>74</v>
      </c>
      <c r="E67" s="374" t="s">
        <v>92</v>
      </c>
      <c r="F67" s="393" t="s">
        <v>218</v>
      </c>
      <c r="G67" s="395">
        <f>IF(E67="High-End",SUMIFS(Inhalation_Exp[24hr_High-End],Inhalation_Exp[OES],$C67,Inhalation_Exp[Worker Type],$D67),SUMIFS(Inhalation_Exp[24hr_Central Tendency],Inhalation_Exp[OES],$C67,Inhalation_Exp[Worker Type],$D67))</f>
        <v>0.60890576458405243</v>
      </c>
      <c r="H67" s="205">
        <f>IF(E67="High-End",SUMIFS(Inhalation_Exp[Int_High-End],Inhalation_Exp[OES],$C67,Inhalation_Exp[Worker Type],$D67),SUMIFS(Inhalation_Exp[Int_Central Tendency],Inhalation_Exp[OES],$C67,Inhalation_Exp[Worker Type],$D67))</f>
        <v>0.44653089402830509</v>
      </c>
      <c r="I67" s="205">
        <f>IF(E67="High-End",SUMIFS(Inhalation_Exp[ADD_High-End],Inhalation_Exp[OES],$C67,Inhalation_Exp[Worker Type],$D67),SUMIFS(Inhalation_Exp[ADD_Central Tendency],Inhalation_Exp[OES],$C67,Inhalation_Exp[Worker Type],$D67))</f>
        <v>0.41705874286578937</v>
      </c>
      <c r="J67" s="205">
        <f>IF(E67="High-End",SUMIFS(Inhalation_Exp[LADD_High-End],Inhalation_Exp[OES],$C67,Inhalation_Exp[Worker Type],$D67),SUMIFS(Inhalation_Exp[LADD_Central Tendency],Inhalation_Exp[OES],$C67,Inhalation_Exp[Worker Type],$D67))</f>
        <v>0.2138762783927125</v>
      </c>
      <c r="K67" s="275">
        <f>IF($E67="High-End",SUMIFS(Dermal_Exp[High-End AD (mg/kg-day)],Dermal_Exp[Worker Type],$D67,Dermal_Exp[OES],$C67),SUMIFS(Dermal_Exp[Central Tendency AD (mg/kg-day)],Dermal_Exp[Worker Type],$D67,Dermal_Exp[OES],$C67))</f>
        <v>1.0945524861878452E-2</v>
      </c>
      <c r="L67" s="275">
        <f>IF($E67="High-End",SUMIFS(Dermal_Exp[High-End IADD (mg/kg-day)],Dermal_Exp[Worker Type],$D67,Dermal_Exp[OES],$C67),SUMIFS(Dermal_Exp[Central Tendency IADD (mg/kg-day)],Dermal_Exp[Worker Type],$D67,Dermal_Exp[OES],$C67))</f>
        <v>8.0267182320441985E-3</v>
      </c>
      <c r="M67" s="275">
        <f>IF($E67="High-End",SUMIFS(Dermal_Exp[High-End ADD (mg/kg-day)],Dermal_Exp[Worker Type],$D67,Dermal_Exp[OES],$C67),SUMIFS(Dermal_Exp[Central Tendency ADD (mg/kg-day)],Dermal_Exp[Worker Type],$D67,Dermal_Exp[OES],$C67))</f>
        <v>7.4969348369030497E-3</v>
      </c>
      <c r="N67" s="275">
        <f>IF($E67="High-End",SUMIFS(Dermal_Exp[High-End LADD (mg/kg-day)],Dermal_Exp[Worker Type],$D67,Dermal_Exp[OES],$C67),SUMIFS(Dermal_Exp[Central Tendency LADD (mg/kg-day)],Dermal_Exp[Worker Type],$D67,Dermal_Exp[OES],$C67))</f>
        <v>3.8445819676425894E-3</v>
      </c>
      <c r="O67" s="275">
        <f t="shared" si="5"/>
        <v>0.61985128944593093</v>
      </c>
      <c r="P67" s="275">
        <f t="shared" si="2"/>
        <v>0.4545576122603493</v>
      </c>
      <c r="Q67" s="275">
        <f t="shared" si="3"/>
        <v>0.42455567770269242</v>
      </c>
      <c r="R67" s="295">
        <f t="shared" si="4"/>
        <v>0.2177208603603551</v>
      </c>
      <c r="AF67" s="12"/>
      <c r="AG67" s="12"/>
      <c r="AH67" s="12"/>
      <c r="AI67" s="12"/>
      <c r="AJ67" s="12"/>
      <c r="AK67" s="12"/>
      <c r="AL67" s="12"/>
    </row>
    <row r="68" spans="3:38" x14ac:dyDescent="0.35">
      <c r="C68" s="392" t="str" cm="1">
        <f t="array" ref="C68">INDEX('List Values'!$B$2:$B$20,(1+ROUNDDOWN((ROW()-ROW($C$5))*1/6,2)))</f>
        <v>Non-PVC Materials Converting</v>
      </c>
      <c r="D68" s="307" t="s">
        <v>74</v>
      </c>
      <c r="E68" s="374" t="s">
        <v>93</v>
      </c>
      <c r="F68" s="393" t="s">
        <v>218</v>
      </c>
      <c r="G68" s="395">
        <f>IF(E68="High-End",SUMIFS(Inhalation_Exp[24hr_High-End],Inhalation_Exp[OES],$C68,Inhalation_Exp[Worker Type],$D68),SUMIFS(Inhalation_Exp[24hr_Central Tendency],Inhalation_Exp[OES],$C68,Inhalation_Exp[Worker Type],$D68))</f>
        <v>9.8584742837417999E-2</v>
      </c>
      <c r="H68" s="205">
        <f>IF(E68="High-End",SUMIFS(Inhalation_Exp[Int_High-End],Inhalation_Exp[OES],$C68,Inhalation_Exp[Worker Type],$D68),SUMIFS(Inhalation_Exp[Int_Central Tendency],Inhalation_Exp[OES],$C68,Inhalation_Exp[Worker Type],$D68))</f>
        <v>7.2295478080773204E-2</v>
      </c>
      <c r="I68" s="205">
        <f>IF(E68="High-End",SUMIFS(Inhalation_Exp[ADD_High-End],Inhalation_Exp[OES],$C68,Inhalation_Exp[Worker Type],$D68),SUMIFS(Inhalation_Exp[ADD_Central Tendency],Inhalation_Exp[OES],$C68,Inhalation_Exp[Worker Type],$D68))</f>
        <v>5.9150845702450799E-2</v>
      </c>
      <c r="J68" s="205">
        <f>IF(E68="High-End",SUMIFS(Inhalation_Exp[LADD_High-End],Inhalation_Exp[OES],$C68,Inhalation_Exp[Worker Type],$D68),SUMIFS(Inhalation_Exp[LADD_Central Tendency],Inhalation_Exp[OES],$C68,Inhalation_Exp[Worker Type],$D68))</f>
        <v>2.3508669445845828E-2</v>
      </c>
      <c r="K68" s="275">
        <f>IF($E68="High-End",SUMIFS(Dermal_Exp[High-End AD (mg/kg-day)],Dermal_Exp[Worker Type],$D68,Dermal_Exp[OES],$C68),SUMIFS(Dermal_Exp[Central Tendency AD (mg/kg-day)],Dermal_Exp[Worker Type],$D68,Dermal_Exp[OES],$C68))</f>
        <v>5.4727624309392261E-3</v>
      </c>
      <c r="L68" s="275">
        <f>IF($E68="High-End",SUMIFS(Dermal_Exp[High-End IADD (mg/kg-day)],Dermal_Exp[Worker Type],$D68,Dermal_Exp[OES],$C68),SUMIFS(Dermal_Exp[Central Tendency IADD (mg/kg-day)],Dermal_Exp[Worker Type],$D68,Dermal_Exp[OES],$C68))</f>
        <v>4.0133591160220992E-3</v>
      </c>
      <c r="M68" s="275">
        <f>IF($E68="High-End",SUMIFS(Dermal_Exp[High-End ADD (mg/kg-day)],Dermal_Exp[Worker Type],$D68,Dermal_Exp[OES],$C68),SUMIFS(Dermal_Exp[Central Tendency ADD (mg/kg-day)],Dermal_Exp[Worker Type],$D68,Dermal_Exp[OES],$C68))</f>
        <v>3.2836574585635358E-3</v>
      </c>
      <c r="N68" s="275">
        <f>IF($E68="High-End",SUMIFS(Dermal_Exp[High-End LADD (mg/kg-day)],Dermal_Exp[Worker Type],$D68,Dermal_Exp[OES],$C68),SUMIFS(Dermal_Exp[Central Tendency LADD (mg/kg-day)],Dermal_Exp[Worker Type],$D68,Dermal_Exp[OES],$C68))</f>
        <v>1.305043348916277E-3</v>
      </c>
      <c r="O68" s="275">
        <f t="shared" si="5"/>
        <v>0.10405750526835722</v>
      </c>
      <c r="P68" s="275">
        <f t="shared" si="2"/>
        <v>7.6308837196795307E-2</v>
      </c>
      <c r="Q68" s="275">
        <f t="shared" si="3"/>
        <v>6.2434503161014336E-2</v>
      </c>
      <c r="R68" s="295">
        <f t="shared" si="4"/>
        <v>2.4813712794762105E-2</v>
      </c>
      <c r="AF68" s="12"/>
      <c r="AG68" s="12"/>
      <c r="AH68" s="12"/>
      <c r="AI68" s="12"/>
      <c r="AJ68" s="12"/>
      <c r="AK68" s="12"/>
      <c r="AL68" s="12"/>
    </row>
    <row r="69" spans="3:38" x14ac:dyDescent="0.35">
      <c r="C69" s="392" t="str" cm="1">
        <f t="array" ref="C69">INDEX('List Values'!$B$2:$B$20,(1+ROUNDDOWN((ROW()-ROW($C$5))*1/6,2)))</f>
        <v>Non-PVC Materials Converting</v>
      </c>
      <c r="D69" s="307" t="s">
        <v>94</v>
      </c>
      <c r="E69" s="374" t="s">
        <v>92</v>
      </c>
      <c r="F69" s="393" t="s">
        <v>218</v>
      </c>
      <c r="G69" s="395">
        <f>IF(E69="High-End",SUMIFS(Inhalation_Exp[24hr_High-End],Inhalation_Exp[OES],$C69,Inhalation_Exp[Worker Type],$D69),SUMIFS(Inhalation_Exp[24hr_Central Tendency],Inhalation_Exp[OES],$C69,Inhalation_Exp[Worker Type],$D69))</f>
        <v>8.9249999999999996E-2</v>
      </c>
      <c r="H69" s="205">
        <f>IF(E69="High-End",SUMIFS(Inhalation_Exp[Int_High-End],Inhalation_Exp[OES],$C69,Inhalation_Exp[Worker Type],$D69),SUMIFS(Inhalation_Exp[Int_Central Tendency],Inhalation_Exp[OES],$C69,Inhalation_Exp[Worker Type],$D69))</f>
        <v>6.5449999999999994E-2</v>
      </c>
      <c r="I69" s="205">
        <f>IF(E69="High-End",SUMIFS(Inhalation_Exp[ADD_High-End],Inhalation_Exp[OES],$C69,Inhalation_Exp[Worker Type],$D69),SUMIFS(Inhalation_Exp[ADD_Central Tendency],Inhalation_Exp[OES],$C69,Inhalation_Exp[Worker Type],$D69))</f>
        <v>6.1130136986301369E-2</v>
      </c>
      <c r="J69" s="205">
        <f>IF(E69="High-End",SUMIFS(Inhalation_Exp[LADD_High-End],Inhalation_Exp[OES],$C69,Inhalation_Exp[Worker Type],$D69),SUMIFS(Inhalation_Exp[LADD_Central Tendency],Inhalation_Exp[OES],$C69,Inhalation_Exp[Worker Type],$D69))</f>
        <v>3.1348788198103265E-2</v>
      </c>
      <c r="K69" s="275">
        <f>IF($E69="High-End",SUMIFS(Dermal_Exp[High-End AD (mg/kg-day)],Dermal_Exp[Worker Type],$D69,Dermal_Exp[OES],$C69),SUMIFS(Dermal_Exp[Central Tendency AD (mg/kg-day)],Dermal_Exp[Worker Type],$D69,Dermal_Exp[OES],$C69))</f>
        <v>2.9828399999999996E-3</v>
      </c>
      <c r="L69" s="275">
        <f>IF($E69="High-End",SUMIFS(Dermal_Exp[High-End IADD (mg/kg-day)],Dermal_Exp[Worker Type],$D69,Dermal_Exp[OES],$C69),SUMIFS(Dermal_Exp[Central Tendency IADD (mg/kg-day)],Dermal_Exp[Worker Type],$D69,Dermal_Exp[OES],$C69))</f>
        <v>2.1874159999999998E-3</v>
      </c>
      <c r="M69" s="275">
        <f>IF($E69="High-End",SUMIFS(Dermal_Exp[High-End ADD (mg/kg-day)],Dermal_Exp[Worker Type],$D69,Dermal_Exp[OES],$C69),SUMIFS(Dermal_Exp[Central Tendency ADD (mg/kg-day)],Dermal_Exp[Worker Type],$D69,Dermal_Exp[OES],$C69))</f>
        <v>2.0430410958904104E-3</v>
      </c>
      <c r="N69" s="275">
        <f>IF($E69="High-End",SUMIFS(Dermal_Exp[High-End LADD (mg/kg-day)],Dermal_Exp[Worker Type],$D69,Dermal_Exp[OES],$C69),SUMIFS(Dermal_Exp[Central Tendency LADD (mg/kg-day)],Dermal_Exp[Worker Type],$D69,Dermal_Exp[OES],$C69))</f>
        <v>1.047713382507903E-3</v>
      </c>
      <c r="O69" s="275">
        <f t="shared" si="5"/>
        <v>9.2232839999999996E-2</v>
      </c>
      <c r="P69" s="275">
        <f t="shared" si="2"/>
        <v>6.7637415999999992E-2</v>
      </c>
      <c r="Q69" s="275">
        <f t="shared" si="3"/>
        <v>6.3173178082191778E-2</v>
      </c>
      <c r="R69" s="295">
        <f t="shared" si="4"/>
        <v>3.2396501580611171E-2</v>
      </c>
      <c r="AF69" s="12"/>
      <c r="AG69" s="12"/>
      <c r="AH69" s="12"/>
      <c r="AI69" s="12"/>
      <c r="AJ69" s="12"/>
      <c r="AK69" s="12"/>
      <c r="AL69" s="12"/>
    </row>
    <row r="70" spans="3:38" x14ac:dyDescent="0.35">
      <c r="C70" s="392" t="str" cm="1">
        <f t="array" ref="C70">INDEX('List Values'!$B$2:$B$20,(1+ROUNDDOWN((ROW()-ROW($C$5))*1/6,2)))</f>
        <v>Non-PVC Materials Converting</v>
      </c>
      <c r="D70" s="307" t="s">
        <v>94</v>
      </c>
      <c r="E70" s="374" t="s">
        <v>93</v>
      </c>
      <c r="F70" s="393" t="s">
        <v>218</v>
      </c>
      <c r="G70" s="395">
        <f>IF(E70="High-End",SUMIFS(Inhalation_Exp[24hr_High-End],Inhalation_Exp[OES],$C70,Inhalation_Exp[Worker Type],$D70),SUMIFS(Inhalation_Exp[24hr_Central Tendency],Inhalation_Exp[OES],$C70,Inhalation_Exp[Worker Type],$D70))</f>
        <v>8.9249999999999996E-2</v>
      </c>
      <c r="H70" s="205">
        <f>IF(E70="High-End",SUMIFS(Inhalation_Exp[Int_High-End],Inhalation_Exp[OES],$C70,Inhalation_Exp[Worker Type],$D70),SUMIFS(Inhalation_Exp[Int_Central Tendency],Inhalation_Exp[OES],$C70,Inhalation_Exp[Worker Type],$D70))</f>
        <v>6.5449999999999994E-2</v>
      </c>
      <c r="I70" s="205">
        <f>IF(E70="High-End",SUMIFS(Inhalation_Exp[ADD_High-End],Inhalation_Exp[OES],$C70,Inhalation_Exp[Worker Type],$D70),SUMIFS(Inhalation_Exp[ADD_Central Tendency],Inhalation_Exp[OES],$C70,Inhalation_Exp[Worker Type],$D70))</f>
        <v>5.3549999999999993E-2</v>
      </c>
      <c r="J70" s="205">
        <f>IF(E70="High-End",SUMIFS(Inhalation_Exp[LADD_High-End],Inhalation_Exp[OES],$C70,Inhalation_Exp[Worker Type],$D70),SUMIFS(Inhalation_Exp[LADD_Central Tendency],Inhalation_Exp[OES],$C70,Inhalation_Exp[Worker Type],$D70))</f>
        <v>2.1282692307692305E-2</v>
      </c>
      <c r="K70" s="275">
        <f>IF($E70="High-End",SUMIFS(Dermal_Exp[High-End AD (mg/kg-day)],Dermal_Exp[Worker Type],$D70,Dermal_Exp[OES],$C70),SUMIFS(Dermal_Exp[Central Tendency AD (mg/kg-day)],Dermal_Exp[Worker Type],$D70,Dermal_Exp[OES],$C70))</f>
        <v>2.9828399999999996E-3</v>
      </c>
      <c r="L70" s="275">
        <f>IF($E70="High-End",SUMIFS(Dermal_Exp[High-End IADD (mg/kg-day)],Dermal_Exp[Worker Type],$D70,Dermal_Exp[OES],$C70),SUMIFS(Dermal_Exp[Central Tendency IADD (mg/kg-day)],Dermal_Exp[Worker Type],$D70,Dermal_Exp[OES],$C70))</f>
        <v>2.1874159999999998E-3</v>
      </c>
      <c r="M70" s="275">
        <f>IF($E70="High-End",SUMIFS(Dermal_Exp[High-End ADD (mg/kg-day)],Dermal_Exp[Worker Type],$D70,Dermal_Exp[OES],$C70),SUMIFS(Dermal_Exp[Central Tendency ADD (mg/kg-day)],Dermal_Exp[Worker Type],$D70,Dermal_Exp[OES],$C70))</f>
        <v>1.7897039999999998E-3</v>
      </c>
      <c r="N70" s="275">
        <f>IF($E70="High-End",SUMIFS(Dermal_Exp[High-End LADD (mg/kg-day)],Dermal_Exp[Worker Type],$D70,Dermal_Exp[OES],$C70),SUMIFS(Dermal_Exp[Central Tendency LADD (mg/kg-day)],Dermal_Exp[Worker Type],$D70,Dermal_Exp[OES],$C70))</f>
        <v>7.1129261538461531E-4</v>
      </c>
      <c r="O70" s="275">
        <f t="shared" si="5"/>
        <v>9.2232839999999996E-2</v>
      </c>
      <c r="P70" s="275">
        <f t="shared" si="2"/>
        <v>6.7637415999999992E-2</v>
      </c>
      <c r="Q70" s="275">
        <f t="shared" si="3"/>
        <v>5.5339703999999997E-2</v>
      </c>
      <c r="R70" s="295">
        <f t="shared" si="4"/>
        <v>2.1993984923076922E-2</v>
      </c>
      <c r="AF70" s="12"/>
      <c r="AG70" s="12"/>
      <c r="AH70" s="12"/>
      <c r="AI70" s="12"/>
      <c r="AJ70" s="12"/>
      <c r="AK70" s="12"/>
      <c r="AL70" s="12"/>
    </row>
    <row r="71" spans="3:38" x14ac:dyDescent="0.35">
      <c r="C71" s="392" t="str" cm="1">
        <f t="array" ref="C71">INDEX('List Values'!$B$2:$B$20,(1+ROUNDDOWN((ROW()-ROW($C$5))*1/6,2)))</f>
        <v>Application of paints and coatings</v>
      </c>
      <c r="D71" s="307" t="s">
        <v>214</v>
      </c>
      <c r="E71" s="374" t="s">
        <v>92</v>
      </c>
      <c r="F71" s="393" t="s">
        <v>218</v>
      </c>
      <c r="G71" s="395">
        <f>IF(E71="High-End",SUMIFS(Inhalation_Exp[24hr_High-End],Inhalation_Exp[OES],$C71,Inhalation_Exp[Worker Type],$D71),SUMIFS(Inhalation_Exp[24hr_Central Tendency],Inhalation_Exp[OES],$C71,Inhalation_Exp[Worker Type],$D71))</f>
        <v>2.7680624999999939</v>
      </c>
      <c r="H71" s="205">
        <f>IF(E71="High-End",SUMIFS(Inhalation_Exp[Int_High-End],Inhalation_Exp[OES],$C71,Inhalation_Exp[Worker Type],$D71),SUMIFS(Inhalation_Exp[Int_Central Tendency],Inhalation_Exp[OES],$C71,Inhalation_Exp[Worker Type],$D71))</f>
        <v>2.0299124999999956</v>
      </c>
      <c r="I71" s="205">
        <f>IF(E71="High-End",SUMIFS(Inhalation_Exp[ADD_High-End],Inhalation_Exp[OES],$C71,Inhalation_Exp[Worker Type],$D71),SUMIFS(Inhalation_Exp[ADD_Central Tendency],Inhalation_Exp[OES],$C71,Inhalation_Exp[Worker Type],$D71))</f>
        <v>1.8959332191780782</v>
      </c>
      <c r="J71" s="205">
        <f>IF(E71="High-End",SUMIFS(Inhalation_Exp[LADD_High-End],Inhalation_Exp[OES],$C71,Inhalation_Exp[Worker Type],$D71),SUMIFS(Inhalation_Exp[LADD_Central Tendency],Inhalation_Exp[OES],$C71,Inhalation_Exp[Worker Type],$D71))</f>
        <v>0.97227344573234775</v>
      </c>
      <c r="K71" s="275">
        <f>IF($E71="High-End",SUMIFS(Dermal_Exp[High-End AD (mg/kg-day)],Dermal_Exp[Worker Type],$D71,Dermal_Exp[OES],$C71),SUMIFS(Dermal_Exp[Central Tendency AD (mg/kg-day)],Dermal_Exp[Worker Type],$D71,Dermal_Exp[OES],$C71))</f>
        <v>6.6339999999999996E-2</v>
      </c>
      <c r="L71" s="275">
        <f>IF($E71="High-End",SUMIFS(Dermal_Exp[High-End IADD (mg/kg-day)],Dermal_Exp[Worker Type],$D71,Dermal_Exp[OES],$C71),SUMIFS(Dermal_Exp[Central Tendency IADD (mg/kg-day)],Dermal_Exp[Worker Type],$D71,Dermal_Exp[OES],$C71))</f>
        <v>4.8649333333333329E-2</v>
      </c>
      <c r="M71" s="275">
        <f>IF($E71="High-End",SUMIFS(Dermal_Exp[High-End ADD (mg/kg-day)],Dermal_Exp[Worker Type],$D71,Dermal_Exp[OES],$C71),SUMIFS(Dermal_Exp[Central Tendency ADD (mg/kg-day)],Dermal_Exp[Worker Type],$D71,Dermal_Exp[OES],$C71))</f>
        <v>4.5438356164383555E-2</v>
      </c>
      <c r="N71" s="275">
        <f>IF($E71="High-End",SUMIFS(Dermal_Exp[High-End LADD (mg/kg-day)],Dermal_Exp[Worker Type],$D71,Dermal_Exp[OES],$C71),SUMIFS(Dermal_Exp[Central Tendency LADD (mg/kg-day)],Dermal_Exp[Worker Type],$D71,Dermal_Exp[OES],$C71))</f>
        <v>2.3301721109940284E-2</v>
      </c>
      <c r="O71" s="275">
        <f t="shared" si="5"/>
        <v>2.8344024999999937</v>
      </c>
      <c r="P71" s="275">
        <f t="shared" si="2"/>
        <v>2.0785618333333291</v>
      </c>
      <c r="Q71" s="275">
        <f t="shared" si="3"/>
        <v>1.9413715753424619</v>
      </c>
      <c r="R71" s="295">
        <f t="shared" si="4"/>
        <v>0.99557516684228808</v>
      </c>
      <c r="AF71" s="12"/>
      <c r="AG71" s="12"/>
      <c r="AH71" s="12"/>
      <c r="AI71" s="12"/>
      <c r="AJ71" s="12"/>
      <c r="AK71" s="12"/>
      <c r="AL71" s="12"/>
    </row>
    <row r="72" spans="3:38" x14ac:dyDescent="0.35">
      <c r="C72" s="392" t="str" cm="1">
        <f t="array" ref="C72">INDEX('List Values'!$B$2:$B$20,(1+ROUNDDOWN((ROW()-ROW($C$5))*1/6,2)))</f>
        <v>Application of paints and coatings</v>
      </c>
      <c r="D72" s="307" t="s">
        <v>214</v>
      </c>
      <c r="E72" s="374" t="s">
        <v>93</v>
      </c>
      <c r="F72" s="393" t="s">
        <v>218</v>
      </c>
      <c r="G72" s="395">
        <f>IF(E72="High-End",SUMIFS(Inhalation_Exp[24hr_High-End],Inhalation_Exp[OES],$C72,Inhalation_Exp[Worker Type],$D72),SUMIFS(Inhalation_Exp[24hr_Central Tendency],Inhalation_Exp[OES],$C72,Inhalation_Exp[Worker Type],$D72))</f>
        <v>0.21249999999999999</v>
      </c>
      <c r="H72" s="205">
        <f>IF(E72="High-End",SUMIFS(Inhalation_Exp[Int_High-End],Inhalation_Exp[OES],$C72,Inhalation_Exp[Worker Type],$D72),SUMIFS(Inhalation_Exp[Int_Central Tendency],Inhalation_Exp[OES],$C72,Inhalation_Exp[Worker Type],$D72))</f>
        <v>0.15583333333333332</v>
      </c>
      <c r="I72" s="205">
        <f>IF(E72="High-End",SUMIFS(Inhalation_Exp[ADD_High-End],Inhalation_Exp[OES],$C72,Inhalation_Exp[Worker Type],$D72),SUMIFS(Inhalation_Exp[ADD_Central Tendency],Inhalation_Exp[OES],$C72,Inhalation_Exp[Worker Type],$D72))</f>
        <v>0.14554794520547945</v>
      </c>
      <c r="J72" s="205">
        <f>IF(E72="High-End",SUMIFS(Inhalation_Exp[LADD_High-End],Inhalation_Exp[OES],$C72,Inhalation_Exp[Worker Type],$D72),SUMIFS(Inhalation_Exp[LADD_Central Tendency],Inhalation_Exp[OES],$C72,Inhalation_Exp[Worker Type],$D72))</f>
        <v>5.7845978222690553E-2</v>
      </c>
      <c r="K72" s="275">
        <f>IF($E72="High-End",SUMIFS(Dermal_Exp[High-End AD (mg/kg-day)],Dermal_Exp[Worker Type],$D72,Dermal_Exp[OES],$C72),SUMIFS(Dermal_Exp[Central Tendency AD (mg/kg-day)],Dermal_Exp[Worker Type],$D72,Dermal_Exp[OES],$C72))</f>
        <v>3.3169999999999998E-2</v>
      </c>
      <c r="L72" s="275">
        <f>IF($E72="High-End",SUMIFS(Dermal_Exp[High-End IADD (mg/kg-day)],Dermal_Exp[Worker Type],$D72,Dermal_Exp[OES],$C72),SUMIFS(Dermal_Exp[Central Tendency IADD (mg/kg-day)],Dermal_Exp[Worker Type],$D72,Dermal_Exp[OES],$C72))</f>
        <v>2.4324666666666665E-2</v>
      </c>
      <c r="M72" s="275">
        <f>IF($E72="High-End",SUMIFS(Dermal_Exp[High-End ADD (mg/kg-day)],Dermal_Exp[Worker Type],$D72,Dermal_Exp[OES],$C72),SUMIFS(Dermal_Exp[Central Tendency ADD (mg/kg-day)],Dermal_Exp[Worker Type],$D72,Dermal_Exp[OES],$C72))</f>
        <v>2.2719178082191774E-2</v>
      </c>
      <c r="N72" s="275">
        <f>IF($E72="High-End",SUMIFS(Dermal_Exp[High-End LADD (mg/kg-day)],Dermal_Exp[Worker Type],$D72,Dermal_Exp[OES],$C72),SUMIFS(Dermal_Exp[Central Tendency LADD (mg/kg-day)],Dermal_Exp[Worker Type],$D72,Dermal_Exp[OES],$C72))</f>
        <v>9.0294169301018603E-3</v>
      </c>
      <c r="O72" s="275">
        <f t="shared" si="5"/>
        <v>0.24567</v>
      </c>
      <c r="P72" s="275">
        <f t="shared" si="2"/>
        <v>0.18015799999999998</v>
      </c>
      <c r="Q72" s="275">
        <f t="shared" si="3"/>
        <v>0.16826712328767124</v>
      </c>
      <c r="R72" s="295">
        <f t="shared" si="4"/>
        <v>6.6875395152792408E-2</v>
      </c>
      <c r="AF72" s="12"/>
      <c r="AG72" s="12"/>
      <c r="AH72" s="12"/>
      <c r="AI72" s="12"/>
      <c r="AJ72" s="12"/>
      <c r="AK72" s="12"/>
      <c r="AL72" s="12"/>
    </row>
    <row r="73" spans="3:38" x14ac:dyDescent="0.35">
      <c r="C73" s="392" t="str" cm="1">
        <f t="array" ref="C73">INDEX('List Values'!$B$2:$B$20,(1+ROUNDDOWN((ROW()-ROW($C$5))*1/6,2)))</f>
        <v>Application of paints and coatings</v>
      </c>
      <c r="D73" s="307" t="s">
        <v>74</v>
      </c>
      <c r="E73" s="374" t="s">
        <v>92</v>
      </c>
      <c r="F73" s="393" t="s">
        <v>218</v>
      </c>
      <c r="G73" s="395">
        <f>IF(E73="High-End",SUMIFS(Inhalation_Exp[24hr_High-End],Inhalation_Exp[OES],$C73,Inhalation_Exp[Worker Type],$D73),SUMIFS(Inhalation_Exp[24hr_Central Tendency],Inhalation_Exp[OES],$C73,Inhalation_Exp[Worker Type],$D73))</f>
        <v>3.0575768035899134</v>
      </c>
      <c r="H73" s="205">
        <f>IF(E73="High-End",SUMIFS(Inhalation_Exp[Int_High-End],Inhalation_Exp[OES],$C73,Inhalation_Exp[Worker Type],$D73),SUMIFS(Inhalation_Exp[Int_Central Tendency],Inhalation_Exp[OES],$C73,Inhalation_Exp[Worker Type],$D73))</f>
        <v>2.24222298929927</v>
      </c>
      <c r="I73" s="205">
        <f>IF(E73="High-End",SUMIFS(Inhalation_Exp[ADD_High-End],Inhalation_Exp[OES],$C73,Inhalation_Exp[Worker Type],$D73),SUMIFS(Inhalation_Exp[ADD_Central Tendency],Inhalation_Exp[OES],$C73,Inhalation_Exp[Worker Type],$D73))</f>
        <v>2.0942306873903513</v>
      </c>
      <c r="J73" s="205">
        <f>IF(E73="High-End",SUMIFS(Inhalation_Exp[LADD_High-End],Inhalation_Exp[OES],$C73,Inhalation_Exp[Worker Type],$D73),SUMIFS(Inhalation_Exp[LADD_Central Tendency],Inhalation_Exp[OES],$C73,Inhalation_Exp[Worker Type],$D73))</f>
        <v>1.0739644550719751</v>
      </c>
      <c r="K73" s="275">
        <f>IF($E73="High-End",SUMIFS(Dermal_Exp[High-End AD (mg/kg-day)],Dermal_Exp[Worker Type],$D73,Dermal_Exp[OES],$C73),SUMIFS(Dermal_Exp[Central Tendency AD (mg/kg-day)],Dermal_Exp[Worker Type],$D73,Dermal_Exp[OES],$C73))</f>
        <v>6.0972375690607726E-2</v>
      </c>
      <c r="L73" s="275">
        <f>IF($E73="High-End",SUMIFS(Dermal_Exp[High-End IADD (mg/kg-day)],Dermal_Exp[Worker Type],$D73,Dermal_Exp[OES],$C73),SUMIFS(Dermal_Exp[Central Tendency IADD (mg/kg-day)],Dermal_Exp[Worker Type],$D73,Dermal_Exp[OES],$C73))</f>
        <v>4.4713075506445668E-2</v>
      </c>
      <c r="M73" s="275">
        <f>IF($E73="High-End",SUMIFS(Dermal_Exp[High-End ADD (mg/kg-day)],Dermal_Exp[Worker Type],$D73,Dermal_Exp[OES],$C73),SUMIFS(Dermal_Exp[Central Tendency ADD (mg/kg-day)],Dermal_Exp[Worker Type],$D73,Dermal_Exp[OES],$C73))</f>
        <v>4.1761901157950497E-2</v>
      </c>
      <c r="N73" s="275">
        <f>IF($E73="High-End",SUMIFS(Dermal_Exp[High-End LADD (mg/kg-day)],Dermal_Exp[Worker Type],$D73,Dermal_Exp[OES],$C73),SUMIFS(Dermal_Exp[Central Tendency LADD (mg/kg-day)],Dermal_Exp[Worker Type],$D73,Dermal_Exp[OES],$C73))</f>
        <v>2.1416359568179742E-2</v>
      </c>
      <c r="O73" s="275">
        <f t="shared" si="5"/>
        <v>3.1185491792805209</v>
      </c>
      <c r="P73" s="275">
        <f t="shared" si="2"/>
        <v>2.2869360648057158</v>
      </c>
      <c r="Q73" s="275">
        <f t="shared" si="3"/>
        <v>2.135992588548302</v>
      </c>
      <c r="R73" s="295">
        <f t="shared" si="4"/>
        <v>1.0953808146401549</v>
      </c>
      <c r="AF73" s="12"/>
      <c r="AG73" s="12"/>
      <c r="AH73" s="12"/>
      <c r="AI73" s="12"/>
      <c r="AJ73" s="12"/>
      <c r="AK73" s="12"/>
      <c r="AL73" s="12"/>
    </row>
    <row r="74" spans="3:38" x14ac:dyDescent="0.35">
      <c r="C74" s="392" t="str" cm="1">
        <f t="array" ref="C74">INDEX('List Values'!$B$2:$B$20,(1+ROUNDDOWN((ROW()-ROW($C$5))*1/6,2)))</f>
        <v>Application of paints and coatings</v>
      </c>
      <c r="D74" s="307" t="s">
        <v>74</v>
      </c>
      <c r="E74" s="374" t="s">
        <v>93</v>
      </c>
      <c r="F74" s="393" t="s">
        <v>218</v>
      </c>
      <c r="G74" s="395">
        <f>IF(E74="High-End",SUMIFS(Inhalation_Exp[24hr_High-End],Inhalation_Exp[OES],$C74,Inhalation_Exp[Worker Type],$D74),SUMIFS(Inhalation_Exp[24hr_Central Tendency],Inhalation_Exp[OES],$C74,Inhalation_Exp[Worker Type],$D74))</f>
        <v>0.23472557818432857</v>
      </c>
      <c r="H74" s="205">
        <f>IF(E74="High-End",SUMIFS(Inhalation_Exp[Int_High-End],Inhalation_Exp[OES],$C74,Inhalation_Exp[Worker Type],$D74),SUMIFS(Inhalation_Exp[Int_Central Tendency],Inhalation_Exp[OES],$C74,Inhalation_Exp[Worker Type],$D74))</f>
        <v>0.17213209066850763</v>
      </c>
      <c r="I74" s="205">
        <f>IF(E74="High-End",SUMIFS(Inhalation_Exp[ADD_High-End],Inhalation_Exp[OES],$C74,Inhalation_Exp[Worker Type],$D74),SUMIFS(Inhalation_Exp[ADD_Central Tendency],Inhalation_Exp[OES],$C74,Inhalation_Exp[Worker Type],$D74))</f>
        <v>0.16077094396186889</v>
      </c>
      <c r="J74" s="205">
        <f>IF(E74="High-End",SUMIFS(Inhalation_Exp[LADD_High-End],Inhalation_Exp[OES],$C74,Inhalation_Exp[Worker Type],$D74),SUMIFS(Inhalation_Exp[LADD_Central Tendency],Inhalation_Exp[OES],$C74,Inhalation_Exp[Worker Type],$D74))</f>
        <v>6.3896144395101745E-2</v>
      </c>
      <c r="K74" s="275">
        <f>IF($E74="High-End",SUMIFS(Dermal_Exp[High-End AD (mg/kg-day)],Dermal_Exp[Worker Type],$D74,Dermal_Exp[OES],$C74),SUMIFS(Dermal_Exp[Central Tendency AD (mg/kg-day)],Dermal_Exp[Worker Type],$D74,Dermal_Exp[OES],$C74))</f>
        <v>3.0486187845303863E-2</v>
      </c>
      <c r="L74" s="275">
        <f>IF($E74="High-End",SUMIFS(Dermal_Exp[High-End IADD (mg/kg-day)],Dermal_Exp[Worker Type],$D74,Dermal_Exp[OES],$C74),SUMIFS(Dermal_Exp[Central Tendency IADD (mg/kg-day)],Dermal_Exp[Worker Type],$D74,Dermal_Exp[OES],$C74))</f>
        <v>2.2356537753222834E-2</v>
      </c>
      <c r="M74" s="275">
        <f>IF($E74="High-End",SUMIFS(Dermal_Exp[High-End ADD (mg/kg-day)],Dermal_Exp[Worker Type],$D74,Dermal_Exp[OES],$C74),SUMIFS(Dermal_Exp[Central Tendency ADD (mg/kg-day)],Dermal_Exp[Worker Type],$D74,Dermal_Exp[OES],$C74))</f>
        <v>2.0880950578975249E-2</v>
      </c>
      <c r="N74" s="275">
        <f>IF($E74="High-End",SUMIFS(Dermal_Exp[High-End LADD (mg/kg-day)],Dermal_Exp[Worker Type],$D74,Dermal_Exp[OES],$C74),SUMIFS(Dermal_Exp[Central Tendency LADD (mg/kg-day)],Dermal_Exp[Worker Type],$D74,Dermal_Exp[OES],$C74))</f>
        <v>8.2988393326696493E-3</v>
      </c>
      <c r="O74" s="275">
        <f t="shared" si="5"/>
        <v>0.26521176602963242</v>
      </c>
      <c r="P74" s="275">
        <f t="shared" si="2"/>
        <v>0.19448862842173045</v>
      </c>
      <c r="Q74" s="275">
        <f t="shared" si="3"/>
        <v>0.18165189454084413</v>
      </c>
      <c r="R74" s="295">
        <f t="shared" si="4"/>
        <v>7.2194983727771389E-2</v>
      </c>
      <c r="AF74" s="12"/>
      <c r="AG74" s="12"/>
      <c r="AH74" s="12"/>
      <c r="AI74" s="12"/>
      <c r="AJ74" s="12"/>
      <c r="AK74" s="12"/>
      <c r="AL74" s="12"/>
    </row>
    <row r="75" spans="3:38" x14ac:dyDescent="0.35">
      <c r="C75" s="392" t="str" cm="1">
        <f t="array" ref="C75">INDEX('List Values'!$B$2:$B$20,(1+ROUNDDOWN((ROW()-ROW($C$5))*1/6,2)))</f>
        <v>Application of paints and coatings</v>
      </c>
      <c r="D75" s="307" t="s">
        <v>94</v>
      </c>
      <c r="E75" s="374" t="s">
        <v>92</v>
      </c>
      <c r="F75" s="393" t="s">
        <v>218</v>
      </c>
      <c r="G75" s="395">
        <f>IF(E75="High-End",SUMIFS(Inhalation_Exp[24hr_High-End],Inhalation_Exp[OES],$C75,Inhalation_Exp[Worker Type],$D75),SUMIFS(Inhalation_Exp[24hr_Central Tendency],Inhalation_Exp[OES],$C75,Inhalation_Exp[Worker Type],$D75))</f>
        <v>0.25479687499999998</v>
      </c>
      <c r="H75" s="205">
        <f>IF(E75="High-End",SUMIFS(Inhalation_Exp[Int_High-End],Inhalation_Exp[OES],$C75,Inhalation_Exp[Worker Type],$D75),SUMIFS(Inhalation_Exp[Int_Central Tendency],Inhalation_Exp[OES],$C75,Inhalation_Exp[Worker Type],$D75))</f>
        <v>0.18685104166666663</v>
      </c>
      <c r="I75" s="205">
        <f>IF(E75="High-End",SUMIFS(Inhalation_Exp[ADD_High-End],Inhalation_Exp[OES],$C75,Inhalation_Exp[Worker Type],$D75),SUMIFS(Inhalation_Exp[ADD_Central Tendency],Inhalation_Exp[OES],$C75,Inhalation_Exp[Worker Type],$D75))</f>
        <v>0.17451840753424655</v>
      </c>
      <c r="J75" s="205">
        <f>IF(E75="High-End",SUMIFS(Inhalation_Exp[LADD_High-End],Inhalation_Exp[OES],$C75,Inhalation_Exp[Worker Type],$D75),SUMIFS(Inhalation_Exp[LADD_Central Tendency],Inhalation_Exp[OES],$C75,Inhalation_Exp[Worker Type],$D75))</f>
        <v>8.9496619248331563E-2</v>
      </c>
      <c r="K75" s="275">
        <f>IF($E75="High-End",SUMIFS(Dermal_Exp[High-End AD (mg/kg-day)],Dermal_Exp[Worker Type],$D75,Dermal_Exp[OES],$C75),SUMIFS(Dermal_Exp[Central Tendency AD (mg/kg-day)],Dermal_Exp[Worker Type],$D75,Dermal_Exp[OES],$C75))</f>
        <v>1.6584999999999999E-2</v>
      </c>
      <c r="L75" s="275">
        <f>IF($E75="High-End",SUMIFS(Dermal_Exp[High-End IADD (mg/kg-day)],Dermal_Exp[Worker Type],$D75,Dermal_Exp[OES],$C75),SUMIFS(Dermal_Exp[Central Tendency IADD (mg/kg-day)],Dermal_Exp[Worker Type],$D75,Dermal_Exp[OES],$C75))</f>
        <v>1.2162333333333332E-2</v>
      </c>
      <c r="M75" s="275">
        <f>IF($E75="High-End",SUMIFS(Dermal_Exp[High-End ADD (mg/kg-day)],Dermal_Exp[Worker Type],$D75,Dermal_Exp[OES],$C75),SUMIFS(Dermal_Exp[Central Tendency ADD (mg/kg-day)],Dermal_Exp[Worker Type],$D75,Dermal_Exp[OES],$C75))</f>
        <v>1.1359589041095889E-2</v>
      </c>
      <c r="N75" s="275">
        <f>IF($E75="High-End",SUMIFS(Dermal_Exp[High-End LADD (mg/kg-day)],Dermal_Exp[Worker Type],$D75,Dermal_Exp[OES],$C75),SUMIFS(Dermal_Exp[Central Tendency LADD (mg/kg-day)],Dermal_Exp[Worker Type],$D75,Dermal_Exp[OES],$C75))</f>
        <v>5.8254302774850709E-3</v>
      </c>
      <c r="O75" s="275">
        <f t="shared" si="5"/>
        <v>0.27138187499999999</v>
      </c>
      <c r="P75" s="275">
        <f t="shared" ref="P75:P100" si="6">H75+L75</f>
        <v>0.19901337499999996</v>
      </c>
      <c r="Q75" s="275">
        <f t="shared" ref="Q75:Q100" si="7">I75+M75</f>
        <v>0.18587799657534243</v>
      </c>
      <c r="R75" s="295">
        <f t="shared" ref="R75:R100" si="8">J75+N75</f>
        <v>9.5322049525816632E-2</v>
      </c>
      <c r="AF75" s="12"/>
      <c r="AG75" s="12"/>
      <c r="AH75" s="12"/>
      <c r="AI75" s="12"/>
      <c r="AJ75" s="12"/>
      <c r="AK75" s="12"/>
      <c r="AL75" s="12"/>
    </row>
    <row r="76" spans="3:38" x14ac:dyDescent="0.35">
      <c r="C76" s="392" t="str" cm="1">
        <f t="array" ref="C76">INDEX('List Values'!$B$2:$B$20,(1+ROUNDDOWN((ROW()-ROW($C$5))*1/6,2)))</f>
        <v>Application of paints and coatings</v>
      </c>
      <c r="D76" s="307" t="s">
        <v>94</v>
      </c>
      <c r="E76" s="374" t="s">
        <v>93</v>
      </c>
      <c r="F76" s="393" t="s">
        <v>218</v>
      </c>
      <c r="G76" s="395">
        <f>IF(E76="High-End",SUMIFS(Inhalation_Exp[24hr_High-End],Inhalation_Exp[OES],$C76,Inhalation_Exp[Worker Type],$D76),SUMIFS(Inhalation_Exp[24hr_Central Tendency],Inhalation_Exp[OES],$C76,Inhalation_Exp[Worker Type],$D76))</f>
        <v>0.21249999999999999</v>
      </c>
      <c r="H76" s="205">
        <f>IF(E76="High-End",SUMIFS(Inhalation_Exp[Int_High-End],Inhalation_Exp[OES],$C76,Inhalation_Exp[Worker Type],$D76),SUMIFS(Inhalation_Exp[Int_Central Tendency],Inhalation_Exp[OES],$C76,Inhalation_Exp[Worker Type],$D76))</f>
        <v>0.15583333333333332</v>
      </c>
      <c r="I76" s="205">
        <f>IF(E76="High-End",SUMIFS(Inhalation_Exp[ADD_High-End],Inhalation_Exp[OES],$C76,Inhalation_Exp[Worker Type],$D76),SUMIFS(Inhalation_Exp[ADD_Central Tendency],Inhalation_Exp[OES],$C76,Inhalation_Exp[Worker Type],$D76))</f>
        <v>0.14554794520547945</v>
      </c>
      <c r="J76" s="205">
        <f>IF(E76="High-End",SUMIFS(Inhalation_Exp[LADD_High-End],Inhalation_Exp[OES],$C76,Inhalation_Exp[Worker Type],$D76),SUMIFS(Inhalation_Exp[LADD_Central Tendency],Inhalation_Exp[OES],$C76,Inhalation_Exp[Worker Type],$D76))</f>
        <v>5.7845978222690553E-2</v>
      </c>
      <c r="K76" s="275">
        <f>IF($E76="High-End",SUMIFS(Dermal_Exp[High-End AD (mg/kg-day)],Dermal_Exp[Worker Type],$D76,Dermal_Exp[OES],$C76),SUMIFS(Dermal_Exp[Central Tendency AD (mg/kg-day)],Dermal_Exp[Worker Type],$D76,Dermal_Exp[OES],$C76))</f>
        <v>1.6584999999999999E-2</v>
      </c>
      <c r="L76" s="275">
        <f>IF($E76="High-End",SUMIFS(Dermal_Exp[High-End IADD (mg/kg-day)],Dermal_Exp[Worker Type],$D76,Dermal_Exp[OES],$C76),SUMIFS(Dermal_Exp[Central Tendency IADD (mg/kg-day)],Dermal_Exp[Worker Type],$D76,Dermal_Exp[OES],$C76))</f>
        <v>1.2162333333333332E-2</v>
      </c>
      <c r="M76" s="275">
        <f>IF($E76="High-End",SUMIFS(Dermal_Exp[High-End ADD (mg/kg-day)],Dermal_Exp[Worker Type],$D76,Dermal_Exp[OES],$C76),SUMIFS(Dermal_Exp[Central Tendency ADD (mg/kg-day)],Dermal_Exp[Worker Type],$D76,Dermal_Exp[OES],$C76))</f>
        <v>1.1359589041095887E-2</v>
      </c>
      <c r="N76" s="275">
        <f>IF($E76="High-End",SUMIFS(Dermal_Exp[High-End LADD (mg/kg-day)],Dermal_Exp[Worker Type],$D76,Dermal_Exp[OES],$C76),SUMIFS(Dermal_Exp[Central Tendency LADD (mg/kg-day)],Dermal_Exp[Worker Type],$D76,Dermal_Exp[OES],$C76))</f>
        <v>4.5147084650509301E-3</v>
      </c>
      <c r="O76" s="275">
        <f t="shared" ref="O76:O100" si="9">G76+K76</f>
        <v>0.22908499999999998</v>
      </c>
      <c r="P76" s="275">
        <f t="shared" si="6"/>
        <v>0.16799566666666665</v>
      </c>
      <c r="Q76" s="275">
        <f t="shared" si="7"/>
        <v>0.15690753424657533</v>
      </c>
      <c r="R76" s="295">
        <f t="shared" si="8"/>
        <v>6.236068668774148E-2</v>
      </c>
      <c r="AF76" s="12"/>
      <c r="AG76" s="12"/>
      <c r="AH76" s="12"/>
      <c r="AI76" s="12"/>
      <c r="AJ76" s="12"/>
      <c r="AK76" s="12"/>
      <c r="AL76" s="12"/>
    </row>
    <row r="77" spans="3:38" x14ac:dyDescent="0.35">
      <c r="C77" s="392" t="str" cm="1">
        <f t="array" ref="C77">INDEX('List Values'!$B$2:$B$20,(1+ROUNDDOWN((ROW()-ROW($C$5))*1/6,2)))</f>
        <v>Application of Adhesives and Sealants</v>
      </c>
      <c r="D77" s="307" t="s">
        <v>214</v>
      </c>
      <c r="E77" s="374" t="s">
        <v>92</v>
      </c>
      <c r="F77" s="393" t="s">
        <v>218</v>
      </c>
      <c r="G77" s="395">
        <f>IF(E77="High-End",SUMIFS(Inhalation_Exp[24hr_High-End],Inhalation_Exp[OES],$C77,Inhalation_Exp[Worker Type],$D77),SUMIFS(Inhalation_Exp[24hr_Central Tendency],Inhalation_Exp[OES],$C77,Inhalation_Exp[Worker Type],$D77))</f>
        <v>6.2500000000000001E-4</v>
      </c>
      <c r="H77" s="205">
        <f>IF(E77="High-End",SUMIFS(Inhalation_Exp[Int_High-End],Inhalation_Exp[OES],$C77,Inhalation_Exp[Worker Type],$D77),SUMIFS(Inhalation_Exp[Int_Central Tendency],Inhalation_Exp[OES],$C77,Inhalation_Exp[Worker Type],$D77))</f>
        <v>4.5833333333333332E-4</v>
      </c>
      <c r="I77" s="205">
        <f>IF(E77="High-End",SUMIFS(Inhalation_Exp[ADD_High-End],Inhalation_Exp[OES],$C77,Inhalation_Exp[Worker Type],$D77),SUMIFS(Inhalation_Exp[ADD_Central Tendency],Inhalation_Exp[OES],$C77,Inhalation_Exp[Worker Type],$D77))</f>
        <v>4.2808219178082189E-4</v>
      </c>
      <c r="J77" s="205">
        <f>IF(E77="High-End",SUMIFS(Inhalation_Exp[LADD_High-End],Inhalation_Exp[OES],$C77,Inhalation_Exp[Worker Type],$D77),SUMIFS(Inhalation_Exp[LADD_Central Tendency],Inhalation_Exp[OES],$C77,Inhalation_Exp[Worker Type],$D77))</f>
        <v>2.1952932911837022E-4</v>
      </c>
      <c r="K77" s="275">
        <f>IF($E77="High-End",SUMIFS(Dermal_Exp[High-End AD (mg/kg-day)],Dermal_Exp[Worker Type],$D77,Dermal_Exp[OES],$C77),SUMIFS(Dermal_Exp[Central Tendency AD (mg/kg-day)],Dermal_Exp[Worker Type],$D77,Dermal_Exp[OES],$C77))</f>
        <v>6.6339999999999996E-2</v>
      </c>
      <c r="L77" s="275">
        <f>IF($E77="High-End",SUMIFS(Dermal_Exp[High-End IADD (mg/kg-day)],Dermal_Exp[Worker Type],$D77,Dermal_Exp[OES],$C77),SUMIFS(Dermal_Exp[Central Tendency IADD (mg/kg-day)],Dermal_Exp[Worker Type],$D77,Dermal_Exp[OES],$C77))</f>
        <v>4.8649333333333329E-2</v>
      </c>
      <c r="M77" s="275">
        <f>IF($E77="High-End",SUMIFS(Dermal_Exp[High-End ADD (mg/kg-day)],Dermal_Exp[Worker Type],$D77,Dermal_Exp[OES],$C77),SUMIFS(Dermal_Exp[Central Tendency ADD (mg/kg-day)],Dermal_Exp[Worker Type],$D77,Dermal_Exp[OES],$C77))</f>
        <v>4.5438356164383555E-2</v>
      </c>
      <c r="N77" s="275">
        <f>IF($E77="High-End",SUMIFS(Dermal_Exp[High-End LADD (mg/kg-day)],Dermal_Exp[Worker Type],$D77,Dermal_Exp[OES],$C77),SUMIFS(Dermal_Exp[Central Tendency LADD (mg/kg-day)],Dermal_Exp[Worker Type],$D77,Dermal_Exp[OES],$C77))</f>
        <v>2.3301721109940284E-2</v>
      </c>
      <c r="O77" s="275">
        <f t="shared" si="9"/>
        <v>6.6964999999999997E-2</v>
      </c>
      <c r="P77" s="275">
        <f t="shared" si="6"/>
        <v>4.9107666666666661E-2</v>
      </c>
      <c r="Q77" s="275">
        <f t="shared" si="7"/>
        <v>4.5866438356164378E-2</v>
      </c>
      <c r="R77" s="295">
        <f t="shared" si="8"/>
        <v>2.3521250439058655E-2</v>
      </c>
      <c r="AF77" s="12"/>
      <c r="AG77" s="12"/>
      <c r="AH77" s="12"/>
      <c r="AI77" s="12"/>
      <c r="AJ77" s="12"/>
      <c r="AK77" s="12"/>
      <c r="AL77" s="12"/>
    </row>
    <row r="78" spans="3:38" x14ac:dyDescent="0.35">
      <c r="C78" s="392" t="str" cm="1">
        <f t="array" ref="C78">INDEX('List Values'!$B$2:$B$20,(1+ROUNDDOWN((ROW()-ROW($C$5))*1/6,2)))</f>
        <v>Application of Adhesives and Sealants</v>
      </c>
      <c r="D78" s="307" t="s">
        <v>214</v>
      </c>
      <c r="E78" s="374" t="s">
        <v>93</v>
      </c>
      <c r="F78" s="393" t="s">
        <v>218</v>
      </c>
      <c r="G78" s="395">
        <f>IF(E78="High-End",SUMIFS(Inhalation_Exp[24hr_High-End],Inhalation_Exp[OES],$C78,Inhalation_Exp[Worker Type],$D78),SUMIFS(Inhalation_Exp[24hr_Central Tendency],Inhalation_Exp[OES],$C78,Inhalation_Exp[Worker Type],$D78))</f>
        <v>3.1250000000000001E-4</v>
      </c>
      <c r="H78" s="205">
        <f>IF(E78="High-End",SUMIFS(Inhalation_Exp[Int_High-End],Inhalation_Exp[OES],$C78,Inhalation_Exp[Worker Type],$D78),SUMIFS(Inhalation_Exp[Int_Central Tendency],Inhalation_Exp[OES],$C78,Inhalation_Exp[Worker Type],$D78))</f>
        <v>2.2916666666666666E-4</v>
      </c>
      <c r="I78" s="205">
        <f>IF(E78="High-End",SUMIFS(Inhalation_Exp[ADD_High-End],Inhalation_Exp[OES],$C78,Inhalation_Exp[Worker Type],$D78),SUMIFS(Inhalation_Exp[ADD_Central Tendency],Inhalation_Exp[OES],$C78,Inhalation_Exp[Worker Type],$D78))</f>
        <v>1.9863013698630139E-4</v>
      </c>
      <c r="J78" s="205">
        <f>IF(E78="High-End",SUMIFS(Inhalation_Exp[LADD_High-End],Inhalation_Exp[OES],$C78,Inhalation_Exp[Worker Type],$D78),SUMIFS(Inhalation_Exp[LADD_Central Tendency],Inhalation_Exp[OES],$C78,Inhalation_Exp[Worker Type],$D78))</f>
        <v>7.8942746750965931E-5</v>
      </c>
      <c r="K78" s="275">
        <f>IF($E78="High-End",SUMIFS(Dermal_Exp[High-End AD (mg/kg-day)],Dermal_Exp[Worker Type],$D78,Dermal_Exp[OES],$C78),SUMIFS(Dermal_Exp[Central Tendency AD (mg/kg-day)],Dermal_Exp[Worker Type],$D78,Dermal_Exp[OES],$C78))</f>
        <v>3.3169999999999998E-2</v>
      </c>
      <c r="L78" s="275">
        <f>IF($E78="High-End",SUMIFS(Dermal_Exp[High-End IADD (mg/kg-day)],Dermal_Exp[Worker Type],$D78,Dermal_Exp[OES],$C78),SUMIFS(Dermal_Exp[Central Tendency IADD (mg/kg-day)],Dermal_Exp[Worker Type],$D78,Dermal_Exp[OES],$C78))</f>
        <v>2.4324666666666665E-2</v>
      </c>
      <c r="M78" s="275">
        <f>IF($E78="High-End",SUMIFS(Dermal_Exp[High-End ADD (mg/kg-day)],Dermal_Exp[Worker Type],$D78,Dermal_Exp[OES],$C78),SUMIFS(Dermal_Exp[Central Tendency ADD (mg/kg-day)],Dermal_Exp[Worker Type],$D78,Dermal_Exp[OES],$C78))</f>
        <v>2.1083397260273973E-2</v>
      </c>
      <c r="N78" s="275">
        <f>IF($E78="High-End",SUMIFS(Dermal_Exp[High-End LADD (mg/kg-day)],Dermal_Exp[Worker Type],$D78,Dermal_Exp[OES],$C78),SUMIFS(Dermal_Exp[Central Tendency LADD (mg/kg-day)],Dermal_Exp[Worker Type],$D78,Dermal_Exp[OES],$C78))</f>
        <v>8.3792989111345275E-3</v>
      </c>
      <c r="O78" s="275">
        <f t="shared" si="9"/>
        <v>3.3482499999999998E-2</v>
      </c>
      <c r="P78" s="275">
        <f t="shared" si="6"/>
        <v>2.455383333333333E-2</v>
      </c>
      <c r="Q78" s="275">
        <f t="shared" si="7"/>
        <v>2.1282027397260275E-2</v>
      </c>
      <c r="R78" s="295">
        <f t="shared" si="8"/>
        <v>8.4582416578854926E-3</v>
      </c>
      <c r="AF78" s="12"/>
      <c r="AG78" s="12"/>
      <c r="AH78" s="12"/>
      <c r="AI78" s="12"/>
      <c r="AJ78" s="12"/>
      <c r="AK78" s="12"/>
      <c r="AL78" s="12"/>
    </row>
    <row r="79" spans="3:38" x14ac:dyDescent="0.35">
      <c r="C79" s="392" t="str" cm="1">
        <f t="array" ref="C79">INDEX('List Values'!$B$2:$B$20,(1+ROUNDDOWN((ROW()-ROW($C$5))*1/6,2)))</f>
        <v>Application of Adhesives and Sealants</v>
      </c>
      <c r="D79" s="307" t="s">
        <v>74</v>
      </c>
      <c r="E79" s="374" t="s">
        <v>92</v>
      </c>
      <c r="F79" s="393" t="s">
        <v>218</v>
      </c>
      <c r="G79" s="395">
        <f>IF(E79="High-End",SUMIFS(Inhalation_Exp[24hr_High-End],Inhalation_Exp[OES],$C79,Inhalation_Exp[Worker Type],$D79),SUMIFS(Inhalation_Exp[24hr_Central Tendency],Inhalation_Exp[OES],$C79,Inhalation_Exp[Worker Type],$D79))</f>
        <v>6.9036934760096649E-4</v>
      </c>
      <c r="H79" s="205">
        <f>IF(E79="High-End",SUMIFS(Inhalation_Exp[Int_High-End],Inhalation_Exp[OES],$C79,Inhalation_Exp[Worker Type],$D79),SUMIFS(Inhalation_Exp[Int_Central Tendency],Inhalation_Exp[OES],$C79,Inhalation_Exp[Worker Type],$D79))</f>
        <v>5.0627085490737543E-4</v>
      </c>
      <c r="I79" s="205">
        <f>IF(E79="High-End",SUMIFS(Inhalation_Exp[ADD_High-End],Inhalation_Exp[OES],$C79,Inhalation_Exp[Worker Type],$D79),SUMIFS(Inhalation_Exp[ADD_Central Tendency],Inhalation_Exp[OES],$C79,Inhalation_Exp[Worker Type],$D79))</f>
        <v>4.728557175349085E-4</v>
      </c>
      <c r="J79" s="205">
        <f>IF(E79="High-End",SUMIFS(Inhalation_Exp[LADD_High-End],Inhalation_Exp[OES],$C79,Inhalation_Exp[Worker Type],$D79),SUMIFS(Inhalation_Exp[LADD_Central Tendency],Inhalation_Exp[OES],$C79,Inhalation_Exp[Worker Type],$D79))</f>
        <v>2.4249011155636334E-4</v>
      </c>
      <c r="K79" s="275">
        <f>IF($E79="High-End",SUMIFS(Dermal_Exp[High-End AD (mg/kg-day)],Dermal_Exp[Worker Type],$D79,Dermal_Exp[OES],$C79),SUMIFS(Dermal_Exp[Central Tendency AD (mg/kg-day)],Dermal_Exp[Worker Type],$D79,Dermal_Exp[OES],$C79))</f>
        <v>6.0972375690607726E-2</v>
      </c>
      <c r="L79" s="275">
        <f>IF($E79="High-End",SUMIFS(Dermal_Exp[High-End IADD (mg/kg-day)],Dermal_Exp[Worker Type],$D79,Dermal_Exp[OES],$C79),SUMIFS(Dermal_Exp[Central Tendency IADD (mg/kg-day)],Dermal_Exp[Worker Type],$D79,Dermal_Exp[OES],$C79))</f>
        <v>4.4713075506445668E-2</v>
      </c>
      <c r="M79" s="275">
        <f>IF($E79="High-End",SUMIFS(Dermal_Exp[High-End ADD (mg/kg-day)],Dermal_Exp[Worker Type],$D79,Dermal_Exp[OES],$C79),SUMIFS(Dermal_Exp[Central Tendency ADD (mg/kg-day)],Dermal_Exp[Worker Type],$D79,Dermal_Exp[OES],$C79))</f>
        <v>4.1761901157950497E-2</v>
      </c>
      <c r="N79" s="275">
        <f>IF($E79="High-End",SUMIFS(Dermal_Exp[High-End LADD (mg/kg-day)],Dermal_Exp[Worker Type],$D79,Dermal_Exp[OES],$C79),SUMIFS(Dermal_Exp[Central Tendency LADD (mg/kg-day)],Dermal_Exp[Worker Type],$D79,Dermal_Exp[OES],$C79))</f>
        <v>2.1416359568179742E-2</v>
      </c>
      <c r="O79" s="275">
        <f t="shared" si="9"/>
        <v>6.1662745038208691E-2</v>
      </c>
      <c r="P79" s="275">
        <f t="shared" si="6"/>
        <v>4.5219346361353045E-2</v>
      </c>
      <c r="Q79" s="275">
        <f t="shared" si="7"/>
        <v>4.2234756875485405E-2</v>
      </c>
      <c r="R79" s="295">
        <f t="shared" si="8"/>
        <v>2.1658849679736105E-2</v>
      </c>
      <c r="AF79" s="12"/>
      <c r="AG79" s="12"/>
      <c r="AH79" s="12"/>
      <c r="AI79" s="12"/>
      <c r="AJ79" s="12"/>
      <c r="AK79" s="12"/>
      <c r="AL79" s="12"/>
    </row>
    <row r="80" spans="3:38" x14ac:dyDescent="0.35">
      <c r="C80" s="392" t="str" cm="1">
        <f t="array" ref="C80">INDEX('List Values'!$B$2:$B$20,(1+ROUNDDOWN((ROW()-ROW($C$5))*1/6,2)))</f>
        <v>Application of Adhesives and Sealants</v>
      </c>
      <c r="D80" s="307" t="s">
        <v>74</v>
      </c>
      <c r="E80" s="374" t="s">
        <v>93</v>
      </c>
      <c r="F80" s="393" t="s">
        <v>218</v>
      </c>
      <c r="G80" s="395">
        <f>IF(E80="High-End",SUMIFS(Inhalation_Exp[24hr_High-End],Inhalation_Exp[OES],$C80,Inhalation_Exp[Worker Type],$D80),SUMIFS(Inhalation_Exp[24hr_Central Tendency],Inhalation_Exp[OES],$C80,Inhalation_Exp[Worker Type],$D80))</f>
        <v>3.4518467380048324E-4</v>
      </c>
      <c r="H80" s="205">
        <f>IF(E80="High-End",SUMIFS(Inhalation_Exp[Int_High-End],Inhalation_Exp[OES],$C80,Inhalation_Exp[Worker Type],$D80),SUMIFS(Inhalation_Exp[Int_Central Tendency],Inhalation_Exp[OES],$C80,Inhalation_Exp[Worker Type],$D80))</f>
        <v>2.5313542745368772E-4</v>
      </c>
      <c r="I80" s="205">
        <f>IF(E80="High-End",SUMIFS(Inhalation_Exp[ADD_High-End],Inhalation_Exp[OES],$C80,Inhalation_Exp[Worker Type],$D80),SUMIFS(Inhalation_Exp[ADD_Central Tendency],Inhalation_Exp[OES],$C80,Inhalation_Exp[Worker Type],$D80))</f>
        <v>2.1940505293619757E-4</v>
      </c>
      <c r="J80" s="205">
        <f>IF(E80="High-End",SUMIFS(Inhalation_Exp[LADD_High-End],Inhalation_Exp[OES],$C80,Inhalation_Exp[Worker Type],$D80),SUMIFS(Inhalation_Exp[LADD_Central Tendency],Inhalation_Exp[OES],$C80,Inhalation_Exp[Worker Type],$D80))</f>
        <v>8.7199444115668262E-5</v>
      </c>
      <c r="K80" s="275">
        <f>IF($E80="High-End",SUMIFS(Dermal_Exp[High-End AD (mg/kg-day)],Dermal_Exp[Worker Type],$D80,Dermal_Exp[OES],$C80),SUMIFS(Dermal_Exp[Central Tendency AD (mg/kg-day)],Dermal_Exp[Worker Type],$D80,Dermal_Exp[OES],$C80))</f>
        <v>3.0486187845303863E-2</v>
      </c>
      <c r="L80" s="275">
        <f>IF($E80="High-End",SUMIFS(Dermal_Exp[High-End IADD (mg/kg-day)],Dermal_Exp[Worker Type],$D80,Dermal_Exp[OES],$C80),SUMIFS(Dermal_Exp[Central Tendency IADD (mg/kg-day)],Dermal_Exp[Worker Type],$D80,Dermal_Exp[OES],$C80))</f>
        <v>2.2356537753222834E-2</v>
      </c>
      <c r="M80" s="275">
        <f>IF($E80="High-End",SUMIFS(Dermal_Exp[High-End ADD (mg/kg-day)],Dermal_Exp[Worker Type],$D80,Dermal_Exp[OES],$C80),SUMIFS(Dermal_Exp[Central Tendency ADD (mg/kg-day)],Dermal_Exp[Worker Type],$D80,Dermal_Exp[OES],$C80))</f>
        <v>1.9377522137289029E-2</v>
      </c>
      <c r="N80" s="275">
        <f>IF($E80="High-End",SUMIFS(Dermal_Exp[High-End LADD (mg/kg-day)],Dermal_Exp[Worker Type],$D80,Dermal_Exp[OES],$C80),SUMIFS(Dermal_Exp[Central Tendency LADD (mg/kg-day)],Dermal_Exp[Worker Type],$D80,Dermal_Exp[OES],$C80))</f>
        <v>7.7013229007174347E-3</v>
      </c>
      <c r="O80" s="275">
        <f t="shared" si="9"/>
        <v>3.0831372519104346E-2</v>
      </c>
      <c r="P80" s="275">
        <f t="shared" si="6"/>
        <v>2.2609673180676523E-2</v>
      </c>
      <c r="Q80" s="275">
        <f t="shared" si="7"/>
        <v>1.9596927190225225E-2</v>
      </c>
      <c r="R80" s="295">
        <f t="shared" si="8"/>
        <v>7.788522344833103E-3</v>
      </c>
      <c r="AF80" s="12"/>
      <c r="AG80" s="12"/>
      <c r="AH80" s="12"/>
      <c r="AI80" s="12"/>
      <c r="AJ80" s="12"/>
      <c r="AK80" s="12"/>
      <c r="AL80" s="12"/>
    </row>
    <row r="81" spans="3:38" x14ac:dyDescent="0.35">
      <c r="C81" s="392" t="str" cm="1">
        <f t="array" ref="C81">INDEX('List Values'!$B$2:$B$20,(1+ROUNDDOWN((ROW()-ROW($C$5))*1/6,2)))</f>
        <v>Application of Adhesives and Sealants</v>
      </c>
      <c r="D81" s="307" t="s">
        <v>94</v>
      </c>
      <c r="E81" s="374" t="s">
        <v>92</v>
      </c>
      <c r="F81" s="393" t="s">
        <v>218</v>
      </c>
      <c r="G81" s="395">
        <f>IF(E81="High-End",SUMIFS(Inhalation_Exp[24hr_High-End],Inhalation_Exp[OES],$C81,Inhalation_Exp[Worker Type],$D81),SUMIFS(Inhalation_Exp[24hr_Central Tendency],Inhalation_Exp[OES],$C81,Inhalation_Exp[Worker Type],$D81))</f>
        <v>3.1250000000000001E-4</v>
      </c>
      <c r="H81" s="205">
        <f>IF(E81="High-End",SUMIFS(Inhalation_Exp[Int_High-End],Inhalation_Exp[OES],$C81,Inhalation_Exp[Worker Type],$D81),SUMIFS(Inhalation_Exp[Int_Central Tendency],Inhalation_Exp[OES],$C81,Inhalation_Exp[Worker Type],$D81))</f>
        <v>2.2916666666666666E-4</v>
      </c>
      <c r="I81" s="205">
        <f>IF(E81="High-End",SUMIFS(Inhalation_Exp[ADD_High-End],Inhalation_Exp[OES],$C81,Inhalation_Exp[Worker Type],$D81),SUMIFS(Inhalation_Exp[ADD_Central Tendency],Inhalation_Exp[OES],$C81,Inhalation_Exp[Worker Type],$D81))</f>
        <v>2.1404109589041095E-4</v>
      </c>
      <c r="J81" s="205">
        <f>IF(E81="High-End",SUMIFS(Inhalation_Exp[LADD_High-End],Inhalation_Exp[OES],$C81,Inhalation_Exp[Worker Type],$D81),SUMIFS(Inhalation_Exp[LADD_Central Tendency],Inhalation_Exp[OES],$C81,Inhalation_Exp[Worker Type],$D81))</f>
        <v>1.0976466455918511E-4</v>
      </c>
      <c r="K81" s="275">
        <f>IF($E81="High-End",SUMIFS(Dermal_Exp[High-End AD (mg/kg-day)],Dermal_Exp[Worker Type],$D81,Dermal_Exp[OES],$C81),SUMIFS(Dermal_Exp[Central Tendency AD (mg/kg-day)],Dermal_Exp[Worker Type],$D81,Dermal_Exp[OES],$C81))</f>
        <v>0</v>
      </c>
      <c r="L81" s="275">
        <f>IF($E81="High-End",SUMIFS(Dermal_Exp[High-End IADD (mg/kg-day)],Dermal_Exp[Worker Type],$D81,Dermal_Exp[OES],$C81),SUMIFS(Dermal_Exp[Central Tendency IADD (mg/kg-day)],Dermal_Exp[Worker Type],$D81,Dermal_Exp[OES],$C81))</f>
        <v>0</v>
      </c>
      <c r="M81" s="275">
        <f>IF($E81="High-End",SUMIFS(Dermal_Exp[High-End ADD (mg/kg-day)],Dermal_Exp[Worker Type],$D81,Dermal_Exp[OES],$C81),SUMIFS(Dermal_Exp[Central Tendency ADD (mg/kg-day)],Dermal_Exp[Worker Type],$D81,Dermal_Exp[OES],$C81))</f>
        <v>0</v>
      </c>
      <c r="N81" s="275">
        <f>IF($E81="High-End",SUMIFS(Dermal_Exp[High-End LADD (mg/kg-day)],Dermal_Exp[Worker Type],$D81,Dermal_Exp[OES],$C81),SUMIFS(Dermal_Exp[Central Tendency LADD (mg/kg-day)],Dermal_Exp[Worker Type],$D81,Dermal_Exp[OES],$C81))</f>
        <v>0</v>
      </c>
      <c r="O81" s="275">
        <f t="shared" si="9"/>
        <v>3.1250000000000001E-4</v>
      </c>
      <c r="P81" s="275">
        <f t="shared" si="6"/>
        <v>2.2916666666666666E-4</v>
      </c>
      <c r="Q81" s="275">
        <f t="shared" si="7"/>
        <v>2.1404109589041095E-4</v>
      </c>
      <c r="R81" s="295">
        <f t="shared" si="8"/>
        <v>1.0976466455918511E-4</v>
      </c>
      <c r="AF81" s="12"/>
      <c r="AG81" s="12"/>
      <c r="AH81" s="12"/>
      <c r="AI81" s="12"/>
      <c r="AJ81" s="12"/>
      <c r="AK81" s="12"/>
      <c r="AL81" s="12"/>
    </row>
    <row r="82" spans="3:38" x14ac:dyDescent="0.35">
      <c r="C82" s="392" t="str" cm="1">
        <f t="array" ref="C82">INDEX('List Values'!$B$2:$B$20,(1+ROUNDDOWN((ROW()-ROW($C$5))*1/6,2)))</f>
        <v>Application of Adhesives and Sealants</v>
      </c>
      <c r="D82" s="307" t="s">
        <v>94</v>
      </c>
      <c r="E82" s="374" t="s">
        <v>93</v>
      </c>
      <c r="F82" s="393" t="s">
        <v>218</v>
      </c>
      <c r="G82" s="395">
        <f>IF(E82="High-End",SUMIFS(Inhalation_Exp[24hr_High-End],Inhalation_Exp[OES],$C82,Inhalation_Exp[Worker Type],$D82),SUMIFS(Inhalation_Exp[24hr_Central Tendency],Inhalation_Exp[OES],$C82,Inhalation_Exp[Worker Type],$D82))</f>
        <v>3.1250000000000001E-4</v>
      </c>
      <c r="H82" s="205">
        <f>IF(E82="High-End",SUMIFS(Inhalation_Exp[Int_High-End],Inhalation_Exp[OES],$C82,Inhalation_Exp[Worker Type],$D82),SUMIFS(Inhalation_Exp[Int_Central Tendency],Inhalation_Exp[OES],$C82,Inhalation_Exp[Worker Type],$D82))</f>
        <v>2.2916666666666666E-4</v>
      </c>
      <c r="I82" s="205">
        <f>IF(E82="High-End",SUMIFS(Inhalation_Exp[ADD_High-End],Inhalation_Exp[OES],$C82,Inhalation_Exp[Worker Type],$D82),SUMIFS(Inhalation_Exp[ADD_Central Tendency],Inhalation_Exp[OES],$C82,Inhalation_Exp[Worker Type],$D82))</f>
        <v>1.9863013698630139E-4</v>
      </c>
      <c r="J82" s="205">
        <f>IF(E82="High-End",SUMIFS(Inhalation_Exp[LADD_High-End],Inhalation_Exp[OES],$C82,Inhalation_Exp[Worker Type],$D82),SUMIFS(Inhalation_Exp[LADD_Central Tendency],Inhalation_Exp[OES],$C82,Inhalation_Exp[Worker Type],$D82))</f>
        <v>7.8942746750965931E-5</v>
      </c>
      <c r="K82" s="275">
        <f>IF($E82="High-End",SUMIFS(Dermal_Exp[High-End AD (mg/kg-day)],Dermal_Exp[Worker Type],$D82,Dermal_Exp[OES],$C82),SUMIFS(Dermal_Exp[Central Tendency AD (mg/kg-day)],Dermal_Exp[Worker Type],$D82,Dermal_Exp[OES],$C82))</f>
        <v>0</v>
      </c>
      <c r="L82" s="275">
        <f>IF($E82="High-End",SUMIFS(Dermal_Exp[High-End IADD (mg/kg-day)],Dermal_Exp[Worker Type],$D82,Dermal_Exp[OES],$C82),SUMIFS(Dermal_Exp[Central Tendency IADD (mg/kg-day)],Dermal_Exp[Worker Type],$D82,Dermal_Exp[OES],$C82))</f>
        <v>0</v>
      </c>
      <c r="M82" s="275">
        <f>IF($E82="High-End",SUMIFS(Dermal_Exp[High-End ADD (mg/kg-day)],Dermal_Exp[Worker Type],$D82,Dermal_Exp[OES],$C82),SUMIFS(Dermal_Exp[Central Tendency ADD (mg/kg-day)],Dermal_Exp[Worker Type],$D82,Dermal_Exp[OES],$C82))</f>
        <v>0</v>
      </c>
      <c r="N82" s="275">
        <f>IF($E82="High-End",SUMIFS(Dermal_Exp[High-End LADD (mg/kg-day)],Dermal_Exp[Worker Type],$D82,Dermal_Exp[OES],$C82),SUMIFS(Dermal_Exp[Central Tendency LADD (mg/kg-day)],Dermal_Exp[Worker Type],$D82,Dermal_Exp[OES],$C82))</f>
        <v>0</v>
      </c>
      <c r="O82" s="275">
        <f t="shared" si="9"/>
        <v>3.1250000000000001E-4</v>
      </c>
      <c r="P82" s="275">
        <f t="shared" si="6"/>
        <v>2.2916666666666666E-4</v>
      </c>
      <c r="Q82" s="275">
        <f t="shared" si="7"/>
        <v>1.9863013698630139E-4</v>
      </c>
      <c r="R82" s="295">
        <f t="shared" si="8"/>
        <v>7.8942746750965931E-5</v>
      </c>
      <c r="AF82" s="12"/>
      <c r="AG82" s="12"/>
      <c r="AH82" s="12"/>
      <c r="AI82" s="12"/>
      <c r="AJ82" s="12"/>
      <c r="AK82" s="12"/>
      <c r="AL82" s="12"/>
    </row>
    <row r="83" spans="3:38" ht="52" x14ac:dyDescent="0.35">
      <c r="C83" s="392" t="str" cm="1">
        <f t="array" ref="C83">INDEX('List Values'!$B$2:$B$20,(1+ROUNDDOWN((ROW()-ROW($C$5))*1/6,2)))</f>
        <v>Use of Laboratory Chemicals (Solid)</v>
      </c>
      <c r="D83" s="307" t="s">
        <v>214</v>
      </c>
      <c r="E83" s="374" t="s">
        <v>92</v>
      </c>
      <c r="F83" s="277" t="s">
        <v>236</v>
      </c>
      <c r="G83" s="395">
        <f>IF(E83="High-End",SUMIFS(Inhalation_Exp[24hr_High-End],Inhalation_Exp[OES],$C83,Inhalation_Exp[Worker Type],$D83),SUMIFS(Inhalation_Exp[24hr_Central Tendency],Inhalation_Exp[OES],$C83,Inhalation_Exp[Worker Type],$D83))</f>
        <v>1.0125000000000002E-3</v>
      </c>
      <c r="H83" s="205">
        <f>IF(E83="High-End",SUMIFS(Inhalation_Exp[Int_High-End],Inhalation_Exp[OES],$C83,Inhalation_Exp[Worker Type],$D83),SUMIFS(Inhalation_Exp[Int_Central Tendency],Inhalation_Exp[OES],$C83,Inhalation_Exp[Worker Type],$D83))</f>
        <v>7.425000000000001E-4</v>
      </c>
      <c r="I83" s="205">
        <f>IF(E83="High-End",SUMIFS(Inhalation_Exp[ADD_High-End],Inhalation_Exp[OES],$C83,Inhalation_Exp[Worker Type],$D83),SUMIFS(Inhalation_Exp[ADD_Central Tendency],Inhalation_Exp[OES],$C83,Inhalation_Exp[Worker Type],$D83))</f>
        <v>6.9349315068493165E-4</v>
      </c>
      <c r="J83" s="205">
        <f>IF(E83="High-End",SUMIFS(Inhalation_Exp[LADD_High-End],Inhalation_Exp[OES],$C83,Inhalation_Exp[Worker Type],$D83),SUMIFS(Inhalation_Exp[LADD_Central Tendency],Inhalation_Exp[OES],$C83,Inhalation_Exp[Worker Type],$D83))</f>
        <v>3.5563751317175982E-4</v>
      </c>
      <c r="K83" s="275">
        <f>IF($E83="High-End",SUMIFS(Dermal_Exp[High-End AD (mg/kg-day)],Dermal_Exp[Worker Type],$D83,Dermal_Exp[OES],$C83),SUMIFS(Dermal_Exp[Central Tendency AD (mg/kg-day)],Dermal_Exp[Worker Type],$D83,Dermal_Exp[OES],$C83))</f>
        <v>1.1909099999999999E-2</v>
      </c>
      <c r="L83" s="275">
        <f>IF($E83="High-End",SUMIFS(Dermal_Exp[High-End IADD (mg/kg-day)],Dermal_Exp[Worker Type],$D83,Dermal_Exp[OES],$C83),SUMIFS(Dermal_Exp[Central Tendency IADD (mg/kg-day)],Dermal_Exp[Worker Type],$D83,Dermal_Exp[OES],$C83))</f>
        <v>8.7333399999999992E-3</v>
      </c>
      <c r="M83" s="275">
        <f>IF($E83="High-End",SUMIFS(Dermal_Exp[High-End ADD (mg/kg-day)],Dermal_Exp[Worker Type],$D83,Dermal_Exp[OES],$C83),SUMIFS(Dermal_Exp[Central Tendency ADD (mg/kg-day)],Dermal_Exp[Worker Type],$D83,Dermal_Exp[OES],$C83))</f>
        <v>8.156917808219177E-3</v>
      </c>
      <c r="N83" s="275">
        <f>IF($E83="High-End",SUMIFS(Dermal_Exp[High-End LADD (mg/kg-day)],Dermal_Exp[Worker Type],$D83,Dermal_Exp[OES],$C83),SUMIFS(Dermal_Exp[Central Tendency LADD (mg/kg-day)],Dermal_Exp[Worker Type],$D83,Dermal_Exp[OES],$C83))</f>
        <v>4.1830347734457315E-3</v>
      </c>
      <c r="O83" s="275">
        <f t="shared" si="9"/>
        <v>1.2921599999999998E-2</v>
      </c>
      <c r="P83" s="275">
        <f t="shared" si="6"/>
        <v>9.4758399999999993E-3</v>
      </c>
      <c r="Q83" s="275">
        <f t="shared" si="7"/>
        <v>8.8504109589041084E-3</v>
      </c>
      <c r="R83" s="295">
        <f t="shared" si="8"/>
        <v>4.5386722866174916E-3</v>
      </c>
      <c r="AF83" s="12"/>
      <c r="AG83" s="12"/>
      <c r="AH83" s="12"/>
      <c r="AI83" s="12"/>
      <c r="AJ83" s="12"/>
      <c r="AK83" s="12"/>
      <c r="AL83" s="12"/>
    </row>
    <row r="84" spans="3:38" ht="52" x14ac:dyDescent="0.35">
      <c r="C84" s="392" t="str" cm="1">
        <f t="array" ref="C84">INDEX('List Values'!$B$2:$B$20,(1+ROUNDDOWN((ROW()-ROW($C$5))*1/6,2)))</f>
        <v>Use of Laboratory Chemicals (Solid)</v>
      </c>
      <c r="D84" s="307" t="s">
        <v>214</v>
      </c>
      <c r="E84" s="374" t="s">
        <v>93</v>
      </c>
      <c r="F84" s="277" t="s">
        <v>236</v>
      </c>
      <c r="G84" s="395">
        <f>IF(E84="High-End",SUMIFS(Inhalation_Exp[24hr_High-End],Inhalation_Exp[OES],$C84,Inhalation_Exp[Worker Type],$D84),SUMIFS(Inhalation_Exp[24hr_Central Tendency],Inhalation_Exp[OES],$C84,Inhalation_Exp[Worker Type],$D84))</f>
        <v>7.1249999999999997E-5</v>
      </c>
      <c r="H84" s="205">
        <f>IF(E84="High-End",SUMIFS(Inhalation_Exp[Int_High-End],Inhalation_Exp[OES],$C84,Inhalation_Exp[Worker Type],$D84),SUMIFS(Inhalation_Exp[Int_Central Tendency],Inhalation_Exp[OES],$C84,Inhalation_Exp[Worker Type],$D84))</f>
        <v>5.2249999999999996E-5</v>
      </c>
      <c r="I84" s="205">
        <f>IF(E84="High-End",SUMIFS(Inhalation_Exp[ADD_High-End],Inhalation_Exp[OES],$C84,Inhalation_Exp[Worker Type],$D84),SUMIFS(Inhalation_Exp[ADD_Central Tendency],Inhalation_Exp[OES],$C84,Inhalation_Exp[Worker Type],$D84))</f>
        <v>4.5873287671232876E-5</v>
      </c>
      <c r="J84" s="205">
        <f>IF(E84="High-End",SUMIFS(Inhalation_Exp[LADD_High-End],Inhalation_Exp[OES],$C84,Inhalation_Exp[Worker Type],$D84),SUMIFS(Inhalation_Exp[LADD_Central Tendency],Inhalation_Exp[OES],$C84,Inhalation_Exp[Worker Type],$D84))</f>
        <v>1.8231691253951529E-5</v>
      </c>
      <c r="K84" s="275">
        <f>IF($E84="High-End",SUMIFS(Dermal_Exp[High-End AD (mg/kg-day)],Dermal_Exp[Worker Type],$D84,Dermal_Exp[OES],$C84),SUMIFS(Dermal_Exp[Central Tendency AD (mg/kg-day)],Dermal_Exp[Worker Type],$D84,Dermal_Exp[OES],$C84))</f>
        <v>5.9545499999999994E-3</v>
      </c>
      <c r="L84" s="275">
        <f>IF($E84="High-End",SUMIFS(Dermal_Exp[High-End IADD (mg/kg-day)],Dermal_Exp[Worker Type],$D84,Dermal_Exp[OES],$C84),SUMIFS(Dermal_Exp[Central Tendency IADD (mg/kg-day)],Dermal_Exp[Worker Type],$D84,Dermal_Exp[OES],$C84))</f>
        <v>4.3666699999999996E-3</v>
      </c>
      <c r="M84" s="275">
        <f>IF($E84="High-End",SUMIFS(Dermal_Exp[High-End ADD (mg/kg-day)],Dermal_Exp[Worker Type],$D84,Dermal_Exp[OES],$C84),SUMIFS(Dermal_Exp[Central Tendency ADD (mg/kg-day)],Dermal_Exp[Worker Type],$D84,Dermal_Exp[OES],$C84))</f>
        <v>3.8337513698630133E-3</v>
      </c>
      <c r="N84" s="275">
        <f>IF($E84="High-End",SUMIFS(Dermal_Exp[High-End LADD (mg/kg-day)],Dermal_Exp[Worker Type],$D84,Dermal_Exp[OES],$C84),SUMIFS(Dermal_Exp[Central Tendency LADD (mg/kg-day)],Dermal_Exp[Worker Type],$D84,Dermal_Exp[OES],$C84))</f>
        <v>1.5236704162276079E-3</v>
      </c>
      <c r="O84" s="275">
        <f t="shared" si="9"/>
        <v>6.0257999999999996E-3</v>
      </c>
      <c r="P84" s="275">
        <f t="shared" si="6"/>
        <v>4.4189199999999998E-3</v>
      </c>
      <c r="Q84" s="275">
        <f t="shared" si="7"/>
        <v>3.8796246575342462E-3</v>
      </c>
      <c r="R84" s="295">
        <f t="shared" si="8"/>
        <v>1.5419021074815594E-3</v>
      </c>
      <c r="AF84" s="12"/>
      <c r="AG84" s="12"/>
      <c r="AH84" s="12"/>
      <c r="AI84" s="12"/>
      <c r="AJ84" s="12"/>
      <c r="AK84" s="12"/>
      <c r="AL84" s="12"/>
    </row>
    <row r="85" spans="3:38" ht="52" x14ac:dyDescent="0.35">
      <c r="C85" s="392" t="str" cm="1">
        <f t="array" ref="C85">INDEX('List Values'!$B$2:$B$20,(1+ROUNDDOWN((ROW()-ROW($C$5))*1/6,2)))</f>
        <v>Use of Laboratory Chemicals (Solid)</v>
      </c>
      <c r="D85" s="307" t="s">
        <v>74</v>
      </c>
      <c r="E85" s="374" t="s">
        <v>92</v>
      </c>
      <c r="F85" s="277" t="s">
        <v>236</v>
      </c>
      <c r="G85" s="395">
        <f>IF(E85="High-End",SUMIFS(Inhalation_Exp[24hr_High-End],Inhalation_Exp[OES],$C85,Inhalation_Exp[Worker Type],$D85),SUMIFS(Inhalation_Exp[24hr_Central Tendency],Inhalation_Exp[OES],$C85,Inhalation_Exp[Worker Type],$D85))</f>
        <v>1.1183983431135658E-3</v>
      </c>
      <c r="H85" s="205">
        <f>IF(E85="High-End",SUMIFS(Inhalation_Exp[Int_High-End],Inhalation_Exp[OES],$C85,Inhalation_Exp[Worker Type],$D85),SUMIFS(Inhalation_Exp[Int_Central Tendency],Inhalation_Exp[OES],$C85,Inhalation_Exp[Worker Type],$D85))</f>
        <v>8.2015878494994833E-4</v>
      </c>
      <c r="I85" s="205">
        <f>IF(E85="High-End",SUMIFS(Inhalation_Exp[ADD_High-End],Inhalation_Exp[OES],$C85,Inhalation_Exp[Worker Type],$D85),SUMIFS(Inhalation_Exp[ADD_Central Tendency],Inhalation_Exp[OES],$C85,Inhalation_Exp[Worker Type],$D85))</f>
        <v>7.6602626240655195E-4</v>
      </c>
      <c r="J85" s="205">
        <f>IF(E85="High-End",SUMIFS(Inhalation_Exp[LADD_High-End],Inhalation_Exp[OES],$C85,Inhalation_Exp[Worker Type],$D85),SUMIFS(Inhalation_Exp[LADD_Central Tendency],Inhalation_Exp[OES],$C85,Inhalation_Exp[Worker Type],$D85))</f>
        <v>3.9283398072130867E-4</v>
      </c>
      <c r="K85" s="275">
        <f>IF($E85="High-End",SUMIFS(Dermal_Exp[High-End AD (mg/kg-day)],Dermal_Exp[Worker Type],$D85,Dermal_Exp[OES],$C85),SUMIFS(Dermal_Exp[Central Tendency AD (mg/kg-day)],Dermal_Exp[Worker Type],$D85,Dermal_Exp[OES],$C85))</f>
        <v>1.0945524861878452E-2</v>
      </c>
      <c r="L85" s="275">
        <f>IF($E85="High-End",SUMIFS(Dermal_Exp[High-End IADD (mg/kg-day)],Dermal_Exp[Worker Type],$D85,Dermal_Exp[OES],$C85),SUMIFS(Dermal_Exp[Central Tendency IADD (mg/kg-day)],Dermal_Exp[Worker Type],$D85,Dermal_Exp[OES],$C85))</f>
        <v>8.0267182320441985E-3</v>
      </c>
      <c r="M85" s="275">
        <f>IF($E85="High-End",SUMIFS(Dermal_Exp[High-End ADD (mg/kg-day)],Dermal_Exp[Worker Type],$D85,Dermal_Exp[OES],$C85),SUMIFS(Dermal_Exp[Central Tendency ADD (mg/kg-day)],Dermal_Exp[Worker Type],$D85,Dermal_Exp[OES],$C85))</f>
        <v>7.4969348369030497E-3</v>
      </c>
      <c r="N85" s="275">
        <f>IF($E85="High-End",SUMIFS(Dermal_Exp[High-End LADD (mg/kg-day)],Dermal_Exp[Worker Type],$D85,Dermal_Exp[OES],$C85),SUMIFS(Dermal_Exp[Central Tendency LADD (mg/kg-day)],Dermal_Exp[Worker Type],$D85,Dermal_Exp[OES],$C85))</f>
        <v>3.8445819676425894E-3</v>
      </c>
      <c r="O85" s="275">
        <f t="shared" si="9"/>
        <v>1.2063923204992017E-2</v>
      </c>
      <c r="P85" s="275">
        <f t="shared" si="6"/>
        <v>8.8468770169941469E-3</v>
      </c>
      <c r="Q85" s="275">
        <f t="shared" si="7"/>
        <v>8.2629610993096014E-3</v>
      </c>
      <c r="R85" s="295">
        <f t="shared" si="8"/>
        <v>4.2374159483638983E-3</v>
      </c>
      <c r="AF85" s="12"/>
      <c r="AG85" s="12"/>
      <c r="AH85" s="12"/>
      <c r="AI85" s="12"/>
      <c r="AJ85" s="12"/>
      <c r="AK85" s="12"/>
      <c r="AL85" s="12"/>
    </row>
    <row r="86" spans="3:38" ht="52" x14ac:dyDescent="0.35">
      <c r="C86" s="392" t="str" cm="1">
        <f t="array" ref="C86">INDEX('List Values'!$B$2:$B$20,(1+ROUNDDOWN((ROW()-ROW($C$5))*1/6,2)))</f>
        <v>Use of Laboratory Chemicals (Solid)</v>
      </c>
      <c r="D86" s="307" t="s">
        <v>74</v>
      </c>
      <c r="E86" s="374" t="s">
        <v>93</v>
      </c>
      <c r="F86" s="277" t="s">
        <v>236</v>
      </c>
      <c r="G86" s="395">
        <f>IF(E86="High-End",SUMIFS(Inhalation_Exp[24hr_High-End],Inhalation_Exp[OES],$C86,Inhalation_Exp[Worker Type],$D86),SUMIFS(Inhalation_Exp[24hr_Central Tendency],Inhalation_Exp[OES],$C86,Inhalation_Exp[Worker Type],$D86))</f>
        <v>7.8702105626510176E-5</v>
      </c>
      <c r="H86" s="205">
        <f>IF(E86="High-End",SUMIFS(Inhalation_Exp[Int_High-End],Inhalation_Exp[OES],$C86,Inhalation_Exp[Worker Type],$D86),SUMIFS(Inhalation_Exp[Int_Central Tendency],Inhalation_Exp[OES],$C86,Inhalation_Exp[Worker Type],$D86))</f>
        <v>5.7714877459440797E-5</v>
      </c>
      <c r="I86" s="205">
        <f>IF(E86="High-End",SUMIFS(Inhalation_Exp[ADD_High-End],Inhalation_Exp[OES],$C86,Inhalation_Exp[Worker Type],$D86),SUMIFS(Inhalation_Exp[ADD_Central Tendency],Inhalation_Exp[OES],$C86,Inhalation_Exp[Worker Type],$D86))</f>
        <v>5.0671218691040798E-5</v>
      </c>
      <c r="J86" s="205">
        <f>IF(E86="High-End",SUMIFS(Inhalation_Exp[LADD_High-End],Inhalation_Exp[OES],$C86,Inhalation_Exp[Worker Type],$D86),SUMIFS(Inhalation_Exp[LADD_Central Tendency],Inhalation_Exp[OES],$C86,Inhalation_Exp[Worker Type],$D86))</f>
        <v>2.013856127464442E-5</v>
      </c>
      <c r="K86" s="275">
        <f>IF($E86="High-End",SUMIFS(Dermal_Exp[High-End AD (mg/kg-day)],Dermal_Exp[Worker Type],$D86,Dermal_Exp[OES],$C86),SUMIFS(Dermal_Exp[Central Tendency AD (mg/kg-day)],Dermal_Exp[Worker Type],$D86,Dermal_Exp[OES],$C86))</f>
        <v>5.4727624309392261E-3</v>
      </c>
      <c r="L86" s="275">
        <f>IF($E86="High-End",SUMIFS(Dermal_Exp[High-End IADD (mg/kg-day)],Dermal_Exp[Worker Type],$D86,Dermal_Exp[OES],$C86),SUMIFS(Dermal_Exp[Central Tendency IADD (mg/kg-day)],Dermal_Exp[Worker Type],$D86,Dermal_Exp[OES],$C86))</f>
        <v>4.0133591160220992E-3</v>
      </c>
      <c r="M86" s="275">
        <f>IF($E86="High-End",SUMIFS(Dermal_Exp[High-End ADD (mg/kg-day)],Dermal_Exp[Worker Type],$D86,Dermal_Exp[OES],$C86),SUMIFS(Dermal_Exp[Central Tendency ADD (mg/kg-day)],Dermal_Exp[Worker Type],$D86,Dermal_Exp[OES],$C86))</f>
        <v>3.523559373344433E-3</v>
      </c>
      <c r="N86" s="275">
        <f>IF($E86="High-End",SUMIFS(Dermal_Exp[High-End LADD (mg/kg-day)],Dermal_Exp[Worker Type],$D86,Dermal_Exp[OES],$C86),SUMIFS(Dermal_Exp[Central Tendency LADD (mg/kg-day)],Dermal_Exp[Worker Type],$D86,Dermal_Exp[OES],$C86))</f>
        <v>1.4003889817138131E-3</v>
      </c>
      <c r="O86" s="275">
        <f t="shared" si="9"/>
        <v>5.5514645365657362E-3</v>
      </c>
      <c r="P86" s="275">
        <f t="shared" si="6"/>
        <v>4.0710739934815398E-3</v>
      </c>
      <c r="Q86" s="275">
        <f t="shared" si="7"/>
        <v>3.5742305920354739E-3</v>
      </c>
      <c r="R86" s="295">
        <f t="shared" si="8"/>
        <v>1.4205275429884576E-3</v>
      </c>
      <c r="AF86" s="12"/>
      <c r="AG86" s="12"/>
      <c r="AH86" s="12"/>
      <c r="AI86" s="12"/>
      <c r="AJ86" s="12"/>
      <c r="AK86" s="12"/>
      <c r="AL86" s="12"/>
    </row>
    <row r="87" spans="3:38" ht="52" x14ac:dyDescent="0.35">
      <c r="C87" s="392" t="str" cm="1">
        <f t="array" ref="C87">INDEX('List Values'!$B$2:$B$20,(1+ROUNDDOWN((ROW()-ROW($C$5))*1/6,2)))</f>
        <v>Use of Laboratory Chemicals (Solid)</v>
      </c>
      <c r="D87" s="307" t="s">
        <v>94</v>
      </c>
      <c r="E87" s="374" t="s">
        <v>92</v>
      </c>
      <c r="F87" s="277" t="s">
        <v>236</v>
      </c>
      <c r="G87" s="395">
        <f>IF(E87="High-End",SUMIFS(Inhalation_Exp[24hr_High-End],Inhalation_Exp[OES],$C87,Inhalation_Exp[Worker Type],$D87),SUMIFS(Inhalation_Exp[24hr_Central Tendency],Inhalation_Exp[OES],$C87,Inhalation_Exp[Worker Type],$D87))</f>
        <v>7.1249999999999997E-5</v>
      </c>
      <c r="H87" s="205">
        <f>IF(E87="High-End",SUMIFS(Inhalation_Exp[Int_High-End],Inhalation_Exp[OES],$C87,Inhalation_Exp[Worker Type],$D87),SUMIFS(Inhalation_Exp[Int_Central Tendency],Inhalation_Exp[OES],$C87,Inhalation_Exp[Worker Type],$D87))</f>
        <v>5.2249999999999996E-5</v>
      </c>
      <c r="I87" s="205">
        <f>IF(E87="High-End",SUMIFS(Inhalation_Exp[ADD_High-End],Inhalation_Exp[OES],$C87,Inhalation_Exp[Worker Type],$D87),SUMIFS(Inhalation_Exp[ADD_Central Tendency],Inhalation_Exp[OES],$C87,Inhalation_Exp[Worker Type],$D87))</f>
        <v>4.8801369863013693E-5</v>
      </c>
      <c r="J87" s="205">
        <f>IF(E87="High-End",SUMIFS(Inhalation_Exp[LADD_High-End],Inhalation_Exp[OES],$C87,Inhalation_Exp[Worker Type],$D87),SUMIFS(Inhalation_Exp[LADD_Central Tendency],Inhalation_Exp[OES],$C87,Inhalation_Exp[Worker Type],$D87))</f>
        <v>2.5026343519494203E-5</v>
      </c>
      <c r="K87" s="275">
        <f>IF($E87="High-End",SUMIFS(Dermal_Exp[High-End AD (mg/kg-day)],Dermal_Exp[Worker Type],$D87,Dermal_Exp[OES],$C87),SUMIFS(Dermal_Exp[Central Tendency AD (mg/kg-day)],Dermal_Exp[Worker Type],$D87,Dermal_Exp[OES],$C87))</f>
        <v>2.9828399999999996E-3</v>
      </c>
      <c r="L87" s="275">
        <f>IF($E87="High-End",SUMIFS(Dermal_Exp[High-End IADD (mg/kg-day)],Dermal_Exp[Worker Type],$D87,Dermal_Exp[OES],$C87),SUMIFS(Dermal_Exp[Central Tendency IADD (mg/kg-day)],Dermal_Exp[Worker Type],$D87,Dermal_Exp[OES],$C87))</f>
        <v>2.1874159999999998E-3</v>
      </c>
      <c r="M87" s="275">
        <f>IF($E87="High-End",SUMIFS(Dermal_Exp[High-End ADD (mg/kg-day)],Dermal_Exp[Worker Type],$D87,Dermal_Exp[OES],$C87),SUMIFS(Dermal_Exp[Central Tendency ADD (mg/kg-day)],Dermal_Exp[Worker Type],$D87,Dermal_Exp[OES],$C87))</f>
        <v>2.0430410958904104E-3</v>
      </c>
      <c r="N87" s="275">
        <f>IF($E87="High-End",SUMIFS(Dermal_Exp[High-End LADD (mg/kg-day)],Dermal_Exp[Worker Type],$D87,Dermal_Exp[OES],$C87),SUMIFS(Dermal_Exp[Central Tendency LADD (mg/kg-day)],Dermal_Exp[Worker Type],$D87,Dermal_Exp[OES],$C87))</f>
        <v>1.047713382507903E-3</v>
      </c>
      <c r="O87" s="275">
        <f t="shared" si="9"/>
        <v>3.0540899999999998E-3</v>
      </c>
      <c r="P87" s="275">
        <f t="shared" si="6"/>
        <v>2.2396659999999995E-3</v>
      </c>
      <c r="Q87" s="275">
        <f t="shared" si="7"/>
        <v>2.0918424657534241E-3</v>
      </c>
      <c r="R87" s="295">
        <f t="shared" si="8"/>
        <v>1.0727397260273971E-3</v>
      </c>
      <c r="AF87" s="12"/>
      <c r="AG87" s="12"/>
      <c r="AH87" s="12"/>
      <c r="AI87" s="12"/>
      <c r="AJ87" s="12"/>
      <c r="AK87" s="12"/>
      <c r="AL87" s="12"/>
    </row>
    <row r="88" spans="3:38" ht="52" x14ac:dyDescent="0.35">
      <c r="C88" s="392" t="str" cm="1">
        <f t="array" ref="C88">INDEX('List Values'!$B$2:$B$20,(1+ROUNDDOWN((ROW()-ROW($C$5))*1/6,2)))</f>
        <v>Use of Laboratory Chemicals (Solid)</v>
      </c>
      <c r="D88" s="307" t="s">
        <v>94</v>
      </c>
      <c r="E88" s="374" t="s">
        <v>93</v>
      </c>
      <c r="F88" s="277" t="s">
        <v>236</v>
      </c>
      <c r="G88" s="395">
        <f>IF(E88="High-End",SUMIFS(Inhalation_Exp[24hr_High-End],Inhalation_Exp[OES],$C88,Inhalation_Exp[Worker Type],$D88),SUMIFS(Inhalation_Exp[24hr_Central Tendency],Inhalation_Exp[OES],$C88,Inhalation_Exp[Worker Type],$D88))</f>
        <v>7.1249999999999997E-5</v>
      </c>
      <c r="H88" s="205">
        <f>IF(E88="High-End",SUMIFS(Inhalation_Exp[Int_High-End],Inhalation_Exp[OES],$C88,Inhalation_Exp[Worker Type],$D88),SUMIFS(Inhalation_Exp[Int_Central Tendency],Inhalation_Exp[OES],$C88,Inhalation_Exp[Worker Type],$D88))</f>
        <v>5.2249999999999996E-5</v>
      </c>
      <c r="I88" s="205">
        <f>IF(E88="High-End",SUMIFS(Inhalation_Exp[ADD_High-End],Inhalation_Exp[OES],$C88,Inhalation_Exp[Worker Type],$D88),SUMIFS(Inhalation_Exp[ADD_Central Tendency],Inhalation_Exp[OES],$C88,Inhalation_Exp[Worker Type],$D88))</f>
        <v>4.5873287671232876E-5</v>
      </c>
      <c r="J88" s="205">
        <f>IF(E88="High-End",SUMIFS(Inhalation_Exp[LADD_High-End],Inhalation_Exp[OES],$C88,Inhalation_Exp[Worker Type],$D88),SUMIFS(Inhalation_Exp[LADD_Central Tendency],Inhalation_Exp[OES],$C88,Inhalation_Exp[Worker Type],$D88))</f>
        <v>1.8231691253951529E-5</v>
      </c>
      <c r="K88" s="275">
        <f>IF($E88="High-End",SUMIFS(Dermal_Exp[High-End AD (mg/kg-day)],Dermal_Exp[Worker Type],$D88,Dermal_Exp[OES],$C88),SUMIFS(Dermal_Exp[Central Tendency AD (mg/kg-day)],Dermal_Exp[Worker Type],$D88,Dermal_Exp[OES],$C88))</f>
        <v>2.9828399999999996E-3</v>
      </c>
      <c r="L88" s="275">
        <f>IF($E88="High-End",SUMIFS(Dermal_Exp[High-End IADD (mg/kg-day)],Dermal_Exp[Worker Type],$D88,Dermal_Exp[OES],$C88),SUMIFS(Dermal_Exp[Central Tendency IADD (mg/kg-day)],Dermal_Exp[Worker Type],$D88,Dermal_Exp[OES],$C88))</f>
        <v>2.1874159999999998E-3</v>
      </c>
      <c r="M88" s="275">
        <f>IF($E88="High-End",SUMIFS(Dermal_Exp[High-End ADD (mg/kg-day)],Dermal_Exp[Worker Type],$D88,Dermal_Exp[OES],$C88),SUMIFS(Dermal_Exp[Central Tendency ADD (mg/kg-day)],Dermal_Exp[Worker Type],$D88,Dermal_Exp[OES],$C88))</f>
        <v>1.9204586301369861E-3</v>
      </c>
      <c r="N88" s="275">
        <f>IF($E88="High-End",SUMIFS(Dermal_Exp[High-End LADD (mg/kg-day)],Dermal_Exp[Worker Type],$D88,Dermal_Exp[OES],$C88),SUMIFS(Dermal_Exp[Central Tendency LADD (mg/kg-day)],Dermal_Exp[Worker Type],$D88,Dermal_Exp[OES],$C88))</f>
        <v>7.6325919915700726E-4</v>
      </c>
      <c r="O88" s="275">
        <f t="shared" si="9"/>
        <v>3.0540899999999998E-3</v>
      </c>
      <c r="P88" s="275">
        <f t="shared" si="6"/>
        <v>2.2396659999999995E-3</v>
      </c>
      <c r="Q88" s="275">
        <f t="shared" si="7"/>
        <v>1.9663319178082192E-3</v>
      </c>
      <c r="R88" s="295">
        <f t="shared" si="8"/>
        <v>7.8149089041095875E-4</v>
      </c>
      <c r="AF88" s="12"/>
      <c r="AG88" s="12"/>
      <c r="AH88" s="12"/>
      <c r="AI88" s="12"/>
      <c r="AJ88" s="12"/>
      <c r="AK88" s="12"/>
      <c r="AL88" s="12"/>
    </row>
    <row r="89" spans="3:38" x14ac:dyDescent="0.35">
      <c r="C89" s="392" t="str" cm="1">
        <f t="array" ref="C89">INDEX('List Values'!$B$2:$B$20,(1+ROUNDDOWN((ROW()-ROW($C$5))*1/6,2)))</f>
        <v>Use of Laboratory Chemicals (Liquid)</v>
      </c>
      <c r="D89" s="307" t="s">
        <v>214</v>
      </c>
      <c r="E89" s="374" t="s">
        <v>92</v>
      </c>
      <c r="F89" s="393" t="s">
        <v>218</v>
      </c>
      <c r="G89" s="395">
        <f>IF(E89="High-End",SUMIFS(Inhalation_Exp[24hr_High-End],Inhalation_Exp[OES],$C89,Inhalation_Exp[Worker Type],$D89),SUMIFS(Inhalation_Exp[24hr_Central Tendency],Inhalation_Exp[OES],$C89,Inhalation_Exp[Worker Type],$D89))</f>
        <v>5.7187500000000002E-2</v>
      </c>
      <c r="H89" s="205">
        <f>IF(E89="High-End",SUMIFS(Inhalation_Exp[Int_High-End],Inhalation_Exp[OES],$C89,Inhalation_Exp[Worker Type],$D89),SUMIFS(Inhalation_Exp[Int_Central Tendency],Inhalation_Exp[OES],$C89,Inhalation_Exp[Worker Type],$D89))</f>
        <v>4.1937500000000003E-2</v>
      </c>
      <c r="I89" s="205">
        <f>IF(E89="High-End",SUMIFS(Inhalation_Exp[ADD_High-End],Inhalation_Exp[OES],$C89,Inhalation_Exp[Worker Type],$D89),SUMIFS(Inhalation_Exp[ADD_Central Tendency],Inhalation_Exp[OES],$C89,Inhalation_Exp[Worker Type],$D89))</f>
        <v>3.9169520547945202E-2</v>
      </c>
      <c r="J89" s="205">
        <f>IF(E89="High-End",SUMIFS(Inhalation_Exp[LADD_High-End],Inhalation_Exp[OES],$C89,Inhalation_Exp[Worker Type],$D89),SUMIFS(Inhalation_Exp[LADD_Central Tendency],Inhalation_Exp[OES],$C89,Inhalation_Exp[Worker Type],$D89))</f>
        <v>2.0086933614330876E-2</v>
      </c>
      <c r="K89" s="275">
        <f>IF($E89="High-End",SUMIFS(Dermal_Exp[High-End AD (mg/kg-day)],Dermal_Exp[Worker Type],$D89,Dermal_Exp[OES],$C89),SUMIFS(Dermal_Exp[Central Tendency AD (mg/kg-day)],Dermal_Exp[Worker Type],$D89,Dermal_Exp[OES],$C89))</f>
        <v>6.6339999999999996E-2</v>
      </c>
      <c r="L89" s="275">
        <f>IF($E89="High-End",SUMIFS(Dermal_Exp[High-End IADD (mg/kg-day)],Dermal_Exp[Worker Type],$D89,Dermal_Exp[OES],$C89),SUMIFS(Dermal_Exp[Central Tendency IADD (mg/kg-day)],Dermal_Exp[Worker Type],$D89,Dermal_Exp[OES],$C89))</f>
        <v>4.8649333333333329E-2</v>
      </c>
      <c r="M89" s="275">
        <f>IF($E89="High-End",SUMIFS(Dermal_Exp[High-End ADD (mg/kg-day)],Dermal_Exp[Worker Type],$D89,Dermal_Exp[OES],$C89),SUMIFS(Dermal_Exp[Central Tendency ADD (mg/kg-day)],Dermal_Exp[Worker Type],$D89,Dermal_Exp[OES],$C89))</f>
        <v>4.5438356164383555E-2</v>
      </c>
      <c r="N89" s="275">
        <f>IF($E89="High-End",SUMIFS(Dermal_Exp[High-End LADD (mg/kg-day)],Dermal_Exp[Worker Type],$D89,Dermal_Exp[OES],$C89),SUMIFS(Dermal_Exp[Central Tendency LADD (mg/kg-day)],Dermal_Exp[Worker Type],$D89,Dermal_Exp[OES],$C89))</f>
        <v>2.3301721109940284E-2</v>
      </c>
      <c r="O89" s="275">
        <f t="shared" si="9"/>
        <v>0.1235275</v>
      </c>
      <c r="P89" s="275">
        <f t="shared" si="6"/>
        <v>9.0586833333333339E-2</v>
      </c>
      <c r="Q89" s="275">
        <f t="shared" si="7"/>
        <v>8.460787671232875E-2</v>
      </c>
      <c r="R89" s="295">
        <f t="shared" si="8"/>
        <v>4.3388654724271156E-2</v>
      </c>
      <c r="AF89" s="12"/>
      <c r="AG89" s="12"/>
      <c r="AH89" s="12"/>
      <c r="AI89" s="12"/>
      <c r="AJ89" s="12"/>
      <c r="AK89" s="12"/>
      <c r="AL89" s="12"/>
    </row>
    <row r="90" spans="3:38" x14ac:dyDescent="0.35">
      <c r="C90" s="392" t="str" cm="1">
        <f t="array" ref="C90">INDEX('List Values'!$B$2:$B$20,(1+ROUNDDOWN((ROW()-ROW($C$5))*1/6,2)))</f>
        <v>Use of Laboratory Chemicals (Liquid)</v>
      </c>
      <c r="D90" s="307" t="s">
        <v>214</v>
      </c>
      <c r="E90" s="374" t="s">
        <v>93</v>
      </c>
      <c r="F90" s="393" t="s">
        <v>218</v>
      </c>
      <c r="G90" s="395">
        <f>IF(E90="High-End",SUMIFS(Inhalation_Exp[24hr_High-End],Inhalation_Exp[OES],$C90,Inhalation_Exp[Worker Type],$D90),SUMIFS(Inhalation_Exp[24hr_Central Tendency],Inhalation_Exp[OES],$C90,Inhalation_Exp[Worker Type],$D90))</f>
        <v>1.2500000000000001E-2</v>
      </c>
      <c r="H90" s="205">
        <f>IF(E90="High-End",SUMIFS(Inhalation_Exp[Int_High-End],Inhalation_Exp[OES],$C90,Inhalation_Exp[Worker Type],$D90),SUMIFS(Inhalation_Exp[Int_Central Tendency],Inhalation_Exp[OES],$C90,Inhalation_Exp[Worker Type],$D90))</f>
        <v>9.1666666666666667E-3</v>
      </c>
      <c r="I90" s="205">
        <f>IF(E90="High-End",SUMIFS(Inhalation_Exp[ADD_High-End],Inhalation_Exp[OES],$C90,Inhalation_Exp[Worker Type],$D90),SUMIFS(Inhalation_Exp[ADD_Central Tendency],Inhalation_Exp[OES],$C90,Inhalation_Exp[Worker Type],$D90))</f>
        <v>8.047945205479452E-3</v>
      </c>
      <c r="J90" s="205">
        <f>IF(E90="High-End",SUMIFS(Inhalation_Exp[LADD_High-End],Inhalation_Exp[OES],$C90,Inhalation_Exp[Worker Type],$D90),SUMIFS(Inhalation_Exp[LADD_Central Tendency],Inhalation_Exp[OES],$C90,Inhalation_Exp[Worker Type],$D90))</f>
        <v>3.1985423252546539E-3</v>
      </c>
      <c r="K90" s="275">
        <f>IF($E90="High-End",SUMIFS(Dermal_Exp[High-End AD (mg/kg-day)],Dermal_Exp[Worker Type],$D90,Dermal_Exp[OES],$C90),SUMIFS(Dermal_Exp[Central Tendency AD (mg/kg-day)],Dermal_Exp[Worker Type],$D90,Dermal_Exp[OES],$C90))</f>
        <v>3.3169999999999998E-2</v>
      </c>
      <c r="L90" s="275">
        <f>IF($E90="High-End",SUMIFS(Dermal_Exp[High-End IADD (mg/kg-day)],Dermal_Exp[Worker Type],$D90,Dermal_Exp[OES],$C90),SUMIFS(Dermal_Exp[Central Tendency IADD (mg/kg-day)],Dermal_Exp[Worker Type],$D90,Dermal_Exp[OES],$C90))</f>
        <v>2.4324666666666665E-2</v>
      </c>
      <c r="M90" s="275">
        <f>IF($E90="High-End",SUMIFS(Dermal_Exp[High-End ADD (mg/kg-day)],Dermal_Exp[Worker Type],$D90,Dermal_Exp[OES],$C90),SUMIFS(Dermal_Exp[Central Tendency ADD (mg/kg-day)],Dermal_Exp[Worker Type],$D90,Dermal_Exp[OES],$C90))</f>
        <v>2.1356027397260273E-2</v>
      </c>
      <c r="N90" s="275">
        <f>IF($E90="High-End",SUMIFS(Dermal_Exp[High-End LADD (mg/kg-day)],Dermal_Exp[Worker Type],$D90,Dermal_Exp[OES],$C90),SUMIFS(Dermal_Exp[Central Tendency LADD (mg/kg-day)],Dermal_Exp[Worker Type],$D90,Dermal_Exp[OES],$C90))</f>
        <v>8.4876519142957491E-3</v>
      </c>
      <c r="O90" s="275">
        <f t="shared" si="9"/>
        <v>4.5670000000000002E-2</v>
      </c>
      <c r="P90" s="275">
        <f t="shared" si="6"/>
        <v>3.3491333333333331E-2</v>
      </c>
      <c r="Q90" s="275">
        <f t="shared" si="7"/>
        <v>2.9403972602739727E-2</v>
      </c>
      <c r="R90" s="295">
        <f t="shared" si="8"/>
        <v>1.1686194239550403E-2</v>
      </c>
      <c r="AF90" s="12"/>
      <c r="AG90" s="12"/>
      <c r="AH90" s="12"/>
      <c r="AI90" s="12"/>
      <c r="AJ90" s="12"/>
      <c r="AK90" s="12"/>
      <c r="AL90" s="12"/>
    </row>
    <row r="91" spans="3:38" x14ac:dyDescent="0.35">
      <c r="C91" s="392" t="str" cm="1">
        <f t="array" ref="C91">INDEX('List Values'!$B$2:$B$20,(1+ROUNDDOWN((ROW()-ROW($C$5))*1/6,2)))</f>
        <v>Use of Laboratory Chemicals (Liquid)</v>
      </c>
      <c r="D91" s="307" t="s">
        <v>74</v>
      </c>
      <c r="E91" s="374" t="s">
        <v>92</v>
      </c>
      <c r="F91" s="393" t="s">
        <v>218</v>
      </c>
      <c r="G91" s="395">
        <f>IF(E91="High-End",SUMIFS(Inhalation_Exp[24hr_High-End],Inhalation_Exp[OES],$C91,Inhalation_Exp[Worker Type],$D91),SUMIFS(Inhalation_Exp[24hr_Central Tendency],Inhalation_Exp[OES],$C91,Inhalation_Exp[Worker Type],$D91))</f>
        <v>6.3168795305488426E-2</v>
      </c>
      <c r="H91" s="205">
        <f>IF(E91="High-End",SUMIFS(Inhalation_Exp[Int_High-End],Inhalation_Exp[OES],$C91,Inhalation_Exp[Worker Type],$D91),SUMIFS(Inhalation_Exp[Int_Central Tendency],Inhalation_Exp[OES],$C91,Inhalation_Exp[Worker Type],$D91))</f>
        <v>4.6323783224024848E-2</v>
      </c>
      <c r="I91" s="205">
        <f>IF(E91="High-End",SUMIFS(Inhalation_Exp[ADD_High-End],Inhalation_Exp[OES],$C91,Inhalation_Exp[Worker Type],$D91),SUMIFS(Inhalation_Exp[ADD_Central Tendency],Inhalation_Exp[OES],$C91,Inhalation_Exp[Worker Type],$D91))</f>
        <v>4.3266298154444126E-2</v>
      </c>
      <c r="J91" s="205">
        <f>IF(E91="High-End",SUMIFS(Inhalation_Exp[LADD_High-End],Inhalation_Exp[OES],$C91,Inhalation_Exp[Worker Type],$D91),SUMIFS(Inhalation_Exp[LADD_Central Tendency],Inhalation_Exp[OES],$C91,Inhalation_Exp[Worker Type],$D91))</f>
        <v>2.2187845207407245E-2</v>
      </c>
      <c r="K91" s="275">
        <f>IF($E91="High-End",SUMIFS(Dermal_Exp[High-End AD (mg/kg-day)],Dermal_Exp[Worker Type],$D91,Dermal_Exp[OES],$C91),SUMIFS(Dermal_Exp[Central Tendency AD (mg/kg-day)],Dermal_Exp[Worker Type],$D91,Dermal_Exp[OES],$C91))</f>
        <v>6.0972375690607726E-2</v>
      </c>
      <c r="L91" s="275">
        <f>IF($E91="High-End",SUMIFS(Dermal_Exp[High-End IADD (mg/kg-day)],Dermal_Exp[Worker Type],$D91,Dermal_Exp[OES],$C91),SUMIFS(Dermal_Exp[Central Tendency IADD (mg/kg-day)],Dermal_Exp[Worker Type],$D91,Dermal_Exp[OES],$C91))</f>
        <v>4.4713075506445668E-2</v>
      </c>
      <c r="M91" s="275">
        <f>IF($E91="High-End",SUMIFS(Dermal_Exp[High-End ADD (mg/kg-day)],Dermal_Exp[Worker Type],$D91,Dermal_Exp[OES],$C91),SUMIFS(Dermal_Exp[Central Tendency ADD (mg/kg-day)],Dermal_Exp[Worker Type],$D91,Dermal_Exp[OES],$C91))</f>
        <v>4.1761901157950497E-2</v>
      </c>
      <c r="N91" s="275">
        <f>IF($E91="High-End",SUMIFS(Dermal_Exp[High-End LADD (mg/kg-day)],Dermal_Exp[Worker Type],$D91,Dermal_Exp[OES],$C91),SUMIFS(Dermal_Exp[Central Tendency LADD (mg/kg-day)],Dermal_Exp[Worker Type],$D91,Dermal_Exp[OES],$C91))</f>
        <v>2.1416359568179742E-2</v>
      </c>
      <c r="O91" s="275">
        <f t="shared" si="9"/>
        <v>0.12414117099609615</v>
      </c>
      <c r="P91" s="275">
        <f t="shared" si="6"/>
        <v>9.1036858730470516E-2</v>
      </c>
      <c r="Q91" s="275">
        <f t="shared" si="7"/>
        <v>8.5028199312394623E-2</v>
      </c>
      <c r="R91" s="295">
        <f t="shared" si="8"/>
        <v>4.3604204775586991E-2</v>
      </c>
      <c r="AF91" s="12"/>
      <c r="AG91" s="12"/>
      <c r="AH91" s="12"/>
      <c r="AI91" s="12"/>
      <c r="AJ91" s="12"/>
      <c r="AK91" s="12"/>
      <c r="AL91" s="12"/>
    </row>
    <row r="92" spans="3:38" x14ac:dyDescent="0.35">
      <c r="C92" s="392" t="str" cm="1">
        <f t="array" ref="C92">INDEX('List Values'!$B$2:$B$20,(1+ROUNDDOWN((ROW()-ROW($C$5))*1/6,2)))</f>
        <v>Use of Laboratory Chemicals (Liquid)</v>
      </c>
      <c r="D92" s="307" t="s">
        <v>74</v>
      </c>
      <c r="E92" s="374" t="s">
        <v>93</v>
      </c>
      <c r="F92" s="393" t="s">
        <v>218</v>
      </c>
      <c r="G92" s="395">
        <f>IF(E92="High-End",SUMIFS(Inhalation_Exp[24hr_High-End],Inhalation_Exp[OES],$C92,Inhalation_Exp[Worker Type],$D92),SUMIFS(Inhalation_Exp[24hr_Central Tendency],Inhalation_Exp[OES],$C92,Inhalation_Exp[Worker Type],$D92))</f>
        <v>1.3807386952019328E-2</v>
      </c>
      <c r="H92" s="205">
        <f>IF(E92="High-End",SUMIFS(Inhalation_Exp[Int_High-End],Inhalation_Exp[OES],$C92,Inhalation_Exp[Worker Type],$D92),SUMIFS(Inhalation_Exp[Int_Central Tendency],Inhalation_Exp[OES],$C92,Inhalation_Exp[Worker Type],$D92))</f>
        <v>1.0125417098147507E-2</v>
      </c>
      <c r="I92" s="205">
        <f>IF(E92="High-End",SUMIFS(Inhalation_Exp[ADD_High-End],Inhalation_Exp[OES],$C92,Inhalation_Exp[Worker Type],$D92),SUMIFS(Inhalation_Exp[ADD_Central Tendency],Inhalation_Exp[OES],$C92,Inhalation_Exp[Worker Type],$D92))</f>
        <v>8.8896874896562793E-3</v>
      </c>
      <c r="J92" s="205">
        <f>IF(E92="High-End",SUMIFS(Inhalation_Exp[LADD_High-End],Inhalation_Exp[OES],$C92,Inhalation_Exp[Worker Type],$D92),SUMIFS(Inhalation_Exp[LADD_Central Tendency],Inhalation_Exp[OES],$C92,Inhalation_Exp[Worker Type],$D92))</f>
        <v>3.5330809253762137E-3</v>
      </c>
      <c r="K92" s="275">
        <f>IF($E92="High-End",SUMIFS(Dermal_Exp[High-End AD (mg/kg-day)],Dermal_Exp[Worker Type],$D92,Dermal_Exp[OES],$C92),SUMIFS(Dermal_Exp[Central Tendency AD (mg/kg-day)],Dermal_Exp[Worker Type],$D92,Dermal_Exp[OES],$C92))</f>
        <v>3.0486187845303863E-2</v>
      </c>
      <c r="L92" s="275">
        <f>IF($E92="High-End",SUMIFS(Dermal_Exp[High-End IADD (mg/kg-day)],Dermal_Exp[Worker Type],$D92,Dermal_Exp[OES],$C92),SUMIFS(Dermal_Exp[Central Tendency IADD (mg/kg-day)],Dermal_Exp[Worker Type],$D92,Dermal_Exp[OES],$C92))</f>
        <v>2.2356537753222834E-2</v>
      </c>
      <c r="M92" s="275">
        <f>IF($E92="High-End",SUMIFS(Dermal_Exp[High-End ADD (mg/kg-day)],Dermal_Exp[Worker Type],$D92,Dermal_Exp[OES],$C92),SUMIFS(Dermal_Exp[Central Tendency ADD (mg/kg-day)],Dermal_Exp[Worker Type],$D92,Dermal_Exp[OES],$C92))</f>
        <v>1.9628093544236735E-2</v>
      </c>
      <c r="N92" s="275">
        <f>IF($E92="High-End",SUMIFS(Dermal_Exp[High-End LADD (mg/kg-day)],Dermal_Exp[Worker Type],$D92,Dermal_Exp[OES],$C92),SUMIFS(Dermal_Exp[Central Tendency LADD (mg/kg-day)],Dermal_Exp[Worker Type],$D92,Dermal_Exp[OES],$C92))</f>
        <v>7.8009089727094716E-3</v>
      </c>
      <c r="O92" s="275">
        <f t="shared" si="9"/>
        <v>4.4293574797323189E-2</v>
      </c>
      <c r="P92" s="275">
        <f t="shared" si="6"/>
        <v>3.2481954851370343E-2</v>
      </c>
      <c r="Q92" s="275">
        <f t="shared" si="7"/>
        <v>2.8517781033893012E-2</v>
      </c>
      <c r="R92" s="295">
        <f t="shared" si="8"/>
        <v>1.1333989898085685E-2</v>
      </c>
      <c r="AF92" s="12"/>
      <c r="AG92" s="12"/>
      <c r="AH92" s="12"/>
      <c r="AI92" s="12"/>
      <c r="AJ92" s="12"/>
      <c r="AK92" s="12"/>
      <c r="AL92" s="12"/>
    </row>
    <row r="93" spans="3:38" x14ac:dyDescent="0.35">
      <c r="C93" s="392" t="str" cm="1">
        <f t="array" ref="C93">INDEX('List Values'!$B$2:$B$20,(1+ROUNDDOWN((ROW()-ROW($C$5))*1/6,2)))</f>
        <v>Use of Laboratory Chemicals (Liquid)</v>
      </c>
      <c r="D93" s="307" t="s">
        <v>94</v>
      </c>
      <c r="E93" s="374" t="s">
        <v>92</v>
      </c>
      <c r="F93" s="393" t="s">
        <v>218</v>
      </c>
      <c r="G93" s="395">
        <f>IF(E93="High-End",SUMIFS(Inhalation_Exp[24hr_High-End],Inhalation_Exp[OES],$C93,Inhalation_Exp[Worker Type],$D93),SUMIFS(Inhalation_Exp[24hr_Central Tendency],Inhalation_Exp[OES],$C93,Inhalation_Exp[Worker Type],$D93))</f>
        <v>1.2500000000000001E-2</v>
      </c>
      <c r="H93" s="205">
        <f>IF(E93="High-End",SUMIFS(Inhalation_Exp[Int_High-End],Inhalation_Exp[OES],$C93,Inhalation_Exp[Worker Type],$D93),SUMIFS(Inhalation_Exp[Int_Central Tendency],Inhalation_Exp[OES],$C93,Inhalation_Exp[Worker Type],$D93))</f>
        <v>9.1666666666666667E-3</v>
      </c>
      <c r="I93" s="205">
        <f>IF(E93="High-End",SUMIFS(Inhalation_Exp[ADD_High-End],Inhalation_Exp[OES],$C93,Inhalation_Exp[Worker Type],$D93),SUMIFS(Inhalation_Exp[ADD_Central Tendency],Inhalation_Exp[OES],$C93,Inhalation_Exp[Worker Type],$D93))</f>
        <v>8.5616438356164379E-3</v>
      </c>
      <c r="J93" s="205">
        <f>IF(E93="High-End",SUMIFS(Inhalation_Exp[LADD_High-End],Inhalation_Exp[OES],$C93,Inhalation_Exp[Worker Type],$D93),SUMIFS(Inhalation_Exp[LADD_Central Tendency],Inhalation_Exp[OES],$C93,Inhalation_Exp[Worker Type],$D93))</f>
        <v>4.3905865823674044E-3</v>
      </c>
      <c r="K93" s="275">
        <f>IF($E93="High-End",SUMIFS(Dermal_Exp[High-End AD (mg/kg-day)],Dermal_Exp[Worker Type],$D93,Dermal_Exp[OES],$C93),SUMIFS(Dermal_Exp[Central Tendency AD (mg/kg-day)],Dermal_Exp[Worker Type],$D93,Dermal_Exp[OES],$C93))</f>
        <v>0</v>
      </c>
      <c r="L93" s="275">
        <f>IF($E93="High-End",SUMIFS(Dermal_Exp[High-End IADD (mg/kg-day)],Dermal_Exp[Worker Type],$D93,Dermal_Exp[OES],$C93),SUMIFS(Dermal_Exp[Central Tendency IADD (mg/kg-day)],Dermal_Exp[Worker Type],$D93,Dermal_Exp[OES],$C93))</f>
        <v>0</v>
      </c>
      <c r="M93" s="275">
        <f>IF($E93="High-End",SUMIFS(Dermal_Exp[High-End ADD (mg/kg-day)],Dermal_Exp[Worker Type],$D93,Dermal_Exp[OES],$C93),SUMIFS(Dermal_Exp[Central Tendency ADD (mg/kg-day)],Dermal_Exp[Worker Type],$D93,Dermal_Exp[OES],$C93))</f>
        <v>0</v>
      </c>
      <c r="N93" s="275">
        <f>IF($E93="High-End",SUMIFS(Dermal_Exp[High-End LADD (mg/kg-day)],Dermal_Exp[Worker Type],$D93,Dermal_Exp[OES],$C93),SUMIFS(Dermal_Exp[Central Tendency LADD (mg/kg-day)],Dermal_Exp[Worker Type],$D93,Dermal_Exp[OES],$C93))</f>
        <v>0</v>
      </c>
      <c r="O93" s="275">
        <f t="shared" si="9"/>
        <v>1.2500000000000001E-2</v>
      </c>
      <c r="P93" s="275">
        <f t="shared" si="6"/>
        <v>9.1666666666666667E-3</v>
      </c>
      <c r="Q93" s="275">
        <f t="shared" si="7"/>
        <v>8.5616438356164379E-3</v>
      </c>
      <c r="R93" s="295">
        <f t="shared" si="8"/>
        <v>4.3905865823674044E-3</v>
      </c>
      <c r="AF93" s="12"/>
      <c r="AG93" s="12"/>
      <c r="AH93" s="12"/>
      <c r="AI93" s="12"/>
      <c r="AJ93" s="12"/>
      <c r="AK93" s="12"/>
      <c r="AL93" s="12"/>
    </row>
    <row r="94" spans="3:38" x14ac:dyDescent="0.35">
      <c r="C94" s="392" t="str" cm="1">
        <f t="array" ref="C94">INDEX('List Values'!$B$2:$B$20,(1+ROUNDDOWN((ROW()-ROW($C$5))*1/6,2)))</f>
        <v>Use of Laboratory Chemicals (Liquid)</v>
      </c>
      <c r="D94" s="307" t="s">
        <v>94</v>
      </c>
      <c r="E94" s="374" t="s">
        <v>93</v>
      </c>
      <c r="F94" s="393" t="s">
        <v>218</v>
      </c>
      <c r="G94" s="395">
        <f>IF(E94="High-End",SUMIFS(Inhalation_Exp[24hr_High-End],Inhalation_Exp[OES],$C94,Inhalation_Exp[Worker Type],$D94),SUMIFS(Inhalation_Exp[24hr_Central Tendency],Inhalation_Exp[OES],$C94,Inhalation_Exp[Worker Type],$D94))</f>
        <v>1.2500000000000001E-2</v>
      </c>
      <c r="H94" s="205">
        <f>IF(E94="High-End",SUMIFS(Inhalation_Exp[Int_High-End],Inhalation_Exp[OES],$C94,Inhalation_Exp[Worker Type],$D94),SUMIFS(Inhalation_Exp[Int_Central Tendency],Inhalation_Exp[OES],$C94,Inhalation_Exp[Worker Type],$D94))</f>
        <v>9.1666666666666667E-3</v>
      </c>
      <c r="I94" s="205">
        <f>IF(E94="High-End",SUMIFS(Inhalation_Exp[ADD_High-End],Inhalation_Exp[OES],$C94,Inhalation_Exp[Worker Type],$D94),SUMIFS(Inhalation_Exp[ADD_Central Tendency],Inhalation_Exp[OES],$C94,Inhalation_Exp[Worker Type],$D94))</f>
        <v>8.047945205479452E-3</v>
      </c>
      <c r="J94" s="205">
        <f>IF(E94="High-End",SUMIFS(Inhalation_Exp[LADD_High-End],Inhalation_Exp[OES],$C94,Inhalation_Exp[Worker Type],$D94),SUMIFS(Inhalation_Exp[LADD_Central Tendency],Inhalation_Exp[OES],$C94,Inhalation_Exp[Worker Type],$D94))</f>
        <v>3.1985423252546539E-3</v>
      </c>
      <c r="K94" s="275">
        <f>IF($E94="High-End",SUMIFS(Dermal_Exp[High-End AD (mg/kg-day)],Dermal_Exp[Worker Type],$D94,Dermal_Exp[OES],$C94),SUMIFS(Dermal_Exp[Central Tendency AD (mg/kg-day)],Dermal_Exp[Worker Type],$D94,Dermal_Exp[OES],$C94))</f>
        <v>0</v>
      </c>
      <c r="L94" s="275">
        <f>IF($E94="High-End",SUMIFS(Dermal_Exp[High-End IADD (mg/kg-day)],Dermal_Exp[Worker Type],$D94,Dermal_Exp[OES],$C94),SUMIFS(Dermal_Exp[Central Tendency IADD (mg/kg-day)],Dermal_Exp[Worker Type],$D94,Dermal_Exp[OES],$C94))</f>
        <v>0</v>
      </c>
      <c r="M94" s="275">
        <f>IF($E94="High-End",SUMIFS(Dermal_Exp[High-End ADD (mg/kg-day)],Dermal_Exp[Worker Type],$D94,Dermal_Exp[OES],$C94),SUMIFS(Dermal_Exp[Central Tendency ADD (mg/kg-day)],Dermal_Exp[Worker Type],$D94,Dermal_Exp[OES],$C94))</f>
        <v>0</v>
      </c>
      <c r="N94" s="275">
        <f>IF($E94="High-End",SUMIFS(Dermal_Exp[High-End LADD (mg/kg-day)],Dermal_Exp[Worker Type],$D94,Dermal_Exp[OES],$C94),SUMIFS(Dermal_Exp[Central Tendency LADD (mg/kg-day)],Dermal_Exp[Worker Type],$D94,Dermal_Exp[OES],$C94))</f>
        <v>0</v>
      </c>
      <c r="O94" s="275">
        <f t="shared" si="9"/>
        <v>1.2500000000000001E-2</v>
      </c>
      <c r="P94" s="275">
        <f t="shared" si="6"/>
        <v>9.1666666666666667E-3</v>
      </c>
      <c r="Q94" s="275">
        <f t="shared" si="7"/>
        <v>8.047945205479452E-3</v>
      </c>
      <c r="R94" s="295">
        <f t="shared" si="8"/>
        <v>3.1985423252546539E-3</v>
      </c>
      <c r="AF94" s="12"/>
      <c r="AG94" s="12"/>
      <c r="AH94" s="12"/>
      <c r="AI94" s="12"/>
      <c r="AJ94" s="12"/>
      <c r="AK94" s="12"/>
      <c r="AL94" s="12"/>
    </row>
    <row r="95" spans="3:38" x14ac:dyDescent="0.35">
      <c r="C95" s="392" t="str" cm="1">
        <f t="array" ref="C95">INDEX('List Values'!$B$2:$B$20,(1+ROUNDDOWN((ROW()-ROW($C$5))*1/6,2)))</f>
        <v>Use of Lubricants and Functional Fluids</v>
      </c>
      <c r="D95" s="307" t="s">
        <v>214</v>
      </c>
      <c r="E95" s="374" t="s">
        <v>92</v>
      </c>
      <c r="F95" s="393" t="s">
        <v>218</v>
      </c>
      <c r="G95" s="395">
        <f>IF(E95="High-End",SUMIFS(Inhalation_Exp[24hr_High-End],Inhalation_Exp[OES],$C95,Inhalation_Exp[Worker Type],$D95),SUMIFS(Inhalation_Exp[24hr_Central Tendency],Inhalation_Exp[OES],$C95,Inhalation_Exp[Worker Type],$D95))</f>
        <v>6.2500000000000001E-4</v>
      </c>
      <c r="H95" s="205">
        <f>IF(E95="High-End",SUMIFS(Inhalation_Exp[Int_High-End],Inhalation_Exp[OES],$C95,Inhalation_Exp[Worker Type],$D95),SUMIFS(Inhalation_Exp[Int_Central Tendency],Inhalation_Exp[OES],$C95,Inhalation_Exp[Worker Type],$D95))</f>
        <v>8.3333333333333331E-5</v>
      </c>
      <c r="I95" s="205">
        <f>IF(E95="High-End",SUMIFS(Inhalation_Exp[ADD_High-End],Inhalation_Exp[OES],$C95,Inhalation_Exp[Worker Type],$D95),SUMIFS(Inhalation_Exp[ADD_Central Tendency],Inhalation_Exp[OES],$C95,Inhalation_Exp[Worker Type],$D95))</f>
        <v>6.8493150684931509E-6</v>
      </c>
      <c r="J95" s="205">
        <f>IF(E95="High-End",SUMIFS(Inhalation_Exp[LADD_High-End],Inhalation_Exp[OES],$C95,Inhalation_Exp[Worker Type],$D95),SUMIFS(Inhalation_Exp[LADD_Central Tendency],Inhalation_Exp[OES],$C95,Inhalation_Exp[Worker Type],$D95))</f>
        <v>3.5124692658939235E-6</v>
      </c>
      <c r="K95" s="275">
        <f>IF($E95="High-End",SUMIFS(Dermal_Exp[High-End AD (mg/kg-day)],Dermal_Exp[Worker Type],$D95,Dermal_Exp[OES],$C95),SUMIFS(Dermal_Exp[Central Tendency AD (mg/kg-day)],Dermal_Exp[Worker Type],$D95,Dermal_Exp[OES],$C95))</f>
        <v>6.6339999999999996E-2</v>
      </c>
      <c r="L95" s="275">
        <f>IF($E95="High-End",SUMIFS(Dermal_Exp[High-End IADD (mg/kg-day)],Dermal_Exp[Worker Type],$D95,Dermal_Exp[OES],$C95),SUMIFS(Dermal_Exp[Central Tendency IADD (mg/kg-day)],Dermal_Exp[Worker Type],$D95,Dermal_Exp[OES],$C95))</f>
        <v>8.8453333333333335E-3</v>
      </c>
      <c r="M95" s="275">
        <f>IF($E95="High-End",SUMIFS(Dermal_Exp[High-End ADD (mg/kg-day)],Dermal_Exp[Worker Type],$D95,Dermal_Exp[OES],$C95),SUMIFS(Dermal_Exp[Central Tendency ADD (mg/kg-day)],Dermal_Exp[Worker Type],$D95,Dermal_Exp[OES],$C95))</f>
        <v>7.2701369863013702E-4</v>
      </c>
      <c r="N95" s="275">
        <f>IF($E95="High-End",SUMIFS(Dermal_Exp[High-End LADD (mg/kg-day)],Dermal_Exp[Worker Type],$D95,Dermal_Exp[OES],$C95),SUMIFS(Dermal_Exp[Central Tendency LADD (mg/kg-day)],Dermal_Exp[Worker Type],$D95,Dermal_Exp[OES],$C95))</f>
        <v>3.728275377590446E-4</v>
      </c>
      <c r="O95" s="275">
        <f t="shared" si="9"/>
        <v>6.6964999999999997E-2</v>
      </c>
      <c r="P95" s="275">
        <f t="shared" si="6"/>
        <v>8.9286666666666663E-3</v>
      </c>
      <c r="Q95" s="275">
        <f t="shared" si="7"/>
        <v>7.3386301369863019E-4</v>
      </c>
      <c r="R95" s="295">
        <f t="shared" si="8"/>
        <v>3.7634000702493854E-4</v>
      </c>
      <c r="AF95" s="12"/>
      <c r="AG95" s="12"/>
      <c r="AH95" s="12"/>
      <c r="AI95" s="12"/>
      <c r="AJ95" s="12"/>
      <c r="AK95" s="12"/>
      <c r="AL95" s="12"/>
    </row>
    <row r="96" spans="3:38" x14ac:dyDescent="0.35">
      <c r="C96" s="392" t="str" cm="1">
        <f t="array" ref="C96">INDEX('List Values'!$B$2:$B$20,(1+ROUNDDOWN((ROW()-ROW($C$5))*1/6,2)))</f>
        <v>Use of Lubricants and Functional Fluids</v>
      </c>
      <c r="D96" s="307" t="s">
        <v>214</v>
      </c>
      <c r="E96" s="374" t="s">
        <v>93</v>
      </c>
      <c r="F96" s="393" t="s">
        <v>218</v>
      </c>
      <c r="G96" s="395">
        <f>IF(E96="High-End",SUMIFS(Inhalation_Exp[24hr_High-End],Inhalation_Exp[OES],$C96,Inhalation_Exp[Worker Type],$D96),SUMIFS(Inhalation_Exp[24hr_Central Tendency],Inhalation_Exp[OES],$C96,Inhalation_Exp[Worker Type],$D96))</f>
        <v>3.1250000000000001E-4</v>
      </c>
      <c r="H96" s="205">
        <f>IF(E96="High-End",SUMIFS(Inhalation_Exp[Int_High-End],Inhalation_Exp[OES],$C96,Inhalation_Exp[Worker Type],$D96),SUMIFS(Inhalation_Exp[Int_Central Tendency],Inhalation_Exp[OES],$C96,Inhalation_Exp[Worker Type],$D96))</f>
        <v>2.0833333333333333E-5</v>
      </c>
      <c r="I96" s="205">
        <f>IF(E96="High-End",SUMIFS(Inhalation_Exp[ADD_High-End],Inhalation_Exp[OES],$C96,Inhalation_Exp[Worker Type],$D96),SUMIFS(Inhalation_Exp[ADD_Central Tendency],Inhalation_Exp[OES],$C96,Inhalation_Exp[Worker Type],$D96))</f>
        <v>1.7123287671232877E-6</v>
      </c>
      <c r="J96" s="205">
        <f>IF(E96="High-End",SUMIFS(Inhalation_Exp[LADD_High-End],Inhalation_Exp[OES],$C96,Inhalation_Exp[Worker Type],$D96),SUMIFS(Inhalation_Exp[LADD_Central Tendency],Inhalation_Exp[OES],$C96,Inhalation_Exp[Worker Type],$D96))</f>
        <v>6.8054092026694771E-7</v>
      </c>
      <c r="K96" s="275">
        <f>IF($E96="High-End",SUMIFS(Dermal_Exp[High-End AD (mg/kg-day)],Dermal_Exp[Worker Type],$D96,Dermal_Exp[OES],$C96),SUMIFS(Dermal_Exp[Central Tendency AD (mg/kg-day)],Dermal_Exp[Worker Type],$D96,Dermal_Exp[OES],$C96))</f>
        <v>3.3169999999999998E-2</v>
      </c>
      <c r="L96" s="275">
        <f>IF($E96="High-End",SUMIFS(Dermal_Exp[High-End IADD (mg/kg-day)],Dermal_Exp[Worker Type],$D96,Dermal_Exp[OES],$C96),SUMIFS(Dermal_Exp[Central Tendency IADD (mg/kg-day)],Dermal_Exp[Worker Type],$D96,Dermal_Exp[OES],$C96))</f>
        <v>2.2113333333333334E-3</v>
      </c>
      <c r="M96" s="275">
        <f>IF($E96="High-End",SUMIFS(Dermal_Exp[High-End ADD (mg/kg-day)],Dermal_Exp[Worker Type],$D96,Dermal_Exp[OES],$C96),SUMIFS(Dermal_Exp[Central Tendency ADD (mg/kg-day)],Dermal_Exp[Worker Type],$D96,Dermal_Exp[OES],$C96))</f>
        <v>1.8175342465753425E-4</v>
      </c>
      <c r="N96" s="275">
        <f>IF($E96="High-End",SUMIFS(Dermal_Exp[High-End LADD (mg/kg-day)],Dermal_Exp[Worker Type],$D96,Dermal_Exp[OES],$C96),SUMIFS(Dermal_Exp[Central Tendency LADD (mg/kg-day)],Dermal_Exp[Worker Type],$D96,Dermal_Exp[OES],$C96))</f>
        <v>7.2235335440814897E-5</v>
      </c>
      <c r="O96" s="275">
        <f t="shared" si="9"/>
        <v>3.3482499999999998E-2</v>
      </c>
      <c r="P96" s="275">
        <f t="shared" si="6"/>
        <v>2.2321666666666666E-3</v>
      </c>
      <c r="Q96" s="275">
        <f t="shared" si="7"/>
        <v>1.8346575342465755E-4</v>
      </c>
      <c r="R96" s="295">
        <f t="shared" si="8"/>
        <v>7.291587636108185E-5</v>
      </c>
      <c r="AF96" s="12"/>
      <c r="AG96" s="12"/>
      <c r="AH96" s="12"/>
      <c r="AI96" s="12"/>
      <c r="AJ96" s="12"/>
      <c r="AK96" s="12"/>
      <c r="AL96" s="12"/>
    </row>
    <row r="97" spans="3:38" x14ac:dyDescent="0.35">
      <c r="C97" s="392" t="str" cm="1">
        <f t="array" ref="C97">INDEX('List Values'!$B$2:$B$20,(1+ROUNDDOWN((ROW()-ROW($C$5))*1/6,2)))</f>
        <v>Use of Lubricants and Functional Fluids</v>
      </c>
      <c r="D97" s="307" t="s">
        <v>74</v>
      </c>
      <c r="E97" s="374" t="s">
        <v>92</v>
      </c>
      <c r="F97" s="393" t="s">
        <v>218</v>
      </c>
      <c r="G97" s="395">
        <f>IF(E97="High-End",SUMIFS(Inhalation_Exp[24hr_High-End],Inhalation_Exp[OES],$C97,Inhalation_Exp[Worker Type],$D97),SUMIFS(Inhalation_Exp[24hr_Central Tendency],Inhalation_Exp[OES],$C97,Inhalation_Exp[Worker Type],$D97))</f>
        <v>6.9036934760096649E-4</v>
      </c>
      <c r="H97" s="205">
        <f>IF(E97="High-End",SUMIFS(Inhalation_Exp[Int_High-End],Inhalation_Exp[OES],$C97,Inhalation_Exp[Worker Type],$D97),SUMIFS(Inhalation_Exp[Int_Central Tendency],Inhalation_Exp[OES],$C97,Inhalation_Exp[Worker Type],$D97))</f>
        <v>9.2049246346795528E-5</v>
      </c>
      <c r="I97" s="205">
        <f>IF(E97="High-End",SUMIFS(Inhalation_Exp[ADD_High-End],Inhalation_Exp[OES],$C97,Inhalation_Exp[Worker Type],$D97),SUMIFS(Inhalation_Exp[ADD_Central Tendency],Inhalation_Exp[OES],$C97,Inhalation_Exp[Worker Type],$D97))</f>
        <v>7.5656914805585368E-6</v>
      </c>
      <c r="J97" s="205">
        <f>IF(E97="High-End",SUMIFS(Inhalation_Exp[LADD_High-End],Inhalation_Exp[OES],$C97,Inhalation_Exp[Worker Type],$D97),SUMIFS(Inhalation_Exp[LADD_Central Tendency],Inhalation_Exp[OES],$C97,Inhalation_Exp[Worker Type],$D97))</f>
        <v>3.8798417849018136E-6</v>
      </c>
      <c r="K97" s="275">
        <f>IF($E97="High-End",SUMIFS(Dermal_Exp[High-End AD (mg/kg-day)],Dermal_Exp[Worker Type],$D97,Dermal_Exp[OES],$C97),SUMIFS(Dermal_Exp[Central Tendency AD (mg/kg-day)],Dermal_Exp[Worker Type],$D97,Dermal_Exp[OES],$C97))</f>
        <v>6.0972375690607726E-2</v>
      </c>
      <c r="L97" s="275">
        <f>IF($E97="High-End",SUMIFS(Dermal_Exp[High-End IADD (mg/kg-day)],Dermal_Exp[Worker Type],$D97,Dermal_Exp[OES],$C97),SUMIFS(Dermal_Exp[Central Tendency IADD (mg/kg-day)],Dermal_Exp[Worker Type],$D97,Dermal_Exp[OES],$C97))</f>
        <v>8.1296500920810307E-3</v>
      </c>
      <c r="M97" s="275">
        <f>IF($E97="High-End",SUMIFS(Dermal_Exp[High-End ADD (mg/kg-day)],Dermal_Exp[Worker Type],$D97,Dermal_Exp[OES],$C97),SUMIFS(Dermal_Exp[Central Tendency ADD (mg/kg-day)],Dermal_Exp[Worker Type],$D97,Dermal_Exp[OES],$C97))</f>
        <v>6.6819041852720794E-4</v>
      </c>
      <c r="N97" s="275">
        <f>IF($E97="High-End",SUMIFS(Dermal_Exp[High-End LADD (mg/kg-day)],Dermal_Exp[Worker Type],$D97,Dermal_Exp[OES],$C97),SUMIFS(Dermal_Exp[Central Tendency LADD (mg/kg-day)],Dermal_Exp[Worker Type],$D97,Dermal_Exp[OES],$C97))</f>
        <v>3.4266175309087587E-4</v>
      </c>
      <c r="O97" s="275">
        <f t="shared" si="9"/>
        <v>6.1662745038208691E-2</v>
      </c>
      <c r="P97" s="275">
        <f t="shared" si="6"/>
        <v>8.2216993384278264E-3</v>
      </c>
      <c r="Q97" s="275">
        <f t="shared" si="7"/>
        <v>6.7575611000776647E-4</v>
      </c>
      <c r="R97" s="295">
        <f t="shared" si="8"/>
        <v>3.4654159487577767E-4</v>
      </c>
      <c r="AF97" s="12"/>
      <c r="AG97" s="12"/>
      <c r="AH97" s="12"/>
      <c r="AI97" s="12"/>
      <c r="AJ97" s="12"/>
      <c r="AK97" s="12"/>
      <c r="AL97" s="12"/>
    </row>
    <row r="98" spans="3:38" x14ac:dyDescent="0.35">
      <c r="C98" s="392" t="str" cm="1">
        <f t="array" ref="C98">INDEX('List Values'!$B$2:$B$20,(1+ROUNDDOWN((ROW()-ROW($C$5))*1/6,2)))</f>
        <v>Use of Lubricants and Functional Fluids</v>
      </c>
      <c r="D98" s="307" t="s">
        <v>74</v>
      </c>
      <c r="E98" s="374" t="s">
        <v>93</v>
      </c>
      <c r="F98" s="393" t="s">
        <v>218</v>
      </c>
      <c r="G98" s="395">
        <f>IF(E98="High-End",SUMIFS(Inhalation_Exp[24hr_High-End],Inhalation_Exp[OES],$C98,Inhalation_Exp[Worker Type],$D98),SUMIFS(Inhalation_Exp[24hr_Central Tendency],Inhalation_Exp[OES],$C98,Inhalation_Exp[Worker Type],$D98))</f>
        <v>3.4518467380048324E-4</v>
      </c>
      <c r="H98" s="205">
        <f>IF(E98="High-End",SUMIFS(Inhalation_Exp[Int_High-End],Inhalation_Exp[OES],$C98,Inhalation_Exp[Worker Type],$D98),SUMIFS(Inhalation_Exp[Int_Central Tendency],Inhalation_Exp[OES],$C98,Inhalation_Exp[Worker Type],$D98))</f>
        <v>2.3012311586698882E-5</v>
      </c>
      <c r="I98" s="205">
        <f>IF(E98="High-End",SUMIFS(Inhalation_Exp[ADD_High-End],Inhalation_Exp[OES],$C98,Inhalation_Exp[Worker Type],$D98),SUMIFS(Inhalation_Exp[ADD_Central Tendency],Inhalation_Exp[OES],$C98,Inhalation_Exp[Worker Type],$D98))</f>
        <v>1.8914228701396344E-6</v>
      </c>
      <c r="J98" s="205">
        <f>IF(E98="High-End",SUMIFS(Inhalation_Exp[LADD_High-End],Inhalation_Exp[OES],$C98,Inhalation_Exp[Worker Type],$D98),SUMIFS(Inhalation_Exp[LADD_Central Tendency],Inhalation_Exp[OES],$C98,Inhalation_Exp[Worker Type],$D98))</f>
        <v>7.5171934582472646E-7</v>
      </c>
      <c r="K98" s="275">
        <f>IF($E98="High-End",SUMIFS(Dermal_Exp[High-End AD (mg/kg-day)],Dermal_Exp[Worker Type],$D98,Dermal_Exp[OES],$C98),SUMIFS(Dermal_Exp[Central Tendency AD (mg/kg-day)],Dermal_Exp[Worker Type],$D98,Dermal_Exp[OES],$C98))</f>
        <v>3.0486187845303863E-2</v>
      </c>
      <c r="L98" s="275">
        <f>IF($E98="High-End",SUMIFS(Dermal_Exp[High-End IADD (mg/kg-day)],Dermal_Exp[Worker Type],$D98,Dermal_Exp[OES],$C98),SUMIFS(Dermal_Exp[Central Tendency IADD (mg/kg-day)],Dermal_Exp[Worker Type],$D98,Dermal_Exp[OES],$C98))</f>
        <v>2.0324125230202577E-3</v>
      </c>
      <c r="M98" s="275">
        <f>IF($E98="High-End",SUMIFS(Dermal_Exp[High-End ADD (mg/kg-day)],Dermal_Exp[Worker Type],$D98,Dermal_Exp[OES],$C98),SUMIFS(Dermal_Exp[Central Tendency ADD (mg/kg-day)],Dermal_Exp[Worker Type],$D98,Dermal_Exp[OES],$C98))</f>
        <v>1.6704760463180198E-4</v>
      </c>
      <c r="N98" s="275">
        <f>IF($E98="High-End",SUMIFS(Dermal_Exp[High-End LADD (mg/kg-day)],Dermal_Exp[Worker Type],$D98,Dermal_Exp[OES],$C98),SUMIFS(Dermal_Exp[Central Tendency LADD (mg/kg-day)],Dermal_Exp[Worker Type],$D98,Dermal_Exp[OES],$C98))</f>
        <v>6.6390714661357199E-5</v>
      </c>
      <c r="O98" s="275">
        <f t="shared" si="9"/>
        <v>3.0831372519104346E-2</v>
      </c>
      <c r="P98" s="275">
        <f t="shared" si="6"/>
        <v>2.0554248346069566E-3</v>
      </c>
      <c r="Q98" s="275">
        <f t="shared" si="7"/>
        <v>1.6893902750194162E-4</v>
      </c>
      <c r="R98" s="295">
        <f t="shared" si="8"/>
        <v>6.714243400718192E-5</v>
      </c>
      <c r="AF98" s="12"/>
      <c r="AG98" s="12"/>
      <c r="AH98" s="12"/>
      <c r="AI98" s="12"/>
      <c r="AJ98" s="12"/>
      <c r="AK98" s="12"/>
      <c r="AL98" s="12"/>
    </row>
    <row r="99" spans="3:38" x14ac:dyDescent="0.35">
      <c r="C99" s="392" t="str" cm="1">
        <f t="array" ref="C99">INDEX('List Values'!$B$2:$B$20,(1+ROUNDDOWN((ROW()-ROW($C$5))*1/6,2)))</f>
        <v>Use of Lubricants and Functional Fluids</v>
      </c>
      <c r="D99" s="307" t="s">
        <v>94</v>
      </c>
      <c r="E99" s="374" t="s">
        <v>92</v>
      </c>
      <c r="F99" s="393" t="s">
        <v>218</v>
      </c>
      <c r="G99" s="395">
        <f>IF(E99="High-End",SUMIFS(Inhalation_Exp[24hr_High-End],Inhalation_Exp[OES],$C99,Inhalation_Exp[Worker Type],$D99),SUMIFS(Inhalation_Exp[24hr_Central Tendency],Inhalation_Exp[OES],$C99,Inhalation_Exp[Worker Type],$D99))</f>
        <v>3.1250000000000001E-4</v>
      </c>
      <c r="H99" s="205">
        <f>IF(E99="High-End",SUMIFS(Inhalation_Exp[Int_High-End],Inhalation_Exp[OES],$C99,Inhalation_Exp[Worker Type],$D99),SUMIFS(Inhalation_Exp[Int_Central Tendency],Inhalation_Exp[OES],$C99,Inhalation_Exp[Worker Type],$D99))</f>
        <v>4.1666666666666665E-5</v>
      </c>
      <c r="I99" s="205">
        <f>IF(E99="High-End",SUMIFS(Inhalation_Exp[ADD_High-End],Inhalation_Exp[OES],$C99,Inhalation_Exp[Worker Type],$D99),SUMIFS(Inhalation_Exp[ADD_Central Tendency],Inhalation_Exp[OES],$C99,Inhalation_Exp[Worker Type],$D99))</f>
        <v>3.4246575342465754E-6</v>
      </c>
      <c r="J99" s="205">
        <f>IF(E99="High-End",SUMIFS(Inhalation_Exp[LADD_High-End],Inhalation_Exp[OES],$C99,Inhalation_Exp[Worker Type],$D99),SUMIFS(Inhalation_Exp[LADD_Central Tendency],Inhalation_Exp[OES],$C99,Inhalation_Exp[Worker Type],$D99))</f>
        <v>1.7562346329469617E-6</v>
      </c>
      <c r="K99" s="275">
        <f>IF($E99="High-End",SUMIFS(Dermal_Exp[High-End AD (mg/kg-day)],Dermal_Exp[Worker Type],$D99,Dermal_Exp[OES],$C99),SUMIFS(Dermal_Exp[Central Tendency AD (mg/kg-day)],Dermal_Exp[Worker Type],$D99,Dermal_Exp[OES],$C99))</f>
        <v>0</v>
      </c>
      <c r="L99" s="275">
        <f>IF($E99="High-End",SUMIFS(Dermal_Exp[High-End IADD (mg/kg-day)],Dermal_Exp[Worker Type],$D99,Dermal_Exp[OES],$C99),SUMIFS(Dermal_Exp[Central Tendency IADD (mg/kg-day)],Dermal_Exp[Worker Type],$D99,Dermal_Exp[OES],$C99))</f>
        <v>0</v>
      </c>
      <c r="M99" s="275">
        <f>IF($E99="High-End",SUMIFS(Dermal_Exp[High-End ADD (mg/kg-day)],Dermal_Exp[Worker Type],$D99,Dermal_Exp[OES],$C99),SUMIFS(Dermal_Exp[Central Tendency ADD (mg/kg-day)],Dermal_Exp[Worker Type],$D99,Dermal_Exp[OES],$C99))</f>
        <v>0</v>
      </c>
      <c r="N99" s="275">
        <f>IF($E99="High-End",SUMIFS(Dermal_Exp[High-End LADD (mg/kg-day)],Dermal_Exp[Worker Type],$D99,Dermal_Exp[OES],$C99),SUMIFS(Dermal_Exp[Central Tendency LADD (mg/kg-day)],Dermal_Exp[Worker Type],$D99,Dermal_Exp[OES],$C99))</f>
        <v>0</v>
      </c>
      <c r="O99" s="275">
        <f t="shared" si="9"/>
        <v>3.1250000000000001E-4</v>
      </c>
      <c r="P99" s="275">
        <f t="shared" si="6"/>
        <v>4.1666666666666665E-5</v>
      </c>
      <c r="Q99" s="275">
        <f t="shared" si="7"/>
        <v>3.4246575342465754E-6</v>
      </c>
      <c r="R99" s="295">
        <f t="shared" si="8"/>
        <v>1.7562346329469617E-6</v>
      </c>
      <c r="AF99" s="12"/>
      <c r="AG99" s="12"/>
      <c r="AH99" s="12"/>
      <c r="AI99" s="12"/>
      <c r="AJ99" s="12"/>
      <c r="AK99" s="12"/>
      <c r="AL99" s="12"/>
    </row>
    <row r="100" spans="3:38" x14ac:dyDescent="0.35">
      <c r="C100" s="392" t="str" cm="1">
        <f t="array" ref="C100">INDEX('List Values'!$B$2:$B$20,(1+ROUNDDOWN((ROW()-ROW($C$5))*1/6,2)))</f>
        <v>Use of Lubricants and Functional Fluids</v>
      </c>
      <c r="D100" s="307" t="s">
        <v>94</v>
      </c>
      <c r="E100" s="374" t="s">
        <v>93</v>
      </c>
      <c r="F100" s="393" t="s">
        <v>218</v>
      </c>
      <c r="G100" s="395">
        <f>IF(E100="High-End",SUMIFS(Inhalation_Exp[24hr_High-End],Inhalation_Exp[OES],$C100,Inhalation_Exp[Worker Type],$D100),SUMIFS(Inhalation_Exp[24hr_Central Tendency],Inhalation_Exp[OES],$C100,Inhalation_Exp[Worker Type],$D100))</f>
        <v>3.1250000000000001E-4</v>
      </c>
      <c r="H100" s="205">
        <f>IF(E100="High-End",SUMIFS(Inhalation_Exp[Int_High-End],Inhalation_Exp[OES],$C100,Inhalation_Exp[Worker Type],$D100),SUMIFS(Inhalation_Exp[Int_Central Tendency],Inhalation_Exp[OES],$C100,Inhalation_Exp[Worker Type],$D100))</f>
        <v>2.0833333333333333E-5</v>
      </c>
      <c r="I100" s="205">
        <f>IF(E100="High-End",SUMIFS(Inhalation_Exp[ADD_High-End],Inhalation_Exp[OES],$C100,Inhalation_Exp[Worker Type],$D100),SUMIFS(Inhalation_Exp[ADD_Central Tendency],Inhalation_Exp[OES],$C100,Inhalation_Exp[Worker Type],$D100))</f>
        <v>1.7123287671232877E-6</v>
      </c>
      <c r="J100" s="205">
        <f>IF(E100="High-End",SUMIFS(Inhalation_Exp[LADD_High-End],Inhalation_Exp[OES],$C100,Inhalation_Exp[Worker Type],$D100),SUMIFS(Inhalation_Exp[LADD_Central Tendency],Inhalation_Exp[OES],$C100,Inhalation_Exp[Worker Type],$D100))</f>
        <v>6.8054092026694771E-7</v>
      </c>
      <c r="K100" s="275">
        <f>IF($E100="High-End",SUMIFS(Dermal_Exp[High-End AD (mg/kg-day)],Dermal_Exp[Worker Type],$D100,Dermal_Exp[OES],$C100),SUMIFS(Dermal_Exp[Central Tendency AD (mg/kg-day)],Dermal_Exp[Worker Type],$D100,Dermal_Exp[OES],$C100))</f>
        <v>0</v>
      </c>
      <c r="L100" s="275">
        <f>IF($E100="High-End",SUMIFS(Dermal_Exp[High-End IADD (mg/kg-day)],Dermal_Exp[Worker Type],$D100,Dermal_Exp[OES],$C100),SUMIFS(Dermal_Exp[Central Tendency IADD (mg/kg-day)],Dermal_Exp[Worker Type],$D100,Dermal_Exp[OES],$C100))</f>
        <v>0</v>
      </c>
      <c r="M100" s="275">
        <f>IF($E100="High-End",SUMIFS(Dermal_Exp[High-End ADD (mg/kg-day)],Dermal_Exp[Worker Type],$D100,Dermal_Exp[OES],$C100),SUMIFS(Dermal_Exp[Central Tendency ADD (mg/kg-day)],Dermal_Exp[Worker Type],$D100,Dermal_Exp[OES],$C100))</f>
        <v>0</v>
      </c>
      <c r="N100" s="275">
        <f>IF($E100="High-End",SUMIFS(Dermal_Exp[High-End LADD (mg/kg-day)],Dermal_Exp[Worker Type],$D100,Dermal_Exp[OES],$C100),SUMIFS(Dermal_Exp[Central Tendency LADD (mg/kg-day)],Dermal_Exp[Worker Type],$D100,Dermal_Exp[OES],$C100))</f>
        <v>0</v>
      </c>
      <c r="O100" s="275">
        <f t="shared" si="9"/>
        <v>3.1250000000000001E-4</v>
      </c>
      <c r="P100" s="275">
        <f t="shared" si="6"/>
        <v>2.0833333333333333E-5</v>
      </c>
      <c r="Q100" s="275">
        <f t="shared" si="7"/>
        <v>1.7123287671232877E-6</v>
      </c>
      <c r="R100" s="295">
        <f t="shared" si="8"/>
        <v>6.8054092026694771E-7</v>
      </c>
      <c r="AF100" s="12"/>
      <c r="AG100" s="12"/>
      <c r="AH100" s="12"/>
      <c r="AI100" s="12"/>
      <c r="AJ100" s="12"/>
      <c r="AK100" s="12"/>
      <c r="AL100" s="12"/>
    </row>
    <row r="101" spans="3:38" ht="26" x14ac:dyDescent="0.35">
      <c r="C101" s="392" t="str" cm="1">
        <f t="array" ref="C101">INDEX('List Values'!$B$2:$B$20,(1+ROUNDDOWN((ROW()-ROW($C$5))*1/6,2)))</f>
        <v>Recycling</v>
      </c>
      <c r="D101" s="307" t="s">
        <v>214</v>
      </c>
      <c r="E101" s="374" t="s">
        <v>92</v>
      </c>
      <c r="F101" s="387" t="s">
        <v>213</v>
      </c>
      <c r="G101" s="395">
        <f>IF(E101="High-End",SUMIFS(Inhalation_Exp[24hr_High-End],Inhalation_Exp[OES],$C101,Inhalation_Exp[Worker Type],$D101),SUMIFS(Inhalation_Exp[24hr_Central Tendency],Inhalation_Exp[OES],$C101,Inhalation_Exp[Worker Type],$D101))</f>
        <v>0.19687499999999999</v>
      </c>
      <c r="H101" s="205">
        <f>IF(E101="High-End",SUMIFS(Inhalation_Exp[Int_High-End],Inhalation_Exp[OES],$C101,Inhalation_Exp[Worker Type],$D101),SUMIFS(Inhalation_Exp[Int_Central Tendency],Inhalation_Exp[OES],$C101,Inhalation_Exp[Worker Type],$D101))</f>
        <v>0.144375</v>
      </c>
      <c r="I101" s="205">
        <f>IF(E101="High-End",SUMIFS(Inhalation_Exp[ADD_High-End],Inhalation_Exp[OES],$C101,Inhalation_Exp[Worker Type],$D101),SUMIFS(Inhalation_Exp[ADD_Central Tendency],Inhalation_Exp[OES],$C101,Inhalation_Exp[Worker Type],$D101))</f>
        <v>0.1348458904109589</v>
      </c>
      <c r="J101" s="205">
        <f>IF(E101="High-End",SUMIFS(Inhalation_Exp[LADD_High-End],Inhalation_Exp[OES],$C101,Inhalation_Exp[Worker Type],$D101),SUMIFS(Inhalation_Exp[LADD_Central Tendency],Inhalation_Exp[OES],$C101,Inhalation_Exp[Worker Type],$D101))</f>
        <v>6.915173867228662E-2</v>
      </c>
      <c r="K101" s="275">
        <f>IF($E101="High-End",SUMIFS(Dermal_Exp[High-End AD (mg/kg-day)],Dermal_Exp[Worker Type],$D101,Dermal_Exp[OES],$C101),SUMIFS(Dermal_Exp[Central Tendency AD (mg/kg-day)],Dermal_Exp[Worker Type],$D101,Dermal_Exp[OES],$C101))</f>
        <v>1.1909099999999999E-2</v>
      </c>
      <c r="L101" s="275">
        <f>IF($E101="High-End",SUMIFS(Dermal_Exp[High-End IADD (mg/kg-day)],Dermal_Exp[Worker Type],$D101,Dermal_Exp[OES],$C101),SUMIFS(Dermal_Exp[Central Tendency IADD (mg/kg-day)],Dermal_Exp[Worker Type],$D101,Dermal_Exp[OES],$C101))</f>
        <v>8.7333399999999992E-3</v>
      </c>
      <c r="M101" s="275">
        <f>IF($E101="High-End",SUMIFS(Dermal_Exp[High-End ADD (mg/kg-day)],Dermal_Exp[Worker Type],$D101,Dermal_Exp[OES],$C101),SUMIFS(Dermal_Exp[Central Tendency ADD (mg/kg-day)],Dermal_Exp[Worker Type],$D101,Dermal_Exp[OES],$C101))</f>
        <v>8.156917808219177E-3</v>
      </c>
      <c r="N101" s="275">
        <f>IF($E101="High-End",SUMIFS(Dermal_Exp[High-End LADD (mg/kg-day)],Dermal_Exp[Worker Type],$D101,Dermal_Exp[OES],$C101),SUMIFS(Dermal_Exp[Central Tendency LADD (mg/kg-day)],Dermal_Exp[Worker Type],$D101,Dermal_Exp[OES],$C101))</f>
        <v>4.1830347734457315E-3</v>
      </c>
      <c r="O101" s="275">
        <f t="shared" ref="O101:O118" si="10">G101+K101</f>
        <v>0.2087841</v>
      </c>
      <c r="P101" s="275">
        <f t="shared" ref="P101:P118" si="11">H101+L101</f>
        <v>0.15310834000000001</v>
      </c>
      <c r="Q101" s="275">
        <f t="shared" ref="Q101:Q118" si="12">I101+M101</f>
        <v>0.14300280821917807</v>
      </c>
      <c r="R101" s="295">
        <f t="shared" ref="R101:R118" si="13">J101+N101</f>
        <v>7.3334773445732346E-2</v>
      </c>
      <c r="AF101" s="12"/>
      <c r="AG101" s="12"/>
      <c r="AH101" s="12"/>
      <c r="AI101" s="12"/>
      <c r="AJ101" s="12"/>
      <c r="AK101" s="12"/>
      <c r="AL101" s="12"/>
    </row>
    <row r="102" spans="3:38" ht="26" x14ac:dyDescent="0.35">
      <c r="C102" s="392" t="str" cm="1">
        <f t="array" ref="C102">INDEX('List Values'!$B$2:$B$20,(1+ROUNDDOWN((ROW()-ROW($C$5))*1/6,2)))</f>
        <v>Recycling</v>
      </c>
      <c r="D102" s="307" t="s">
        <v>214</v>
      </c>
      <c r="E102" s="374" t="s">
        <v>93</v>
      </c>
      <c r="F102" s="387" t="s">
        <v>213</v>
      </c>
      <c r="G102" s="395">
        <f>IF(E102="High-End",SUMIFS(Inhalation_Exp[24hr_High-End],Inhalation_Exp[OES],$C102,Inhalation_Exp[Worker Type],$D102),SUMIFS(Inhalation_Exp[24hr_Central Tendency],Inhalation_Exp[OES],$C102,Inhalation_Exp[Worker Type],$D102))</f>
        <v>1.3500000000000002E-2</v>
      </c>
      <c r="H102" s="205">
        <f>IF(E102="High-End",SUMIFS(Inhalation_Exp[Int_High-End],Inhalation_Exp[OES],$C102,Inhalation_Exp[Worker Type],$D102),SUMIFS(Inhalation_Exp[Int_Central Tendency],Inhalation_Exp[OES],$C102,Inhalation_Exp[Worker Type],$D102))</f>
        <v>9.9000000000000008E-3</v>
      </c>
      <c r="I102" s="205">
        <f>IF(E102="High-End",SUMIFS(Inhalation_Exp[ADD_High-End],Inhalation_Exp[OES],$C102,Inhalation_Exp[Worker Type],$D102),SUMIFS(Inhalation_Exp[ADD_Central Tendency],Inhalation_Exp[OES],$C102,Inhalation_Exp[Worker Type],$D102))</f>
        <v>8.2479452054794525E-3</v>
      </c>
      <c r="J102" s="205">
        <f>IF(E102="High-End",SUMIFS(Inhalation_Exp[LADD_High-End],Inhalation_Exp[OES],$C102,Inhalation_Exp[Worker Type],$D102),SUMIFS(Inhalation_Exp[LADD_Central Tendency],Inhalation_Exp[OES],$C102,Inhalation_Exp[Worker Type],$D102))</f>
        <v>3.2780295047418338E-3</v>
      </c>
      <c r="K102" s="275">
        <f>IF($E102="High-End",SUMIFS(Dermal_Exp[High-End AD (mg/kg-day)],Dermal_Exp[Worker Type],$D102,Dermal_Exp[OES],$C102),SUMIFS(Dermal_Exp[Central Tendency AD (mg/kg-day)],Dermal_Exp[Worker Type],$D102,Dermal_Exp[OES],$C102))</f>
        <v>5.9545499999999994E-3</v>
      </c>
      <c r="L102" s="275">
        <f>IF($E102="High-End",SUMIFS(Dermal_Exp[High-End IADD (mg/kg-day)],Dermal_Exp[Worker Type],$D102,Dermal_Exp[OES],$C102),SUMIFS(Dermal_Exp[Central Tendency IADD (mg/kg-day)],Dermal_Exp[Worker Type],$D102,Dermal_Exp[OES],$C102))</f>
        <v>4.3666699999999996E-3</v>
      </c>
      <c r="M102" s="275">
        <f>IF($E102="High-End",SUMIFS(Dermal_Exp[High-End ADD (mg/kg-day)],Dermal_Exp[Worker Type],$D102,Dermal_Exp[OES],$C102),SUMIFS(Dermal_Exp[Central Tendency ADD (mg/kg-day)],Dermal_Exp[Worker Type],$D102,Dermal_Exp[OES],$C102))</f>
        <v>3.6379853424657531E-3</v>
      </c>
      <c r="N102" s="275">
        <f>IF($E102="High-End",SUMIFS(Dermal_Exp[High-End LADD (mg/kg-day)],Dermal_Exp[Worker Type],$D102,Dermal_Exp[OES],$C102),SUMIFS(Dermal_Exp[Central Tendency LADD (mg/kg-day)],Dermal_Exp[Worker Type],$D102,Dermal_Exp[OES],$C102))</f>
        <v>1.4458659694415173E-3</v>
      </c>
      <c r="O102" s="275">
        <f t="shared" si="10"/>
        <v>1.9454550000000001E-2</v>
      </c>
      <c r="P102" s="275">
        <f t="shared" si="11"/>
        <v>1.426667E-2</v>
      </c>
      <c r="Q102" s="275">
        <f t="shared" si="12"/>
        <v>1.1885930547945206E-2</v>
      </c>
      <c r="R102" s="295">
        <f t="shared" si="13"/>
        <v>4.7238954741833511E-3</v>
      </c>
      <c r="AF102" s="12"/>
      <c r="AG102" s="12"/>
      <c r="AH102" s="12"/>
      <c r="AI102" s="12"/>
      <c r="AJ102" s="12"/>
      <c r="AK102" s="12"/>
      <c r="AL102" s="12"/>
    </row>
    <row r="103" spans="3:38" ht="26" x14ac:dyDescent="0.35">
      <c r="C103" s="392" t="str" cm="1">
        <f t="array" ref="C103">INDEX('List Values'!$B$2:$B$20,(1+ROUNDDOWN((ROW()-ROW($C$5))*1/6,2)))</f>
        <v>Recycling</v>
      </c>
      <c r="D103" s="307" t="s">
        <v>74</v>
      </c>
      <c r="E103" s="374" t="s">
        <v>92</v>
      </c>
      <c r="F103" s="387" t="s">
        <v>213</v>
      </c>
      <c r="G103" s="395">
        <f>IF(E103="High-End",SUMIFS(Inhalation_Exp[24hr_High-End],Inhalation_Exp[OES],$C103,Inhalation_Exp[Worker Type],$D103),SUMIFS(Inhalation_Exp[24hr_Central Tendency],Inhalation_Exp[OES],$C103,Inhalation_Exp[Worker Type],$D103))</f>
        <v>0.21746634449430441</v>
      </c>
      <c r="H103" s="205">
        <f>IF(E103="High-End",SUMIFS(Inhalation_Exp[Int_High-End],Inhalation_Exp[OES],$C103,Inhalation_Exp[Worker Type],$D103),SUMIFS(Inhalation_Exp[Int_Central Tendency],Inhalation_Exp[OES],$C103,Inhalation_Exp[Worker Type],$D103))</f>
        <v>0.15947531929582323</v>
      </c>
      <c r="I103" s="205">
        <f>IF(E103="High-End",SUMIFS(Inhalation_Exp[ADD_High-End],Inhalation_Exp[OES],$C103,Inhalation_Exp[Worker Type],$D103),SUMIFS(Inhalation_Exp[ADD_Central Tendency],Inhalation_Exp[OES],$C103,Inhalation_Exp[Worker Type],$D103))</f>
        <v>0.14894955102349619</v>
      </c>
      <c r="J103" s="205">
        <f>IF(E103="High-End",SUMIFS(Inhalation_Exp[LADD_High-End],Inhalation_Exp[OES],$C103,Inhalation_Exp[Worker Type],$D103),SUMIFS(Inhalation_Exp[LADD_Central Tendency],Inhalation_Exp[OES],$C103,Inhalation_Exp[Worker Type],$D103))</f>
        <v>7.638438514025446E-2</v>
      </c>
      <c r="K103" s="275">
        <f>IF($E103="High-End",SUMIFS(Dermal_Exp[High-End AD (mg/kg-day)],Dermal_Exp[Worker Type],$D103,Dermal_Exp[OES],$C103),SUMIFS(Dermal_Exp[Central Tendency AD (mg/kg-day)],Dermal_Exp[Worker Type],$D103,Dermal_Exp[OES],$C103))</f>
        <v>1.0945524861878452E-2</v>
      </c>
      <c r="L103" s="275">
        <f>IF($E103="High-End",SUMIFS(Dermal_Exp[High-End IADD (mg/kg-day)],Dermal_Exp[Worker Type],$D103,Dermal_Exp[OES],$C103),SUMIFS(Dermal_Exp[Central Tendency IADD (mg/kg-day)],Dermal_Exp[Worker Type],$D103,Dermal_Exp[OES],$C103))</f>
        <v>8.0267182320441985E-3</v>
      </c>
      <c r="M103" s="275">
        <f>IF($E103="High-End",SUMIFS(Dermal_Exp[High-End ADD (mg/kg-day)],Dermal_Exp[Worker Type],$D103,Dermal_Exp[OES],$C103),SUMIFS(Dermal_Exp[Central Tendency ADD (mg/kg-day)],Dermal_Exp[Worker Type],$D103,Dermal_Exp[OES],$C103))</f>
        <v>7.4969348369030497E-3</v>
      </c>
      <c r="N103" s="275">
        <f>IF($E103="High-End",SUMIFS(Dermal_Exp[High-End LADD (mg/kg-day)],Dermal_Exp[Worker Type],$D103,Dermal_Exp[OES],$C103),SUMIFS(Dermal_Exp[Central Tendency LADD (mg/kg-day)],Dermal_Exp[Worker Type],$D103,Dermal_Exp[OES],$C103))</f>
        <v>3.8445819676425894E-3</v>
      </c>
      <c r="O103" s="275">
        <f t="shared" si="10"/>
        <v>0.22841186935618285</v>
      </c>
      <c r="P103" s="275">
        <f t="shared" si="11"/>
        <v>0.16750203752786744</v>
      </c>
      <c r="Q103" s="275">
        <f t="shared" si="12"/>
        <v>0.15644648586039925</v>
      </c>
      <c r="R103" s="295">
        <f t="shared" si="13"/>
        <v>8.0228967107897051E-2</v>
      </c>
      <c r="AF103" s="12"/>
      <c r="AG103" s="12"/>
      <c r="AH103" s="12"/>
      <c r="AI103" s="12"/>
      <c r="AJ103" s="12"/>
      <c r="AK103" s="12"/>
      <c r="AL103" s="12"/>
    </row>
    <row r="104" spans="3:38" ht="26" x14ac:dyDescent="0.35">
      <c r="C104" s="392" t="str" cm="1">
        <f t="array" ref="C104">INDEX('List Values'!$B$2:$B$20,(1+ROUNDDOWN((ROW()-ROW($C$5))*1/6,2)))</f>
        <v>Recycling</v>
      </c>
      <c r="D104" s="307" t="s">
        <v>74</v>
      </c>
      <c r="E104" s="374" t="s">
        <v>93</v>
      </c>
      <c r="F104" s="387" t="s">
        <v>213</v>
      </c>
      <c r="G104" s="395">
        <f>IF(E104="High-End",SUMIFS(Inhalation_Exp[24hr_High-End],Inhalation_Exp[OES],$C104,Inhalation_Exp[Worker Type],$D104),SUMIFS(Inhalation_Exp[24hr_Central Tendency],Inhalation_Exp[OES],$C104,Inhalation_Exp[Worker Type],$D104))</f>
        <v>1.4911977908180876E-2</v>
      </c>
      <c r="H104" s="205">
        <f>IF(E104="High-End",SUMIFS(Inhalation_Exp[Int_High-End],Inhalation_Exp[OES],$C104,Inhalation_Exp[Worker Type],$D104),SUMIFS(Inhalation_Exp[Int_Central Tendency],Inhalation_Exp[OES],$C104,Inhalation_Exp[Worker Type],$D104))</f>
        <v>1.093545046599931E-2</v>
      </c>
      <c r="I104" s="205">
        <f>IF(E104="High-End",SUMIFS(Inhalation_Exp[ADD_High-End],Inhalation_Exp[OES],$C104,Inhalation_Exp[Worker Type],$D104),SUMIFS(Inhalation_Exp[ADD_Central Tendency],Inhalation_Exp[OES],$C104,Inhalation_Exp[Worker Type],$D104))</f>
        <v>9.1106056808885894E-3</v>
      </c>
      <c r="J104" s="205">
        <f>IF(E104="High-End",SUMIFS(Inhalation_Exp[LADD_High-End],Inhalation_Exp[OES],$C104,Inhalation_Exp[Worker Type],$D104),SUMIFS(Inhalation_Exp[LADD_Central Tendency],Inhalation_Exp[OES],$C104,Inhalation_Exp[Worker Type],$D104))</f>
        <v>3.620881744968542E-3</v>
      </c>
      <c r="K104" s="275">
        <f>IF($E104="High-End",SUMIFS(Dermal_Exp[High-End AD (mg/kg-day)],Dermal_Exp[Worker Type],$D104,Dermal_Exp[OES],$C104),SUMIFS(Dermal_Exp[Central Tendency AD (mg/kg-day)],Dermal_Exp[Worker Type],$D104,Dermal_Exp[OES],$C104))</f>
        <v>5.4727624309392261E-3</v>
      </c>
      <c r="L104" s="275">
        <f>IF($E104="High-End",SUMIFS(Dermal_Exp[High-End IADD (mg/kg-day)],Dermal_Exp[Worker Type],$D104,Dermal_Exp[OES],$C104),SUMIFS(Dermal_Exp[Central Tendency IADD (mg/kg-day)],Dermal_Exp[Worker Type],$D104,Dermal_Exp[OES],$C104))</f>
        <v>4.0133591160220992E-3</v>
      </c>
      <c r="M104" s="275">
        <f>IF($E104="High-End",SUMIFS(Dermal_Exp[High-End ADD (mg/kg-day)],Dermal_Exp[Worker Type],$D104,Dermal_Exp[OES],$C104),SUMIFS(Dermal_Exp[Central Tendency ADD (mg/kg-day)],Dermal_Exp[Worker Type],$D104,Dermal_Exp[OES],$C104))</f>
        <v>3.3436329372587602E-3</v>
      </c>
      <c r="N104" s="275">
        <f>IF($E104="High-End",SUMIFS(Dermal_Exp[High-End LADD (mg/kg-day)],Dermal_Exp[Worker Type],$D104,Dermal_Exp[OES],$C104),SUMIFS(Dermal_Exp[Central Tendency LADD (mg/kg-day)],Dermal_Exp[Worker Type],$D104,Dermal_Exp[OES],$C104))</f>
        <v>1.328879757115661E-3</v>
      </c>
      <c r="O104" s="275">
        <f t="shared" si="10"/>
        <v>2.0384740339120102E-2</v>
      </c>
      <c r="P104" s="275">
        <f t="shared" si="11"/>
        <v>1.4948809582021409E-2</v>
      </c>
      <c r="Q104" s="275">
        <f t="shared" si="12"/>
        <v>1.2454238618147349E-2</v>
      </c>
      <c r="R104" s="295">
        <f t="shared" si="13"/>
        <v>4.9497615020842028E-3</v>
      </c>
      <c r="AF104" s="12"/>
      <c r="AG104" s="12"/>
      <c r="AH104" s="12"/>
      <c r="AI104" s="12"/>
      <c r="AJ104" s="12"/>
      <c r="AK104" s="12"/>
      <c r="AL104" s="12"/>
    </row>
    <row r="105" spans="3:38" ht="26" x14ac:dyDescent="0.35">
      <c r="C105" s="392" t="str" cm="1">
        <f t="array" ref="C105">INDEX('List Values'!$B$2:$B$20,(1+ROUNDDOWN((ROW()-ROW($C$5))*1/6,2)))</f>
        <v>Recycling</v>
      </c>
      <c r="D105" s="307" t="s">
        <v>94</v>
      </c>
      <c r="E105" s="374" t="s">
        <v>92</v>
      </c>
      <c r="F105" s="387" t="s">
        <v>213</v>
      </c>
      <c r="G105" s="395">
        <f>IF(E105="High-End",SUMIFS(Inhalation_Exp[24hr_High-End],Inhalation_Exp[OES],$C105,Inhalation_Exp[Worker Type],$D105),SUMIFS(Inhalation_Exp[24hr_Central Tendency],Inhalation_Exp[OES],$C105,Inhalation_Exp[Worker Type],$D105))</f>
        <v>1.3500000000000002E-2</v>
      </c>
      <c r="H105" s="205">
        <f>IF(E105="High-End",SUMIFS(Inhalation_Exp[Int_High-End],Inhalation_Exp[OES],$C105,Inhalation_Exp[Worker Type],$D105),SUMIFS(Inhalation_Exp[Int_Central Tendency],Inhalation_Exp[OES],$C105,Inhalation_Exp[Worker Type],$D105))</f>
        <v>9.9000000000000008E-3</v>
      </c>
      <c r="I105" s="205">
        <f>IF(E105="High-End",SUMIFS(Inhalation_Exp[ADD_High-End],Inhalation_Exp[OES],$C105,Inhalation_Exp[Worker Type],$D105),SUMIFS(Inhalation_Exp[ADD_Central Tendency],Inhalation_Exp[OES],$C105,Inhalation_Exp[Worker Type],$D105))</f>
        <v>9.2465753424657553E-3</v>
      </c>
      <c r="J105" s="205">
        <f>IF(E105="High-End",SUMIFS(Inhalation_Exp[LADD_High-End],Inhalation_Exp[OES],$C105,Inhalation_Exp[Worker Type],$D105),SUMIFS(Inhalation_Exp[LADD_Central Tendency],Inhalation_Exp[OES],$C105,Inhalation_Exp[Worker Type],$D105))</f>
        <v>4.7418335089567977E-3</v>
      </c>
      <c r="K105" s="275">
        <f>IF($E105="High-End",SUMIFS(Dermal_Exp[High-End AD (mg/kg-day)],Dermal_Exp[Worker Type],$D105,Dermal_Exp[OES],$C105),SUMIFS(Dermal_Exp[Central Tendency AD (mg/kg-day)],Dermal_Exp[Worker Type],$D105,Dermal_Exp[OES],$C105))</f>
        <v>2.9828399999999996E-3</v>
      </c>
      <c r="L105" s="275">
        <f>IF($E105="High-End",SUMIFS(Dermal_Exp[High-End IADD (mg/kg-day)],Dermal_Exp[Worker Type],$D105,Dermal_Exp[OES],$C105),SUMIFS(Dermal_Exp[Central Tendency IADD (mg/kg-day)],Dermal_Exp[Worker Type],$D105,Dermal_Exp[OES],$C105))</f>
        <v>2.1874159999999998E-3</v>
      </c>
      <c r="M105" s="275">
        <f>IF($E105="High-End",SUMIFS(Dermal_Exp[High-End ADD (mg/kg-day)],Dermal_Exp[Worker Type],$D105,Dermal_Exp[OES],$C105),SUMIFS(Dermal_Exp[Central Tendency ADD (mg/kg-day)],Dermal_Exp[Worker Type],$D105,Dermal_Exp[OES],$C105))</f>
        <v>2.0430410958904104E-3</v>
      </c>
      <c r="N105" s="275">
        <f>IF($E105="High-End",SUMIFS(Dermal_Exp[High-End LADD (mg/kg-day)],Dermal_Exp[Worker Type],$D105,Dermal_Exp[OES],$C105),SUMIFS(Dermal_Exp[Central Tendency LADD (mg/kg-day)],Dermal_Exp[Worker Type],$D105,Dermal_Exp[OES],$C105))</f>
        <v>1.047713382507903E-3</v>
      </c>
      <c r="O105" s="275">
        <f t="shared" si="10"/>
        <v>1.6482840000000002E-2</v>
      </c>
      <c r="P105" s="275">
        <f t="shared" si="11"/>
        <v>1.2087416E-2</v>
      </c>
      <c r="Q105" s="275">
        <f t="shared" si="12"/>
        <v>1.1289616438356166E-2</v>
      </c>
      <c r="R105" s="295">
        <f t="shared" si="13"/>
        <v>5.7895468914647003E-3</v>
      </c>
      <c r="AF105" s="12"/>
      <c r="AG105" s="12"/>
      <c r="AH105" s="12"/>
      <c r="AI105" s="12"/>
      <c r="AJ105" s="12"/>
      <c r="AK105" s="12"/>
      <c r="AL105" s="12"/>
    </row>
    <row r="106" spans="3:38" ht="26" x14ac:dyDescent="0.35">
      <c r="C106" s="392" t="str" cm="1">
        <f t="array" ref="C106">INDEX('List Values'!$B$2:$B$20,(1+ROUNDDOWN((ROW()-ROW($C$5))*1/6,2)))</f>
        <v>Recycling</v>
      </c>
      <c r="D106" s="307" t="s">
        <v>94</v>
      </c>
      <c r="E106" s="374" t="s">
        <v>93</v>
      </c>
      <c r="F106" s="387" t="s">
        <v>213</v>
      </c>
      <c r="G106" s="395">
        <f>IF(E106="High-End",SUMIFS(Inhalation_Exp[24hr_High-End],Inhalation_Exp[OES],$C106,Inhalation_Exp[Worker Type],$D106),SUMIFS(Inhalation_Exp[24hr_Central Tendency],Inhalation_Exp[OES],$C106,Inhalation_Exp[Worker Type],$D106))</f>
        <v>1.3500000000000002E-2</v>
      </c>
      <c r="H106" s="205">
        <f>IF(E106="High-End",SUMIFS(Inhalation_Exp[Int_High-End],Inhalation_Exp[OES],$C106,Inhalation_Exp[Worker Type],$D106),SUMIFS(Inhalation_Exp[Int_Central Tendency],Inhalation_Exp[OES],$C106,Inhalation_Exp[Worker Type],$D106))</f>
        <v>9.9000000000000008E-3</v>
      </c>
      <c r="I106" s="205">
        <f>IF(E106="High-End",SUMIFS(Inhalation_Exp[ADD_High-End],Inhalation_Exp[OES],$C106,Inhalation_Exp[Worker Type],$D106),SUMIFS(Inhalation_Exp[ADD_Central Tendency],Inhalation_Exp[OES],$C106,Inhalation_Exp[Worker Type],$D106))</f>
        <v>8.2479452054794525E-3</v>
      </c>
      <c r="J106" s="205">
        <f>IF(E106="High-End",SUMIFS(Inhalation_Exp[LADD_High-End],Inhalation_Exp[OES],$C106,Inhalation_Exp[Worker Type],$D106),SUMIFS(Inhalation_Exp[LADD_Central Tendency],Inhalation_Exp[OES],$C106,Inhalation_Exp[Worker Type],$D106))</f>
        <v>3.2780295047418338E-3</v>
      </c>
      <c r="K106" s="275">
        <f>IF($E106="High-End",SUMIFS(Dermal_Exp[High-End AD (mg/kg-day)],Dermal_Exp[Worker Type],$D106,Dermal_Exp[OES],$C106),SUMIFS(Dermal_Exp[Central Tendency AD (mg/kg-day)],Dermal_Exp[Worker Type],$D106,Dermal_Exp[OES],$C106))</f>
        <v>2.9828399999999996E-3</v>
      </c>
      <c r="L106" s="275">
        <f>IF($E106="High-End",SUMIFS(Dermal_Exp[High-End IADD (mg/kg-day)],Dermal_Exp[Worker Type],$D106,Dermal_Exp[OES],$C106),SUMIFS(Dermal_Exp[Central Tendency IADD (mg/kg-day)],Dermal_Exp[Worker Type],$D106,Dermal_Exp[OES],$C106))</f>
        <v>2.1874159999999998E-3</v>
      </c>
      <c r="M106" s="275">
        <f>IF($E106="High-End",SUMIFS(Dermal_Exp[High-End ADD (mg/kg-day)],Dermal_Exp[Worker Type],$D106,Dermal_Exp[OES],$C106),SUMIFS(Dermal_Exp[Central Tendency ADD (mg/kg-day)],Dermal_Exp[Worker Type],$D106,Dermal_Exp[OES],$C106))</f>
        <v>1.8223926575342464E-3</v>
      </c>
      <c r="N106" s="275">
        <f>IF($E106="High-End",SUMIFS(Dermal_Exp[High-End LADD (mg/kg-day)],Dermal_Exp[Worker Type],$D106,Dermal_Exp[OES],$C106),SUMIFS(Dermal_Exp[Central Tendency LADD (mg/kg-day)],Dermal_Exp[Worker Type],$D106,Dermal_Exp[OES],$C106))</f>
        <v>7.2428426132771333E-4</v>
      </c>
      <c r="O106" s="275">
        <f t="shared" si="10"/>
        <v>1.6482840000000002E-2</v>
      </c>
      <c r="P106" s="275">
        <f t="shared" si="11"/>
        <v>1.2087416E-2</v>
      </c>
      <c r="Q106" s="275">
        <f t="shared" si="12"/>
        <v>1.0070337863013699E-2</v>
      </c>
      <c r="R106" s="295">
        <f t="shared" si="13"/>
        <v>4.0023137660695467E-3</v>
      </c>
      <c r="AF106" s="12"/>
      <c r="AG106" s="12"/>
      <c r="AH106" s="12"/>
      <c r="AI106" s="12"/>
      <c r="AJ106" s="12"/>
      <c r="AK106" s="12"/>
      <c r="AL106" s="12"/>
    </row>
    <row r="107" spans="3:38" ht="26" x14ac:dyDescent="0.35">
      <c r="C107" s="392" t="str" cm="1">
        <f t="array" ref="C107">INDEX('List Values'!$B$2:$B$20,(1+ROUNDDOWN((ROW()-ROW($C$5))*1/6,2)))</f>
        <v>Fabrication or Use of Final Products and Articles</v>
      </c>
      <c r="D107" s="307" t="s">
        <v>214</v>
      </c>
      <c r="E107" s="374" t="s">
        <v>92</v>
      </c>
      <c r="F107" s="387" t="s">
        <v>213</v>
      </c>
      <c r="G107" s="395">
        <f>IF(E107="High-End",SUMIFS(Inhalation_Exp[24hr_High-End],Inhalation_Exp[OES],$C107,Inhalation_Exp[Worker Type],$D107),SUMIFS(Inhalation_Exp[24hr_Central Tendency],Inhalation_Exp[OES],$C107,Inhalation_Exp[Worker Type],$D107))</f>
        <v>0.10125000000000002</v>
      </c>
      <c r="H107" s="205">
        <f>IF(E107="High-End",SUMIFS(Inhalation_Exp[Int_High-End],Inhalation_Exp[OES],$C107,Inhalation_Exp[Worker Type],$D107),SUMIFS(Inhalation_Exp[Int_Central Tendency],Inhalation_Exp[OES],$C107,Inhalation_Exp[Worker Type],$D107))</f>
        <v>7.425000000000001E-2</v>
      </c>
      <c r="I107" s="205">
        <f>IF(E107="High-End",SUMIFS(Inhalation_Exp[ADD_High-End],Inhalation_Exp[OES],$C107,Inhalation_Exp[Worker Type],$D107),SUMIFS(Inhalation_Exp[ADD_Central Tendency],Inhalation_Exp[OES],$C107,Inhalation_Exp[Worker Type],$D107))</f>
        <v>6.9349315068493164E-2</v>
      </c>
      <c r="J107" s="205">
        <f>IF(E107="High-End",SUMIFS(Inhalation_Exp[LADD_High-End],Inhalation_Exp[OES],$C107,Inhalation_Exp[Worker Type],$D107),SUMIFS(Inhalation_Exp[LADD_Central Tendency],Inhalation_Exp[OES],$C107,Inhalation_Exp[Worker Type],$D107))</f>
        <v>3.5563751317175978E-2</v>
      </c>
      <c r="K107" s="275">
        <f>IF($E107="High-End",SUMIFS(Dermal_Exp[High-End AD (mg/kg-day)],Dermal_Exp[Worker Type],$D107,Dermal_Exp[OES],$C107),SUMIFS(Dermal_Exp[Central Tendency AD (mg/kg-day)],Dermal_Exp[Worker Type],$D107,Dermal_Exp[OES],$C107))</f>
        <v>1.1909099999999999E-2</v>
      </c>
      <c r="L107" s="275">
        <f>IF($E107="High-End",SUMIFS(Dermal_Exp[High-End IADD (mg/kg-day)],Dermal_Exp[Worker Type],$D107,Dermal_Exp[OES],$C107),SUMIFS(Dermal_Exp[Central Tendency IADD (mg/kg-day)],Dermal_Exp[Worker Type],$D107,Dermal_Exp[OES],$C107))</f>
        <v>8.7333399999999992E-3</v>
      </c>
      <c r="M107" s="275">
        <f>IF($E107="High-End",SUMIFS(Dermal_Exp[High-End ADD (mg/kg-day)],Dermal_Exp[Worker Type],$D107,Dermal_Exp[OES],$C107),SUMIFS(Dermal_Exp[Central Tendency ADD (mg/kg-day)],Dermal_Exp[Worker Type],$D107,Dermal_Exp[OES],$C107))</f>
        <v>8.156917808219177E-3</v>
      </c>
      <c r="N107" s="275">
        <f>IF($E107="High-End",SUMIFS(Dermal_Exp[High-End LADD (mg/kg-day)],Dermal_Exp[Worker Type],$D107,Dermal_Exp[OES],$C107),SUMIFS(Dermal_Exp[Central Tendency LADD (mg/kg-day)],Dermal_Exp[Worker Type],$D107,Dermal_Exp[OES],$C107))</f>
        <v>4.1830347734457315E-3</v>
      </c>
      <c r="O107" s="275">
        <f t="shared" si="10"/>
        <v>0.11315910000000001</v>
      </c>
      <c r="P107" s="275">
        <f t="shared" si="11"/>
        <v>8.2983340000000017E-2</v>
      </c>
      <c r="Q107" s="275">
        <f t="shared" si="12"/>
        <v>7.7506232876712336E-2</v>
      </c>
      <c r="R107" s="295">
        <f t="shared" si="13"/>
        <v>3.9746786090621711E-2</v>
      </c>
      <c r="AF107" s="12"/>
      <c r="AG107" s="12"/>
      <c r="AH107" s="12"/>
      <c r="AI107" s="12"/>
      <c r="AJ107" s="12"/>
      <c r="AK107" s="12"/>
      <c r="AL107" s="12"/>
    </row>
    <row r="108" spans="3:38" ht="26" x14ac:dyDescent="0.35">
      <c r="C108" s="392" t="str" cm="1">
        <f t="array" ref="C108">INDEX('List Values'!$B$2:$B$20,(1+ROUNDDOWN((ROW()-ROW($C$5))*1/6,2)))</f>
        <v>Fabrication or Use of Final Products and Articles</v>
      </c>
      <c r="D108" s="307" t="s">
        <v>214</v>
      </c>
      <c r="E108" s="374" t="s">
        <v>93</v>
      </c>
      <c r="F108" s="387" t="s">
        <v>213</v>
      </c>
      <c r="G108" s="395">
        <f>IF(E108="High-End",SUMIFS(Inhalation_Exp[24hr_High-End],Inhalation_Exp[OES],$C108,Inhalation_Exp[Worker Type],$D108),SUMIFS(Inhalation_Exp[24hr_Central Tendency],Inhalation_Exp[OES],$C108,Inhalation_Exp[Worker Type],$D108))</f>
        <v>1.1250000000000001E-2</v>
      </c>
      <c r="H108" s="205">
        <f>IF(E108="High-End",SUMIFS(Inhalation_Exp[Int_High-End],Inhalation_Exp[OES],$C108,Inhalation_Exp[Worker Type],$D108),SUMIFS(Inhalation_Exp[Int_Central Tendency],Inhalation_Exp[OES],$C108,Inhalation_Exp[Worker Type],$D108))</f>
        <v>8.2500000000000004E-3</v>
      </c>
      <c r="I108" s="205">
        <f>IF(E108="High-End",SUMIFS(Inhalation_Exp[ADD_High-End],Inhalation_Exp[OES],$C108,Inhalation_Exp[Worker Type],$D108),SUMIFS(Inhalation_Exp[ADD_Central Tendency],Inhalation_Exp[OES],$C108,Inhalation_Exp[Worker Type],$D108))</f>
        <v>7.7054794520547958E-3</v>
      </c>
      <c r="J108" s="205">
        <f>IF(E108="High-End",SUMIFS(Inhalation_Exp[LADD_High-End],Inhalation_Exp[OES],$C108,Inhalation_Exp[Worker Type],$D108),SUMIFS(Inhalation_Exp[LADD_Central Tendency],Inhalation_Exp[OES],$C108,Inhalation_Exp[Worker Type],$D108))</f>
        <v>3.0624341412012648E-3</v>
      </c>
      <c r="K108" s="275">
        <f>IF($E108="High-End",SUMIFS(Dermal_Exp[High-End AD (mg/kg-day)],Dermal_Exp[Worker Type],$D108,Dermal_Exp[OES],$C108),SUMIFS(Dermal_Exp[Central Tendency AD (mg/kg-day)],Dermal_Exp[Worker Type],$D108,Dermal_Exp[OES],$C108))</f>
        <v>5.9545499999999994E-3</v>
      </c>
      <c r="L108" s="275">
        <f>IF($E108="High-End",SUMIFS(Dermal_Exp[High-End IADD (mg/kg-day)],Dermal_Exp[Worker Type],$D108,Dermal_Exp[OES],$C108),SUMIFS(Dermal_Exp[Central Tendency IADD (mg/kg-day)],Dermal_Exp[Worker Type],$D108,Dermal_Exp[OES],$C108))</f>
        <v>4.3666699999999996E-3</v>
      </c>
      <c r="M108" s="275">
        <f>IF($E108="High-End",SUMIFS(Dermal_Exp[High-End ADD (mg/kg-day)],Dermal_Exp[Worker Type],$D108,Dermal_Exp[OES],$C108),SUMIFS(Dermal_Exp[Central Tendency ADD (mg/kg-day)],Dermal_Exp[Worker Type],$D108,Dermal_Exp[OES],$C108))</f>
        <v>4.0784589041095885E-3</v>
      </c>
      <c r="N108" s="275">
        <f>IF($E108="High-End",SUMIFS(Dermal_Exp[High-End LADD (mg/kg-day)],Dermal_Exp[Worker Type],$D108,Dermal_Exp[OES],$C108),SUMIFS(Dermal_Exp[Central Tendency LADD (mg/kg-day)],Dermal_Exp[Worker Type],$D108,Dermal_Exp[OES],$C108))</f>
        <v>1.620925974710221E-3</v>
      </c>
      <c r="O108" s="275">
        <f t="shared" si="10"/>
        <v>1.7204549999999999E-2</v>
      </c>
      <c r="P108" s="275">
        <f t="shared" si="11"/>
        <v>1.261667E-2</v>
      </c>
      <c r="Q108" s="275">
        <f t="shared" si="12"/>
        <v>1.1783938356164383E-2</v>
      </c>
      <c r="R108" s="295">
        <f t="shared" si="13"/>
        <v>4.6833601159114863E-3</v>
      </c>
      <c r="AF108" s="12"/>
      <c r="AG108" s="12"/>
      <c r="AH108" s="12"/>
      <c r="AI108" s="12"/>
      <c r="AJ108" s="12"/>
      <c r="AK108" s="12"/>
      <c r="AL108" s="12"/>
    </row>
    <row r="109" spans="3:38" ht="26" x14ac:dyDescent="0.35">
      <c r="C109" s="392" t="str" cm="1">
        <f t="array" ref="C109">INDEX('List Values'!$B$2:$B$20,(1+ROUNDDOWN((ROW()-ROW($C$5))*1/6,2)))</f>
        <v>Fabrication or Use of Final Products and Articles</v>
      </c>
      <c r="D109" s="307" t="s">
        <v>74</v>
      </c>
      <c r="E109" s="374" t="s">
        <v>92</v>
      </c>
      <c r="F109" s="387" t="s">
        <v>213</v>
      </c>
      <c r="G109" s="395">
        <f>IF(E109="High-End",SUMIFS(Inhalation_Exp[24hr_High-End],Inhalation_Exp[OES],$C109,Inhalation_Exp[Worker Type],$D109),SUMIFS(Inhalation_Exp[24hr_Central Tendency],Inhalation_Exp[OES],$C109,Inhalation_Exp[Worker Type],$D109))</f>
        <v>0.11183983431135658</v>
      </c>
      <c r="H109" s="205">
        <f>IF(E109="High-End",SUMIFS(Inhalation_Exp[Int_High-End],Inhalation_Exp[OES],$C109,Inhalation_Exp[Worker Type],$D109),SUMIFS(Inhalation_Exp[Int_Central Tendency],Inhalation_Exp[OES],$C109,Inhalation_Exp[Worker Type],$D109))</f>
        <v>8.2015878494994823E-2</v>
      </c>
      <c r="I109" s="205">
        <f>IF(E109="High-End",SUMIFS(Inhalation_Exp[ADD_High-End],Inhalation_Exp[OES],$C109,Inhalation_Exp[Worker Type],$D109),SUMIFS(Inhalation_Exp[ADD_Central Tendency],Inhalation_Exp[OES],$C109,Inhalation_Exp[Worker Type],$D109))</f>
        <v>7.6602626240655183E-2</v>
      </c>
      <c r="J109" s="205">
        <f>IF(E109="High-End",SUMIFS(Inhalation_Exp[LADD_High-End],Inhalation_Exp[OES],$C109,Inhalation_Exp[Worker Type],$D109),SUMIFS(Inhalation_Exp[LADD_Central Tendency],Inhalation_Exp[OES],$C109,Inhalation_Exp[Worker Type],$D109))</f>
        <v>3.9283398072130868E-2</v>
      </c>
      <c r="K109" s="275">
        <f>IF($E109="High-End",SUMIFS(Dermal_Exp[High-End AD (mg/kg-day)],Dermal_Exp[Worker Type],$D109,Dermal_Exp[OES],$C109),SUMIFS(Dermal_Exp[Central Tendency AD (mg/kg-day)],Dermal_Exp[Worker Type],$D109,Dermal_Exp[OES],$C109))</f>
        <v>1.0945524861878452E-2</v>
      </c>
      <c r="L109" s="275">
        <f>IF($E109="High-End",SUMIFS(Dermal_Exp[High-End IADD (mg/kg-day)],Dermal_Exp[Worker Type],$D109,Dermal_Exp[OES],$C109),SUMIFS(Dermal_Exp[Central Tendency IADD (mg/kg-day)],Dermal_Exp[Worker Type],$D109,Dermal_Exp[OES],$C109))</f>
        <v>8.0267182320441985E-3</v>
      </c>
      <c r="M109" s="275">
        <f>IF($E109="High-End",SUMIFS(Dermal_Exp[High-End ADD (mg/kg-day)],Dermal_Exp[Worker Type],$D109,Dermal_Exp[OES],$C109),SUMIFS(Dermal_Exp[Central Tendency ADD (mg/kg-day)],Dermal_Exp[Worker Type],$D109,Dermal_Exp[OES],$C109))</f>
        <v>7.4969348369030497E-3</v>
      </c>
      <c r="N109" s="275">
        <f>IF($E109="High-End",SUMIFS(Dermal_Exp[High-End LADD (mg/kg-day)],Dermal_Exp[Worker Type],$D109,Dermal_Exp[OES],$C109),SUMIFS(Dermal_Exp[Central Tendency LADD (mg/kg-day)],Dermal_Exp[Worker Type],$D109,Dermal_Exp[OES],$C109))</f>
        <v>3.8445819676425894E-3</v>
      </c>
      <c r="O109" s="275">
        <f t="shared" si="10"/>
        <v>0.12278535917323503</v>
      </c>
      <c r="P109" s="275">
        <f t="shared" si="11"/>
        <v>9.0042596727039015E-2</v>
      </c>
      <c r="Q109" s="275">
        <f t="shared" si="12"/>
        <v>8.4099561077558227E-2</v>
      </c>
      <c r="R109" s="295">
        <f t="shared" si="13"/>
        <v>4.3127980039773459E-2</v>
      </c>
      <c r="AF109" s="12"/>
      <c r="AG109" s="12"/>
      <c r="AH109" s="12"/>
      <c r="AI109" s="12"/>
      <c r="AJ109" s="12"/>
      <c r="AK109" s="12"/>
      <c r="AL109" s="12"/>
    </row>
    <row r="110" spans="3:38" ht="26" x14ac:dyDescent="0.35">
      <c r="C110" s="392" t="str" cm="1">
        <f t="array" ref="C110">INDEX('List Values'!$B$2:$B$20,(1+ROUNDDOWN((ROW()-ROW($C$5))*1/6,2)))</f>
        <v>Fabrication or Use of Final Products and Articles</v>
      </c>
      <c r="D110" s="307" t="s">
        <v>74</v>
      </c>
      <c r="E110" s="374" t="s">
        <v>93</v>
      </c>
      <c r="F110" s="387" t="s">
        <v>213</v>
      </c>
      <c r="G110" s="395">
        <f>IF(E110="High-End",SUMIFS(Inhalation_Exp[24hr_High-End],Inhalation_Exp[OES],$C110,Inhalation_Exp[Worker Type],$D110),SUMIFS(Inhalation_Exp[24hr_Central Tendency],Inhalation_Exp[OES],$C110,Inhalation_Exp[Worker Type],$D110))</f>
        <v>1.2426648256817397E-2</v>
      </c>
      <c r="H110" s="205">
        <f>IF(E110="High-End",SUMIFS(Inhalation_Exp[Int_High-End],Inhalation_Exp[OES],$C110,Inhalation_Exp[Worker Type],$D110),SUMIFS(Inhalation_Exp[Int_Central Tendency],Inhalation_Exp[OES],$C110,Inhalation_Exp[Worker Type],$D110))</f>
        <v>9.1128753883327578E-3</v>
      </c>
      <c r="I110" s="205">
        <f>IF(E110="High-End",SUMIFS(Inhalation_Exp[ADD_High-End],Inhalation_Exp[OES],$C110,Inhalation_Exp[Worker Type],$D110),SUMIFS(Inhalation_Exp[ADD_Central Tendency],Inhalation_Exp[OES],$C110,Inhalation_Exp[Worker Type],$D110))</f>
        <v>8.5114029156283556E-3</v>
      </c>
      <c r="J110" s="205">
        <f>IF(E110="High-End",SUMIFS(Inhalation_Exp[LADD_High-End],Inhalation_Exp[OES],$C110,Inhalation_Exp[Worker Type],$D110),SUMIFS(Inhalation_Exp[LADD_Central Tendency],Inhalation_Exp[OES],$C110,Inhalation_Exp[Worker Type],$D110))</f>
        <v>3.3827370562112694E-3</v>
      </c>
      <c r="K110" s="275">
        <f>IF($E110="High-End",SUMIFS(Dermal_Exp[High-End AD (mg/kg-day)],Dermal_Exp[Worker Type],$D110,Dermal_Exp[OES],$C110),SUMIFS(Dermal_Exp[Central Tendency AD (mg/kg-day)],Dermal_Exp[Worker Type],$D110,Dermal_Exp[OES],$C110))</f>
        <v>5.4727624309392261E-3</v>
      </c>
      <c r="L110" s="275">
        <f>IF($E110="High-End",SUMIFS(Dermal_Exp[High-End IADD (mg/kg-day)],Dermal_Exp[Worker Type],$D110,Dermal_Exp[OES],$C110),SUMIFS(Dermal_Exp[Central Tendency IADD (mg/kg-day)],Dermal_Exp[Worker Type],$D110,Dermal_Exp[OES],$C110))</f>
        <v>4.0133591160220992E-3</v>
      </c>
      <c r="M110" s="275">
        <f>IF($E110="High-End",SUMIFS(Dermal_Exp[High-End ADD (mg/kg-day)],Dermal_Exp[Worker Type],$D110,Dermal_Exp[OES],$C110),SUMIFS(Dermal_Exp[Central Tendency ADD (mg/kg-day)],Dermal_Exp[Worker Type],$D110,Dermal_Exp[OES],$C110))</f>
        <v>3.7484674184515249E-3</v>
      </c>
      <c r="N110" s="275">
        <f>IF($E110="High-End",SUMIFS(Dermal_Exp[High-End LADD (mg/kg-day)],Dermal_Exp[Worker Type],$D110,Dermal_Exp[OES],$C110),SUMIFS(Dermal_Exp[Central Tendency LADD (mg/kg-day)],Dermal_Exp[Worker Type],$D110,Dermal_Exp[OES],$C110))</f>
        <v>1.4897755124615036E-3</v>
      </c>
      <c r="O110" s="275">
        <f t="shared" si="10"/>
        <v>1.7899410687756624E-2</v>
      </c>
      <c r="P110" s="275">
        <f t="shared" si="11"/>
        <v>1.3126234504354857E-2</v>
      </c>
      <c r="Q110" s="275">
        <f t="shared" si="12"/>
        <v>1.2259870334079881E-2</v>
      </c>
      <c r="R110" s="295">
        <f t="shared" si="13"/>
        <v>4.8725125686727728E-3</v>
      </c>
      <c r="AF110" s="12"/>
      <c r="AG110" s="12"/>
      <c r="AH110" s="12"/>
      <c r="AI110" s="12"/>
      <c r="AJ110" s="12"/>
      <c r="AK110" s="12"/>
      <c r="AL110" s="12"/>
    </row>
    <row r="111" spans="3:38" ht="26" x14ac:dyDescent="0.35">
      <c r="C111" s="392" t="str" cm="1">
        <f t="array" ref="C111">INDEX('List Values'!$B$2:$B$20,(1+ROUNDDOWN((ROW()-ROW($C$5))*1/6,2)))</f>
        <v>Fabrication or Use of Final Products and Articles</v>
      </c>
      <c r="D111" s="307" t="s">
        <v>94</v>
      </c>
      <c r="E111" s="374" t="s">
        <v>92</v>
      </c>
      <c r="F111" s="387" t="s">
        <v>213</v>
      </c>
      <c r="G111" s="395">
        <f>IF(E111="High-End",SUMIFS(Inhalation_Exp[24hr_High-End],Inhalation_Exp[OES],$C111,Inhalation_Exp[Worker Type],$D111),SUMIFS(Inhalation_Exp[24hr_Central Tendency],Inhalation_Exp[OES],$C111,Inhalation_Exp[Worker Type],$D111))</f>
        <v>1.1250000000000001E-2</v>
      </c>
      <c r="H111" s="205">
        <f>IF(E111="High-End",SUMIFS(Inhalation_Exp[Int_High-End],Inhalation_Exp[OES],$C111,Inhalation_Exp[Worker Type],$D111),SUMIFS(Inhalation_Exp[Int_Central Tendency],Inhalation_Exp[OES],$C111,Inhalation_Exp[Worker Type],$D111))</f>
        <v>8.2500000000000004E-3</v>
      </c>
      <c r="I111" s="205">
        <f>IF(E111="High-End",SUMIFS(Inhalation_Exp[ADD_High-End],Inhalation_Exp[OES],$C111,Inhalation_Exp[Worker Type],$D111),SUMIFS(Inhalation_Exp[ADD_Central Tendency],Inhalation_Exp[OES],$C111,Inhalation_Exp[Worker Type],$D111))</f>
        <v>7.7054794520547958E-3</v>
      </c>
      <c r="J111" s="205">
        <f>IF(E111="High-End",SUMIFS(Inhalation_Exp[LADD_High-End],Inhalation_Exp[OES],$C111,Inhalation_Exp[Worker Type],$D111),SUMIFS(Inhalation_Exp[LADD_Central Tendency],Inhalation_Exp[OES],$C111,Inhalation_Exp[Worker Type],$D111))</f>
        <v>3.9515279241306642E-3</v>
      </c>
      <c r="K111" s="275">
        <f>IF($E111="High-End",SUMIFS(Dermal_Exp[High-End AD (mg/kg-day)],Dermal_Exp[Worker Type],$D111,Dermal_Exp[OES],$C111),SUMIFS(Dermal_Exp[Central Tendency AD (mg/kg-day)],Dermal_Exp[Worker Type],$D111,Dermal_Exp[OES],$C111))</f>
        <v>2.9828399999999996E-3</v>
      </c>
      <c r="L111" s="275">
        <f>IF($E111="High-End",SUMIFS(Dermal_Exp[High-End IADD (mg/kg-day)],Dermal_Exp[Worker Type],$D111,Dermal_Exp[OES],$C111),SUMIFS(Dermal_Exp[Central Tendency IADD (mg/kg-day)],Dermal_Exp[Worker Type],$D111,Dermal_Exp[OES],$C111))</f>
        <v>2.1874159999999998E-3</v>
      </c>
      <c r="M111" s="275">
        <f>IF($E111="High-End",SUMIFS(Dermal_Exp[High-End ADD (mg/kg-day)],Dermal_Exp[Worker Type],$D111,Dermal_Exp[OES],$C111),SUMIFS(Dermal_Exp[Central Tendency ADD (mg/kg-day)],Dermal_Exp[Worker Type],$D111,Dermal_Exp[OES],$C111))</f>
        <v>2.0430410958904104E-3</v>
      </c>
      <c r="N111" s="275">
        <f>IF($E111="High-End",SUMIFS(Dermal_Exp[High-End LADD (mg/kg-day)],Dermal_Exp[Worker Type],$D111,Dermal_Exp[OES],$C111),SUMIFS(Dermal_Exp[Central Tendency LADD (mg/kg-day)],Dermal_Exp[Worker Type],$D111,Dermal_Exp[OES],$C111))</f>
        <v>1.047713382507903E-3</v>
      </c>
      <c r="O111" s="275">
        <f t="shared" si="10"/>
        <v>1.423284E-2</v>
      </c>
      <c r="P111" s="275">
        <f t="shared" si="11"/>
        <v>1.0437416E-2</v>
      </c>
      <c r="Q111" s="275">
        <f t="shared" si="12"/>
        <v>9.7485205479452067E-3</v>
      </c>
      <c r="R111" s="295">
        <f t="shared" si="13"/>
        <v>4.9992413066385667E-3</v>
      </c>
      <c r="AF111" s="12"/>
      <c r="AG111" s="12"/>
      <c r="AH111" s="12"/>
      <c r="AI111" s="12"/>
      <c r="AJ111" s="12"/>
      <c r="AK111" s="12"/>
      <c r="AL111" s="12"/>
    </row>
    <row r="112" spans="3:38" ht="26" x14ac:dyDescent="0.35">
      <c r="C112" s="392" t="str" cm="1">
        <f t="array" ref="C112">INDEX('List Values'!$B$2:$B$20,(1+ROUNDDOWN((ROW()-ROW($C$5))*1/6,2)))</f>
        <v>Fabrication or Use of Final Products and Articles</v>
      </c>
      <c r="D112" s="307" t="s">
        <v>94</v>
      </c>
      <c r="E112" s="374" t="s">
        <v>93</v>
      </c>
      <c r="F112" s="387" t="s">
        <v>213</v>
      </c>
      <c r="G112" s="395">
        <f>IF(E112="High-End",SUMIFS(Inhalation_Exp[24hr_High-End],Inhalation_Exp[OES],$C112,Inhalation_Exp[Worker Type],$D112),SUMIFS(Inhalation_Exp[24hr_Central Tendency],Inhalation_Exp[OES],$C112,Inhalation_Exp[Worker Type],$D112))</f>
        <v>1.1250000000000001E-2</v>
      </c>
      <c r="H112" s="205">
        <f>IF(E112="High-End",SUMIFS(Inhalation_Exp[Int_High-End],Inhalation_Exp[OES],$C112,Inhalation_Exp[Worker Type],$D112),SUMIFS(Inhalation_Exp[Int_Central Tendency],Inhalation_Exp[OES],$C112,Inhalation_Exp[Worker Type],$D112))</f>
        <v>8.2500000000000004E-3</v>
      </c>
      <c r="I112" s="205">
        <f>IF(E112="High-End",SUMIFS(Inhalation_Exp[ADD_High-End],Inhalation_Exp[OES],$C112,Inhalation_Exp[Worker Type],$D112),SUMIFS(Inhalation_Exp[ADD_Central Tendency],Inhalation_Exp[OES],$C112,Inhalation_Exp[Worker Type],$D112))</f>
        <v>7.7054794520547958E-3</v>
      </c>
      <c r="J112" s="205">
        <f>IF(E112="High-End",SUMIFS(Inhalation_Exp[LADD_High-End],Inhalation_Exp[OES],$C112,Inhalation_Exp[Worker Type],$D112),SUMIFS(Inhalation_Exp[LADD_Central Tendency],Inhalation_Exp[OES],$C112,Inhalation_Exp[Worker Type],$D112))</f>
        <v>3.0624341412012648E-3</v>
      </c>
      <c r="K112" s="275">
        <f>IF($E112="High-End",SUMIFS(Dermal_Exp[High-End AD (mg/kg-day)],Dermal_Exp[Worker Type],$D112,Dermal_Exp[OES],$C112),SUMIFS(Dermal_Exp[Central Tendency AD (mg/kg-day)],Dermal_Exp[Worker Type],$D112,Dermal_Exp[OES],$C112))</f>
        <v>2.9828399999999996E-3</v>
      </c>
      <c r="L112" s="275">
        <f>IF($E112="High-End",SUMIFS(Dermal_Exp[High-End IADD (mg/kg-day)],Dermal_Exp[Worker Type],$D112,Dermal_Exp[OES],$C112),SUMIFS(Dermal_Exp[Central Tendency IADD (mg/kg-day)],Dermal_Exp[Worker Type],$D112,Dermal_Exp[OES],$C112))</f>
        <v>2.1874159999999998E-3</v>
      </c>
      <c r="M112" s="275">
        <f>IF($E112="High-End",SUMIFS(Dermal_Exp[High-End ADD (mg/kg-day)],Dermal_Exp[Worker Type],$D112,Dermal_Exp[OES],$C112),SUMIFS(Dermal_Exp[Central Tendency ADD (mg/kg-day)],Dermal_Exp[Worker Type],$D112,Dermal_Exp[OES],$C112))</f>
        <v>2.0430410958904108E-3</v>
      </c>
      <c r="N112" s="275">
        <f>IF($E112="High-End",SUMIFS(Dermal_Exp[High-End LADD (mg/kg-day)],Dermal_Exp[Worker Type],$D112,Dermal_Exp[OES],$C112),SUMIFS(Dermal_Exp[Central Tendency LADD (mg/kg-day)],Dermal_Exp[Worker Type],$D112,Dermal_Exp[OES],$C112))</f>
        <v>8.119778714436248E-4</v>
      </c>
      <c r="O112" s="275">
        <f t="shared" si="10"/>
        <v>1.423284E-2</v>
      </c>
      <c r="P112" s="275">
        <f t="shared" si="11"/>
        <v>1.0437416E-2</v>
      </c>
      <c r="Q112" s="275">
        <f t="shared" si="12"/>
        <v>9.7485205479452067E-3</v>
      </c>
      <c r="R112" s="295">
        <f t="shared" si="13"/>
        <v>3.8744120126448897E-3</v>
      </c>
      <c r="AF112" s="12"/>
      <c r="AG112" s="12"/>
      <c r="AH112" s="12"/>
      <c r="AI112" s="12"/>
      <c r="AJ112" s="12"/>
      <c r="AK112" s="12"/>
      <c r="AL112" s="12"/>
    </row>
    <row r="113" spans="3:38" x14ac:dyDescent="0.35">
      <c r="C113" s="392" t="str" cm="1">
        <f t="array" ref="C113">INDEX('List Values'!$B$2:$B$20,(1+ROUNDDOWN((ROW()-ROW($C$5))*1/6,2)))</f>
        <v>Waste handling, treatment, and disposal</v>
      </c>
      <c r="D113" s="307" t="s">
        <v>214</v>
      </c>
      <c r="E113" s="374" t="s">
        <v>92</v>
      </c>
      <c r="F113" s="393" t="s">
        <v>218</v>
      </c>
      <c r="G113" s="395">
        <f>IF(E113="High-End",SUMIFS(Inhalation_Exp[24hr_High-End],Inhalation_Exp[OES],$C113,Inhalation_Exp[Worker Type],$D113),SUMIFS(Inhalation_Exp[24hr_Central Tendency],Inhalation_Exp[OES],$C113,Inhalation_Exp[Worker Type],$D113))</f>
        <v>0.19687499999999999</v>
      </c>
      <c r="H113" s="205">
        <f>IF(E113="High-End",SUMIFS(Inhalation_Exp[Int_High-End],Inhalation_Exp[OES],$C113,Inhalation_Exp[Worker Type],$D113),SUMIFS(Inhalation_Exp[Int_Central Tendency],Inhalation_Exp[OES],$C113,Inhalation_Exp[Worker Type],$D113))</f>
        <v>0.144375</v>
      </c>
      <c r="I113" s="205">
        <f>IF(E113="High-End",SUMIFS(Inhalation_Exp[ADD_High-End],Inhalation_Exp[OES],$C113,Inhalation_Exp[Worker Type],$D113),SUMIFS(Inhalation_Exp[ADD_Central Tendency],Inhalation_Exp[OES],$C113,Inhalation_Exp[Worker Type],$D113))</f>
        <v>0.1348458904109589</v>
      </c>
      <c r="J113" s="205">
        <f>IF(E113="High-End",SUMIFS(Inhalation_Exp[LADD_High-End],Inhalation_Exp[OES],$C113,Inhalation_Exp[Worker Type],$D113),SUMIFS(Inhalation_Exp[LADD_Central Tendency],Inhalation_Exp[OES],$C113,Inhalation_Exp[Worker Type],$D113))</f>
        <v>6.915173867228662E-2</v>
      </c>
      <c r="K113" s="275">
        <f>IF($E113="High-End",SUMIFS(Dermal_Exp[High-End AD (mg/kg-day)],Dermal_Exp[Worker Type],$D113,Dermal_Exp[OES],$C113),SUMIFS(Dermal_Exp[Central Tendency AD (mg/kg-day)],Dermal_Exp[Worker Type],$D113,Dermal_Exp[OES],$C113))</f>
        <v>1.1909099999999999E-2</v>
      </c>
      <c r="L113" s="275">
        <f>IF($E113="High-End",SUMIFS(Dermal_Exp[High-End IADD (mg/kg-day)],Dermal_Exp[Worker Type],$D113,Dermal_Exp[OES],$C113),SUMIFS(Dermal_Exp[Central Tendency IADD (mg/kg-day)],Dermal_Exp[Worker Type],$D113,Dermal_Exp[OES],$C113))</f>
        <v>8.7333399999999992E-3</v>
      </c>
      <c r="M113" s="275">
        <f>IF($E113="High-End",SUMIFS(Dermal_Exp[High-End ADD (mg/kg-day)],Dermal_Exp[Worker Type],$D113,Dermal_Exp[OES],$C113),SUMIFS(Dermal_Exp[Central Tendency ADD (mg/kg-day)],Dermal_Exp[Worker Type],$D113,Dermal_Exp[OES],$C113))</f>
        <v>8.156917808219177E-3</v>
      </c>
      <c r="N113" s="275">
        <f>IF($E113="High-End",SUMIFS(Dermal_Exp[High-End LADD (mg/kg-day)],Dermal_Exp[Worker Type],$D113,Dermal_Exp[OES],$C113),SUMIFS(Dermal_Exp[Central Tendency LADD (mg/kg-day)],Dermal_Exp[Worker Type],$D113,Dermal_Exp[OES],$C113))</f>
        <v>4.1830347734457315E-3</v>
      </c>
      <c r="O113" s="275">
        <f t="shared" si="10"/>
        <v>0.2087841</v>
      </c>
      <c r="P113" s="275">
        <f t="shared" si="11"/>
        <v>0.15310834000000001</v>
      </c>
      <c r="Q113" s="275">
        <f t="shared" si="12"/>
        <v>0.14300280821917807</v>
      </c>
      <c r="R113" s="295">
        <f t="shared" si="13"/>
        <v>7.3334773445732346E-2</v>
      </c>
      <c r="AF113" s="12"/>
      <c r="AG113" s="12"/>
      <c r="AH113" s="12"/>
      <c r="AI113" s="12"/>
      <c r="AJ113" s="12"/>
      <c r="AK113" s="12"/>
      <c r="AL113" s="12"/>
    </row>
    <row r="114" spans="3:38" x14ac:dyDescent="0.35">
      <c r="C114" s="392" t="str" cm="1">
        <f t="array" ref="C114">INDEX('List Values'!$B$2:$B$20,(1+ROUNDDOWN((ROW()-ROW($C$5))*1/6,2)))</f>
        <v>Waste handling, treatment, and disposal</v>
      </c>
      <c r="D114" s="307" t="s">
        <v>214</v>
      </c>
      <c r="E114" s="374" t="s">
        <v>93</v>
      </c>
      <c r="F114" s="393" t="s">
        <v>218</v>
      </c>
      <c r="G114" s="395">
        <f>IF(E114="High-End",SUMIFS(Inhalation_Exp[24hr_High-End],Inhalation_Exp[OES],$C114,Inhalation_Exp[Worker Type],$D114),SUMIFS(Inhalation_Exp[24hr_Central Tendency],Inhalation_Exp[OES],$C114,Inhalation_Exp[Worker Type],$D114))</f>
        <v>1.3500000000000002E-2</v>
      </c>
      <c r="H114" s="205">
        <f>IF(E114="High-End",SUMIFS(Inhalation_Exp[Int_High-End],Inhalation_Exp[OES],$C114,Inhalation_Exp[Worker Type],$D114),SUMIFS(Inhalation_Exp[Int_Central Tendency],Inhalation_Exp[OES],$C114,Inhalation_Exp[Worker Type],$D114))</f>
        <v>9.9000000000000008E-3</v>
      </c>
      <c r="I114" s="205">
        <f>IF(E114="High-End",SUMIFS(Inhalation_Exp[ADD_High-End],Inhalation_Exp[OES],$C114,Inhalation_Exp[Worker Type],$D114),SUMIFS(Inhalation_Exp[ADD_Central Tendency],Inhalation_Exp[OES],$C114,Inhalation_Exp[Worker Type],$D114))</f>
        <v>9.2465753424657553E-3</v>
      </c>
      <c r="J114" s="205">
        <f>IF(E114="High-End",SUMIFS(Inhalation_Exp[LADD_High-End],Inhalation_Exp[OES],$C114,Inhalation_Exp[Worker Type],$D114),SUMIFS(Inhalation_Exp[LADD_Central Tendency],Inhalation_Exp[OES],$C114,Inhalation_Exp[Worker Type],$D114))</f>
        <v>3.6749209694415179E-3</v>
      </c>
      <c r="K114" s="275">
        <f>IF($E114="High-End",SUMIFS(Dermal_Exp[High-End AD (mg/kg-day)],Dermal_Exp[Worker Type],$D114,Dermal_Exp[OES],$C114),SUMIFS(Dermal_Exp[Central Tendency AD (mg/kg-day)],Dermal_Exp[Worker Type],$D114,Dermal_Exp[OES],$C114))</f>
        <v>5.9545499999999994E-3</v>
      </c>
      <c r="L114" s="275">
        <f>IF($E114="High-End",SUMIFS(Dermal_Exp[High-End IADD (mg/kg-day)],Dermal_Exp[Worker Type],$D114,Dermal_Exp[OES],$C114),SUMIFS(Dermal_Exp[Central Tendency IADD (mg/kg-day)],Dermal_Exp[Worker Type],$D114,Dermal_Exp[OES],$C114))</f>
        <v>4.3666699999999996E-3</v>
      </c>
      <c r="M114" s="275">
        <f>IF($E114="High-End",SUMIFS(Dermal_Exp[High-End ADD (mg/kg-day)],Dermal_Exp[Worker Type],$D114,Dermal_Exp[OES],$C114),SUMIFS(Dermal_Exp[Central Tendency ADD (mg/kg-day)],Dermal_Exp[Worker Type],$D114,Dermal_Exp[OES],$C114))</f>
        <v>4.0784589041095885E-3</v>
      </c>
      <c r="N114" s="275">
        <f>IF($E114="High-End",SUMIFS(Dermal_Exp[High-End LADD (mg/kg-day)],Dermal_Exp[Worker Type],$D114,Dermal_Exp[OES],$C114),SUMIFS(Dermal_Exp[Central Tendency LADD (mg/kg-day)],Dermal_Exp[Worker Type],$D114,Dermal_Exp[OES],$C114))</f>
        <v>1.620925974710221E-3</v>
      </c>
      <c r="O114" s="275">
        <f t="shared" si="10"/>
        <v>1.9454550000000001E-2</v>
      </c>
      <c r="P114" s="275">
        <f t="shared" si="11"/>
        <v>1.426667E-2</v>
      </c>
      <c r="Q114" s="275">
        <f t="shared" si="12"/>
        <v>1.3325034246575343E-2</v>
      </c>
      <c r="R114" s="295">
        <f t="shared" si="13"/>
        <v>5.2958469441517393E-3</v>
      </c>
      <c r="AF114" s="12"/>
      <c r="AG114" s="12"/>
      <c r="AH114" s="12"/>
      <c r="AI114" s="12"/>
      <c r="AJ114" s="12"/>
      <c r="AK114" s="12"/>
      <c r="AL114" s="12"/>
    </row>
    <row r="115" spans="3:38" x14ac:dyDescent="0.35">
      <c r="C115" s="392" t="str" cm="1">
        <f t="array" ref="C115">INDEX('List Values'!$B$2:$B$20,(1+ROUNDDOWN((ROW()-ROW($C$5))*1/6,2)))</f>
        <v>Waste handling, treatment, and disposal</v>
      </c>
      <c r="D115" s="307" t="s">
        <v>74</v>
      </c>
      <c r="E115" s="374" t="s">
        <v>92</v>
      </c>
      <c r="F115" s="393" t="s">
        <v>218</v>
      </c>
      <c r="G115" s="395">
        <f>IF(E115="High-End",SUMIFS(Inhalation_Exp[24hr_High-End],Inhalation_Exp[OES],$C115,Inhalation_Exp[Worker Type],$D115),SUMIFS(Inhalation_Exp[24hr_Central Tendency],Inhalation_Exp[OES],$C115,Inhalation_Exp[Worker Type],$D115))</f>
        <v>0.21746634449430441</v>
      </c>
      <c r="H115" s="205">
        <f>IF(E115="High-End",SUMIFS(Inhalation_Exp[Int_High-End],Inhalation_Exp[OES],$C115,Inhalation_Exp[Worker Type],$D115),SUMIFS(Inhalation_Exp[Int_Central Tendency],Inhalation_Exp[OES],$C115,Inhalation_Exp[Worker Type],$D115))</f>
        <v>0.15947531929582323</v>
      </c>
      <c r="I115" s="205">
        <f>IF(E115="High-End",SUMIFS(Inhalation_Exp[ADD_High-End],Inhalation_Exp[OES],$C115,Inhalation_Exp[Worker Type],$D115),SUMIFS(Inhalation_Exp[ADD_Central Tendency],Inhalation_Exp[OES],$C115,Inhalation_Exp[Worker Type],$D115))</f>
        <v>0.14894955102349619</v>
      </c>
      <c r="J115" s="205">
        <f>IF(E115="High-End",SUMIFS(Inhalation_Exp[LADD_High-End],Inhalation_Exp[OES],$C115,Inhalation_Exp[Worker Type],$D115),SUMIFS(Inhalation_Exp[LADD_Central Tendency],Inhalation_Exp[OES],$C115,Inhalation_Exp[Worker Type],$D115))</f>
        <v>7.638438514025446E-2</v>
      </c>
      <c r="K115" s="275">
        <f>IF($E115="High-End",SUMIFS(Dermal_Exp[High-End AD (mg/kg-day)],Dermal_Exp[Worker Type],$D115,Dermal_Exp[OES],$C115),SUMIFS(Dermal_Exp[Central Tendency AD (mg/kg-day)],Dermal_Exp[Worker Type],$D115,Dermal_Exp[OES],$C115))</f>
        <v>1.0945524861878452E-2</v>
      </c>
      <c r="L115" s="275">
        <f>IF($E115="High-End",SUMIFS(Dermal_Exp[High-End IADD (mg/kg-day)],Dermal_Exp[Worker Type],$D115,Dermal_Exp[OES],$C115),SUMIFS(Dermal_Exp[Central Tendency IADD (mg/kg-day)],Dermal_Exp[Worker Type],$D115,Dermal_Exp[OES],$C115))</f>
        <v>8.0267182320441985E-3</v>
      </c>
      <c r="M115" s="275">
        <f>IF($E115="High-End",SUMIFS(Dermal_Exp[High-End ADD (mg/kg-day)],Dermal_Exp[Worker Type],$D115,Dermal_Exp[OES],$C115),SUMIFS(Dermal_Exp[Central Tendency ADD (mg/kg-day)],Dermal_Exp[Worker Type],$D115,Dermal_Exp[OES],$C115))</f>
        <v>7.4969348369030497E-3</v>
      </c>
      <c r="N115" s="275">
        <f>IF($E115="High-End",SUMIFS(Dermal_Exp[High-End LADD (mg/kg-day)],Dermal_Exp[Worker Type],$D115,Dermal_Exp[OES],$C115),SUMIFS(Dermal_Exp[Central Tendency LADD (mg/kg-day)],Dermal_Exp[Worker Type],$D115,Dermal_Exp[OES],$C115))</f>
        <v>3.8445819676425894E-3</v>
      </c>
      <c r="O115" s="275">
        <f t="shared" si="10"/>
        <v>0.22841186935618285</v>
      </c>
      <c r="P115" s="275">
        <f t="shared" si="11"/>
        <v>0.16750203752786744</v>
      </c>
      <c r="Q115" s="275">
        <f t="shared" si="12"/>
        <v>0.15644648586039925</v>
      </c>
      <c r="R115" s="295">
        <f t="shared" si="13"/>
        <v>8.0228967107897051E-2</v>
      </c>
      <c r="AF115" s="12"/>
      <c r="AG115" s="12"/>
      <c r="AH115" s="12"/>
      <c r="AI115" s="12"/>
      <c r="AJ115" s="12"/>
      <c r="AK115" s="12"/>
      <c r="AL115" s="12"/>
    </row>
    <row r="116" spans="3:38" x14ac:dyDescent="0.35">
      <c r="C116" s="392" t="str" cm="1">
        <f t="array" ref="C116">INDEX('List Values'!$B$2:$B$20,(1+ROUNDDOWN((ROW()-ROW($C$5))*1/6,2)))</f>
        <v>Waste handling, treatment, and disposal</v>
      </c>
      <c r="D116" s="307" t="s">
        <v>74</v>
      </c>
      <c r="E116" s="374" t="s">
        <v>93</v>
      </c>
      <c r="F116" s="393" t="s">
        <v>218</v>
      </c>
      <c r="G116" s="395">
        <f>IF(E116="High-End",SUMIFS(Inhalation_Exp[24hr_High-End],Inhalation_Exp[OES],$C116,Inhalation_Exp[Worker Type],$D116),SUMIFS(Inhalation_Exp[24hr_Central Tendency],Inhalation_Exp[OES],$C116,Inhalation_Exp[Worker Type],$D116))</f>
        <v>1.4911977908180876E-2</v>
      </c>
      <c r="H116" s="205">
        <f>IF(E116="High-End",SUMIFS(Inhalation_Exp[Int_High-End],Inhalation_Exp[OES],$C116,Inhalation_Exp[Worker Type],$D116),SUMIFS(Inhalation_Exp[Int_Central Tendency],Inhalation_Exp[OES],$C116,Inhalation_Exp[Worker Type],$D116))</f>
        <v>1.093545046599931E-2</v>
      </c>
      <c r="I116" s="205">
        <f>IF(E116="High-End",SUMIFS(Inhalation_Exp[ADD_High-End],Inhalation_Exp[OES],$C116,Inhalation_Exp[Worker Type],$D116),SUMIFS(Inhalation_Exp[ADD_Central Tendency],Inhalation_Exp[OES],$C116,Inhalation_Exp[Worker Type],$D116))</f>
        <v>1.0213683498754025E-2</v>
      </c>
      <c r="J116" s="205">
        <f>IF(E116="High-End",SUMIFS(Inhalation_Exp[LADD_High-End],Inhalation_Exp[OES],$C116,Inhalation_Exp[Worker Type],$D116),SUMIFS(Inhalation_Exp[LADD_Central Tendency],Inhalation_Exp[OES],$C116,Inhalation_Exp[Worker Type],$D116))</f>
        <v>4.0592844674535227E-3</v>
      </c>
      <c r="K116" s="275">
        <f>IF($E116="High-End",SUMIFS(Dermal_Exp[High-End AD (mg/kg-day)],Dermal_Exp[Worker Type],$D116,Dermal_Exp[OES],$C116),SUMIFS(Dermal_Exp[Central Tendency AD (mg/kg-day)],Dermal_Exp[Worker Type],$D116,Dermal_Exp[OES],$C116))</f>
        <v>5.4727624309392261E-3</v>
      </c>
      <c r="L116" s="275">
        <f>IF($E116="High-End",SUMIFS(Dermal_Exp[High-End IADD (mg/kg-day)],Dermal_Exp[Worker Type],$D116,Dermal_Exp[OES],$C116),SUMIFS(Dermal_Exp[Central Tendency IADD (mg/kg-day)],Dermal_Exp[Worker Type],$D116,Dermal_Exp[OES],$C116))</f>
        <v>4.0133591160220992E-3</v>
      </c>
      <c r="M116" s="275">
        <f>IF($E116="High-End",SUMIFS(Dermal_Exp[High-End ADD (mg/kg-day)],Dermal_Exp[Worker Type],$D116,Dermal_Exp[OES],$C116),SUMIFS(Dermal_Exp[Central Tendency ADD (mg/kg-day)],Dermal_Exp[Worker Type],$D116,Dermal_Exp[OES],$C116))</f>
        <v>3.7484674184515249E-3</v>
      </c>
      <c r="N116" s="275">
        <f>IF($E116="High-End",SUMIFS(Dermal_Exp[High-End LADD (mg/kg-day)],Dermal_Exp[Worker Type],$D116,Dermal_Exp[OES],$C116),SUMIFS(Dermal_Exp[Central Tendency LADD (mg/kg-day)],Dermal_Exp[Worker Type],$D116,Dermal_Exp[OES],$C116))</f>
        <v>1.4897755124615036E-3</v>
      </c>
      <c r="O116" s="275">
        <f t="shared" si="10"/>
        <v>2.0384740339120102E-2</v>
      </c>
      <c r="P116" s="275">
        <f t="shared" si="11"/>
        <v>1.4948809582021409E-2</v>
      </c>
      <c r="Q116" s="275">
        <f t="shared" si="12"/>
        <v>1.3962150917205551E-2</v>
      </c>
      <c r="R116" s="295">
        <f t="shared" si="13"/>
        <v>5.5490599799150261E-3</v>
      </c>
      <c r="AF116" s="12"/>
      <c r="AG116" s="12"/>
      <c r="AH116" s="12"/>
      <c r="AI116" s="12"/>
      <c r="AJ116" s="12"/>
      <c r="AK116" s="12"/>
      <c r="AL116" s="12"/>
    </row>
    <row r="117" spans="3:38" x14ac:dyDescent="0.35">
      <c r="C117" s="392" t="str" cm="1">
        <f t="array" ref="C117">INDEX('List Values'!$B$2:$B$20,(1+ROUNDDOWN((ROW()-ROW($C$5))*1/6,2)))</f>
        <v>Waste handling, treatment, and disposal</v>
      </c>
      <c r="D117" s="307" t="s">
        <v>94</v>
      </c>
      <c r="E117" s="374" t="s">
        <v>92</v>
      </c>
      <c r="F117" s="393" t="s">
        <v>218</v>
      </c>
      <c r="G117" s="395">
        <f>IF(E117="High-End",SUMIFS(Inhalation_Exp[24hr_High-End],Inhalation_Exp[OES],$C117,Inhalation_Exp[Worker Type],$D117),SUMIFS(Inhalation_Exp[24hr_Central Tendency],Inhalation_Exp[OES],$C117,Inhalation_Exp[Worker Type],$D117))</f>
        <v>1.3500000000000002E-2</v>
      </c>
      <c r="H117" s="205">
        <f>IF(E117="High-End",SUMIFS(Inhalation_Exp[Int_High-End],Inhalation_Exp[OES],$C117,Inhalation_Exp[Worker Type],$D117),SUMIFS(Inhalation_Exp[Int_Central Tendency],Inhalation_Exp[OES],$C117,Inhalation_Exp[Worker Type],$D117))</f>
        <v>9.9000000000000008E-3</v>
      </c>
      <c r="I117" s="205">
        <f>IF(E117="High-End",SUMIFS(Inhalation_Exp[ADD_High-End],Inhalation_Exp[OES],$C117,Inhalation_Exp[Worker Type],$D117),SUMIFS(Inhalation_Exp[ADD_Central Tendency],Inhalation_Exp[OES],$C117,Inhalation_Exp[Worker Type],$D117))</f>
        <v>9.2465753424657553E-3</v>
      </c>
      <c r="J117" s="205">
        <f>IF(E117="High-End",SUMIFS(Inhalation_Exp[LADD_High-End],Inhalation_Exp[OES],$C117,Inhalation_Exp[Worker Type],$D117),SUMIFS(Inhalation_Exp[LADD_Central Tendency],Inhalation_Exp[OES],$C117,Inhalation_Exp[Worker Type],$D117))</f>
        <v>4.7418335089567977E-3</v>
      </c>
      <c r="K117" s="275">
        <f>IF($E117="High-End",SUMIFS(Dermal_Exp[High-End AD (mg/kg-day)],Dermal_Exp[Worker Type],$D117,Dermal_Exp[OES],$C117),SUMIFS(Dermal_Exp[Central Tendency AD (mg/kg-day)],Dermal_Exp[Worker Type],$D117,Dermal_Exp[OES],$C117))</f>
        <v>2.9828399999999996E-3</v>
      </c>
      <c r="L117" s="275">
        <f>IF($E117="High-End",SUMIFS(Dermal_Exp[High-End IADD (mg/kg-day)],Dermal_Exp[Worker Type],$D117,Dermal_Exp[OES],$C117),SUMIFS(Dermal_Exp[Central Tendency IADD (mg/kg-day)],Dermal_Exp[Worker Type],$D117,Dermal_Exp[OES],$C117))</f>
        <v>2.1874159999999998E-3</v>
      </c>
      <c r="M117" s="275">
        <f>IF($E117="High-End",SUMIFS(Dermal_Exp[High-End ADD (mg/kg-day)],Dermal_Exp[Worker Type],$D117,Dermal_Exp[OES],$C117),SUMIFS(Dermal_Exp[Central Tendency ADD (mg/kg-day)],Dermal_Exp[Worker Type],$D117,Dermal_Exp[OES],$C117))</f>
        <v>2.0430410958904104E-3</v>
      </c>
      <c r="N117" s="275">
        <f>IF($E117="High-End",SUMIFS(Dermal_Exp[High-End LADD (mg/kg-day)],Dermal_Exp[Worker Type],$D117,Dermal_Exp[OES],$C117),SUMIFS(Dermal_Exp[Central Tendency LADD (mg/kg-day)],Dermal_Exp[Worker Type],$D117,Dermal_Exp[OES],$C117))</f>
        <v>1.047713382507903E-3</v>
      </c>
      <c r="O117" s="275">
        <f t="shared" si="10"/>
        <v>1.6482840000000002E-2</v>
      </c>
      <c r="P117" s="275">
        <f t="shared" si="11"/>
        <v>1.2087416E-2</v>
      </c>
      <c r="Q117" s="275">
        <f t="shared" si="12"/>
        <v>1.1289616438356166E-2</v>
      </c>
      <c r="R117" s="295">
        <f t="shared" si="13"/>
        <v>5.7895468914647003E-3</v>
      </c>
      <c r="AF117" s="12"/>
      <c r="AG117" s="12"/>
      <c r="AH117" s="12"/>
      <c r="AI117" s="12"/>
      <c r="AJ117" s="12"/>
      <c r="AK117" s="12"/>
      <c r="AL117" s="12"/>
    </row>
    <row r="118" spans="3:38" x14ac:dyDescent="0.35">
      <c r="C118" s="392" t="str" cm="1">
        <f t="array" ref="C118">INDEX('List Values'!$B$2:$B$20,(1+ROUNDDOWN((ROW()-ROW($C$5))*1/6,2)))</f>
        <v>Waste handling, treatment, and disposal</v>
      </c>
      <c r="D118" s="307" t="s">
        <v>94</v>
      </c>
      <c r="E118" s="374" t="s">
        <v>93</v>
      </c>
      <c r="F118" s="393" t="s">
        <v>218</v>
      </c>
      <c r="G118" s="395">
        <f>IF(E118="High-End",SUMIFS(Inhalation_Exp[24hr_High-End],Inhalation_Exp[OES],$C118,Inhalation_Exp[Worker Type],$D118),SUMIFS(Inhalation_Exp[24hr_Central Tendency],Inhalation_Exp[OES],$C118,Inhalation_Exp[Worker Type],$D118))</f>
        <v>1.3500000000000002E-2</v>
      </c>
      <c r="H118" s="205">
        <f>IF(E118="High-End",SUMIFS(Inhalation_Exp[Int_High-End],Inhalation_Exp[OES],$C118,Inhalation_Exp[Worker Type],$D118),SUMIFS(Inhalation_Exp[Int_Central Tendency],Inhalation_Exp[OES],$C118,Inhalation_Exp[Worker Type],$D118))</f>
        <v>9.9000000000000008E-3</v>
      </c>
      <c r="I118" s="205">
        <f>IF(E118="High-End",SUMIFS(Inhalation_Exp[ADD_High-End],Inhalation_Exp[OES],$C118,Inhalation_Exp[Worker Type],$D118),SUMIFS(Inhalation_Exp[ADD_Central Tendency],Inhalation_Exp[OES],$C118,Inhalation_Exp[Worker Type],$D118))</f>
        <v>9.2465753424657553E-3</v>
      </c>
      <c r="J118" s="205">
        <f>IF(E118="High-End",SUMIFS(Inhalation_Exp[LADD_High-End],Inhalation_Exp[OES],$C118,Inhalation_Exp[Worker Type],$D118),SUMIFS(Inhalation_Exp[LADD_Central Tendency],Inhalation_Exp[OES],$C118,Inhalation_Exp[Worker Type],$D118))</f>
        <v>3.6749209694415179E-3</v>
      </c>
      <c r="K118" s="275">
        <f>IF($E118="High-End",SUMIFS(Dermal_Exp[High-End AD (mg/kg-day)],Dermal_Exp[Worker Type],$D118,Dermal_Exp[OES],$C118),SUMIFS(Dermal_Exp[Central Tendency AD (mg/kg-day)],Dermal_Exp[Worker Type],$D118,Dermal_Exp[OES],$C118))</f>
        <v>2.9828399999999996E-3</v>
      </c>
      <c r="L118" s="275">
        <f>IF($E118="High-End",SUMIFS(Dermal_Exp[High-End IADD (mg/kg-day)],Dermal_Exp[Worker Type],$D118,Dermal_Exp[OES],$C118),SUMIFS(Dermal_Exp[Central Tendency IADD (mg/kg-day)],Dermal_Exp[Worker Type],$D118,Dermal_Exp[OES],$C118))</f>
        <v>2.1874159999999998E-3</v>
      </c>
      <c r="M118" s="275">
        <f>IF($E118="High-End",SUMIFS(Dermal_Exp[High-End ADD (mg/kg-day)],Dermal_Exp[Worker Type],$D118,Dermal_Exp[OES],$C118),SUMIFS(Dermal_Exp[Central Tendency ADD (mg/kg-day)],Dermal_Exp[Worker Type],$D118,Dermal_Exp[OES],$C118))</f>
        <v>2.0430410958904108E-3</v>
      </c>
      <c r="N118" s="275">
        <f>IF($E118="High-End",SUMIFS(Dermal_Exp[High-End LADD (mg/kg-day)],Dermal_Exp[Worker Type],$D118,Dermal_Exp[OES],$C118),SUMIFS(Dermal_Exp[Central Tendency LADD (mg/kg-day)],Dermal_Exp[Worker Type],$D118,Dermal_Exp[OES],$C118))</f>
        <v>8.119778714436248E-4</v>
      </c>
      <c r="O118" s="275">
        <f t="shared" si="10"/>
        <v>1.6482840000000002E-2</v>
      </c>
      <c r="P118" s="275">
        <f t="shared" si="11"/>
        <v>1.2087416E-2</v>
      </c>
      <c r="Q118" s="275">
        <f t="shared" si="12"/>
        <v>1.1289616438356166E-2</v>
      </c>
      <c r="R118" s="295">
        <f t="shared" si="13"/>
        <v>4.4868988408851423E-3</v>
      </c>
      <c r="AF118" s="12"/>
      <c r="AG118" s="12"/>
      <c r="AH118" s="12"/>
      <c r="AI118" s="12"/>
      <c r="AJ118" s="12"/>
      <c r="AK118" s="12"/>
      <c r="AL118" s="12"/>
    </row>
    <row r="119" spans="3:38" x14ac:dyDescent="0.35">
      <c r="C119" s="386"/>
      <c r="AF119" s="12"/>
      <c r="AG119" s="12"/>
      <c r="AH119" s="12"/>
      <c r="AI119" s="12"/>
      <c r="AJ119" s="12"/>
      <c r="AK119" s="12"/>
      <c r="AL119" s="12"/>
    </row>
    <row r="120" spans="3:38" x14ac:dyDescent="0.35">
      <c r="C120" s="386"/>
      <c r="AF120" s="12"/>
      <c r="AG120" s="12"/>
      <c r="AH120" s="12"/>
      <c r="AI120" s="12"/>
      <c r="AJ120" s="12"/>
      <c r="AK120" s="12"/>
      <c r="AL120" s="12"/>
    </row>
    <row r="121" spans="3:38" ht="21.75" customHeight="1" thickBot="1" x14ac:dyDescent="0.4">
      <c r="F121" s="640" t="s">
        <v>275</v>
      </c>
      <c r="G121" s="641"/>
      <c r="H121" s="641"/>
      <c r="I121" s="642"/>
      <c r="J121" s="640" t="s">
        <v>276</v>
      </c>
      <c r="K121" s="641"/>
      <c r="L121" s="641"/>
      <c r="M121" s="642"/>
      <c r="N121" s="640" t="s">
        <v>277</v>
      </c>
      <c r="O121" s="641"/>
      <c r="P121" s="641"/>
      <c r="Q121" s="641"/>
      <c r="AF121" s="12"/>
      <c r="AG121" s="12"/>
      <c r="AH121" s="12"/>
      <c r="AI121" s="12"/>
      <c r="AJ121" s="12"/>
      <c r="AK121" s="12"/>
      <c r="AL121" s="12"/>
    </row>
    <row r="122" spans="3:38" ht="13.5" thickBot="1" x14ac:dyDescent="0.4">
      <c r="D122" s="12"/>
      <c r="E122" s="371" t="s">
        <v>278</v>
      </c>
      <c r="F122" s="308">
        <f>'Hazard Values'!$J$12</f>
        <v>30</v>
      </c>
      <c r="G122" s="308">
        <f>'Hazard Values'!$J$13</f>
        <v>30</v>
      </c>
      <c r="H122" s="308">
        <f>'Hazard Values'!$J$14</f>
        <v>30</v>
      </c>
      <c r="I122" s="304" t="s">
        <v>279</v>
      </c>
      <c r="J122" s="308">
        <f>'Hazard Values'!$J$12</f>
        <v>30</v>
      </c>
      <c r="K122" s="308">
        <f>'Hazard Values'!$J$13</f>
        <v>30</v>
      </c>
      <c r="L122" s="308">
        <f>'Hazard Values'!$J$14</f>
        <v>30</v>
      </c>
      <c r="M122" s="304" t="s">
        <v>279</v>
      </c>
      <c r="N122" s="308">
        <f>'Hazard Values'!$J$12</f>
        <v>30</v>
      </c>
      <c r="O122" s="308">
        <f>'Hazard Values'!$J$13</f>
        <v>30</v>
      </c>
      <c r="P122" s="308">
        <f>'Hazard Values'!$J$14</f>
        <v>30</v>
      </c>
      <c r="Q122" s="304" t="s">
        <v>279</v>
      </c>
      <c r="AF122" s="12"/>
      <c r="AG122" s="12"/>
      <c r="AH122" s="12"/>
      <c r="AI122" s="12"/>
      <c r="AJ122" s="12"/>
      <c r="AK122" s="12"/>
      <c r="AL122" s="12"/>
    </row>
    <row r="123" spans="3:38" ht="13.5" thickBot="1" x14ac:dyDescent="0.4">
      <c r="C123" s="303"/>
      <c r="D123" s="303"/>
      <c r="E123" s="373" t="s">
        <v>280</v>
      </c>
      <c r="F123" s="305">
        <f>'Hazard Values'!$I$12</f>
        <v>12</v>
      </c>
      <c r="G123" s="305">
        <f>'Hazard Values'!$I$13</f>
        <v>12</v>
      </c>
      <c r="H123" s="305">
        <f>'Hazard Values'!$I$14</f>
        <v>12</v>
      </c>
      <c r="I123" s="305">
        <f>'Hazard Values'!$L$15</f>
        <v>0</v>
      </c>
      <c r="J123" s="305">
        <f>'Hazard Values'!$I$12</f>
        <v>12</v>
      </c>
      <c r="K123" s="305">
        <f>'Hazard Values'!$I$13</f>
        <v>12</v>
      </c>
      <c r="L123" s="305">
        <f>'Hazard Values'!$I$14</f>
        <v>12</v>
      </c>
      <c r="M123" s="305">
        <f>'Hazard Values'!$L$15</f>
        <v>0</v>
      </c>
      <c r="N123" s="305">
        <f>'Hazard Values'!$I$12</f>
        <v>12</v>
      </c>
      <c r="O123" s="305">
        <f>'Hazard Values'!$I$13</f>
        <v>12</v>
      </c>
      <c r="P123" s="305">
        <f>'Hazard Values'!$I$14</f>
        <v>12</v>
      </c>
      <c r="Q123" s="305">
        <f>'Hazard Values'!$L$15</f>
        <v>0</v>
      </c>
      <c r="AF123" s="12"/>
      <c r="AG123" s="12"/>
      <c r="AH123" s="12"/>
      <c r="AI123" s="12"/>
      <c r="AJ123" s="12"/>
      <c r="AK123" s="12"/>
      <c r="AL123" s="12"/>
    </row>
    <row r="124" spans="3:38" ht="13.5" thickBot="1" x14ac:dyDescent="0.4">
      <c r="C124" s="302" t="s">
        <v>186</v>
      </c>
      <c r="D124" s="302" t="s">
        <v>267</v>
      </c>
      <c r="E124" s="372" t="s">
        <v>79</v>
      </c>
      <c r="F124" s="302" t="s">
        <v>271</v>
      </c>
      <c r="G124" s="302" t="s">
        <v>272</v>
      </c>
      <c r="H124" s="302" t="s">
        <v>273</v>
      </c>
      <c r="I124" s="302" t="s">
        <v>274</v>
      </c>
      <c r="J124" s="302" t="s">
        <v>271</v>
      </c>
      <c r="K124" s="302" t="s">
        <v>272</v>
      </c>
      <c r="L124" s="302" t="s">
        <v>273</v>
      </c>
      <c r="M124" s="302" t="s">
        <v>274</v>
      </c>
      <c r="N124" s="302" t="s">
        <v>271</v>
      </c>
      <c r="O124" s="302" t="s">
        <v>272</v>
      </c>
      <c r="P124" s="302" t="s">
        <v>273</v>
      </c>
      <c r="Q124" s="302" t="s">
        <v>274</v>
      </c>
      <c r="AF124" s="12"/>
      <c r="AG124" s="12"/>
      <c r="AH124" s="12"/>
      <c r="AI124" s="12"/>
      <c r="AJ124" s="12"/>
      <c r="AK124" s="12"/>
      <c r="AL124" s="12"/>
    </row>
    <row r="125" spans="3:38" ht="13.5" thickBot="1" x14ac:dyDescent="0.4">
      <c r="C125" s="12" t="str" cm="1">
        <f t="array" ref="C125">INDEX('List Values'!$B$2:$B$20,(1+ROUNDDOWN((ROW()-ROW($C$125))*1/6,2)))</f>
        <v>Manufacturing</v>
      </c>
      <c r="D125" s="307" t="s">
        <v>214</v>
      </c>
      <c r="E125" s="374" t="s">
        <v>92</v>
      </c>
      <c r="F125" s="309">
        <f t="shared" ref="F125:H144" si="14">F$123/G5</f>
        <v>209.8360655737705</v>
      </c>
      <c r="G125" s="309">
        <f t="shared" si="14"/>
        <v>286.1400894187779</v>
      </c>
      <c r="H125" s="309">
        <f t="shared" si="14"/>
        <v>306.36065573770492</v>
      </c>
      <c r="I125" s="264">
        <f t="shared" ref="I125:I156" si="15">I$123*J5</f>
        <v>0</v>
      </c>
      <c r="J125" s="309">
        <f t="shared" ref="J125:L144" si="16">IFERROR(J$123/K5,"")</f>
        <v>180.88634308109738</v>
      </c>
      <c r="K125" s="309">
        <f t="shared" si="16"/>
        <v>246.66319511058737</v>
      </c>
      <c r="L125" s="309">
        <f t="shared" si="16"/>
        <v>264.09406089840223</v>
      </c>
      <c r="M125" s="264">
        <f t="shared" ref="M125:M156" si="17">IFERROR(M$123*N5,"")</f>
        <v>0</v>
      </c>
      <c r="N125" s="370">
        <f t="shared" ref="N125:P144" si="18">N$123/O5</f>
        <v>97.144360567484981</v>
      </c>
      <c r="O125" s="370">
        <f t="shared" si="18"/>
        <v>132.46958259202495</v>
      </c>
      <c r="P125" s="370">
        <f t="shared" si="18"/>
        <v>141.83076642852808</v>
      </c>
      <c r="Q125" s="264">
        <f t="shared" ref="Q125:Q156" si="19">Q$123*R5</f>
        <v>0</v>
      </c>
      <c r="AF125" s="12"/>
      <c r="AG125" s="12"/>
      <c r="AH125" s="12"/>
      <c r="AI125" s="12"/>
      <c r="AJ125" s="12"/>
      <c r="AK125" s="12"/>
      <c r="AL125" s="12"/>
    </row>
    <row r="126" spans="3:38" ht="13.5" thickBot="1" x14ac:dyDescent="0.4">
      <c r="C126" s="12" t="str" cm="1">
        <f t="array" ref="C126">INDEX('List Values'!$B$2:$B$20,(1+ROUNDDOWN((ROW()-ROW($C$125))*1/6,2)))</f>
        <v>Manufacturing</v>
      </c>
      <c r="D126" s="307" t="s">
        <v>214</v>
      </c>
      <c r="E126" s="307" t="s">
        <v>93</v>
      </c>
      <c r="F126" s="309">
        <f t="shared" si="14"/>
        <v>960</v>
      </c>
      <c r="G126" s="309">
        <f t="shared" si="14"/>
        <v>1309.090909090909</v>
      </c>
      <c r="H126" s="309">
        <f t="shared" si="14"/>
        <v>1401.6000000000001</v>
      </c>
      <c r="I126" s="264">
        <f t="shared" si="15"/>
        <v>0</v>
      </c>
      <c r="J126" s="309">
        <f t="shared" si="16"/>
        <v>361.77268616219476</v>
      </c>
      <c r="K126" s="309">
        <f t="shared" si="16"/>
        <v>493.32639022117473</v>
      </c>
      <c r="L126" s="309">
        <f t="shared" si="16"/>
        <v>528.18812179680447</v>
      </c>
      <c r="M126" s="264">
        <f t="shared" si="17"/>
        <v>0</v>
      </c>
      <c r="N126" s="370">
        <f t="shared" si="18"/>
        <v>262.75454346398072</v>
      </c>
      <c r="O126" s="370">
        <f t="shared" si="18"/>
        <v>358.30165017815557</v>
      </c>
      <c r="P126" s="370">
        <f t="shared" si="18"/>
        <v>383.62163345741197</v>
      </c>
      <c r="Q126" s="264">
        <f t="shared" si="19"/>
        <v>0</v>
      </c>
      <c r="AE126" s="3"/>
      <c r="AL126" s="12"/>
    </row>
    <row r="127" spans="3:38" ht="13.5" thickBot="1" x14ac:dyDescent="0.4">
      <c r="C127" s="12" t="str" cm="1">
        <f t="array" ref="C127">INDEX('List Values'!$B$2:$B$20,(1+ROUNDDOWN((ROW()-ROW($C$125))*1/6,2)))</f>
        <v>Manufacturing</v>
      </c>
      <c r="D127" s="307" t="s">
        <v>74</v>
      </c>
      <c r="E127" s="374" t="s">
        <v>92</v>
      </c>
      <c r="F127" s="309">
        <f t="shared" si="14"/>
        <v>189.96721311475412</v>
      </c>
      <c r="G127" s="309">
        <f t="shared" si="14"/>
        <v>259.04619970193744</v>
      </c>
      <c r="H127" s="309">
        <f t="shared" si="14"/>
        <v>277.35213114754106</v>
      </c>
      <c r="I127" s="264">
        <f t="shared" si="15"/>
        <v>0</v>
      </c>
      <c r="J127" s="309">
        <f t="shared" si="16"/>
        <v>196.81043856469739</v>
      </c>
      <c r="K127" s="309">
        <f t="shared" si="16"/>
        <v>268.37787077004185</v>
      </c>
      <c r="L127" s="309">
        <f t="shared" si="16"/>
        <v>287.34324030445816</v>
      </c>
      <c r="M127" s="264">
        <f t="shared" si="17"/>
        <v>0</v>
      </c>
      <c r="N127" s="370">
        <f t="shared" si="18"/>
        <v>96.664143762405487</v>
      </c>
      <c r="O127" s="370">
        <f t="shared" si="18"/>
        <v>131.81474149418929</v>
      </c>
      <c r="P127" s="370">
        <f t="shared" si="18"/>
        <v>141.129649893112</v>
      </c>
      <c r="Q127" s="264">
        <f t="shared" si="19"/>
        <v>0</v>
      </c>
      <c r="AE127" s="3"/>
      <c r="AL127" s="12"/>
    </row>
    <row r="128" spans="3:38" ht="13.5" thickBot="1" x14ac:dyDescent="0.4">
      <c r="C128" s="12" t="str" cm="1">
        <f t="array" ref="C128">INDEX('List Values'!$B$2:$B$20,(1+ROUNDDOWN((ROW()-ROW($C$125))*1/6,2)))</f>
        <v>Manufacturing</v>
      </c>
      <c r="D128" s="307" t="s">
        <v>74</v>
      </c>
      <c r="E128" s="307" t="s">
        <v>93</v>
      </c>
      <c r="F128" s="309">
        <f t="shared" si="14"/>
        <v>869.10000000000014</v>
      </c>
      <c r="G128" s="309">
        <f t="shared" si="14"/>
        <v>1185.136363636364</v>
      </c>
      <c r="H128" s="309">
        <f t="shared" si="14"/>
        <v>1268.886</v>
      </c>
      <c r="I128" s="264">
        <f t="shared" si="15"/>
        <v>0</v>
      </c>
      <c r="J128" s="309">
        <f t="shared" si="16"/>
        <v>393.62087712939478</v>
      </c>
      <c r="K128" s="309">
        <f t="shared" si="16"/>
        <v>536.7557415400837</v>
      </c>
      <c r="L128" s="309">
        <f t="shared" si="16"/>
        <v>574.68648060891633</v>
      </c>
      <c r="M128" s="264">
        <f t="shared" si="17"/>
        <v>0</v>
      </c>
      <c r="N128" s="370">
        <f t="shared" si="18"/>
        <v>270.91965493661627</v>
      </c>
      <c r="O128" s="370">
        <f t="shared" si="18"/>
        <v>369.43589309538572</v>
      </c>
      <c r="P128" s="370">
        <f t="shared" si="18"/>
        <v>395.5426962074597</v>
      </c>
      <c r="Q128" s="264">
        <f t="shared" si="19"/>
        <v>0</v>
      </c>
      <c r="AE128" s="3"/>
      <c r="AL128" s="12"/>
    </row>
    <row r="129" spans="3:38" ht="13.5" thickBot="1" x14ac:dyDescent="0.4">
      <c r="C129" s="12" t="str" cm="1">
        <f t="array" ref="C129">INDEX('List Values'!$B$2:$B$20,(1+ROUNDDOWN((ROW()-ROW($C$125))*1/6,2)))</f>
        <v>Manufacturing</v>
      </c>
      <c r="D129" s="307" t="s">
        <v>94</v>
      </c>
      <c r="E129" s="374" t="s">
        <v>92</v>
      </c>
      <c r="F129" s="309">
        <f t="shared" si="14"/>
        <v>960</v>
      </c>
      <c r="G129" s="309">
        <f t="shared" si="14"/>
        <v>1309.090909090909</v>
      </c>
      <c r="H129" s="309">
        <f t="shared" si="14"/>
        <v>1401.6000000000001</v>
      </c>
      <c r="I129" s="264">
        <f t="shared" si="15"/>
        <v>0</v>
      </c>
      <c r="J129" s="309" t="str">
        <f t="shared" si="16"/>
        <v/>
      </c>
      <c r="K129" s="309" t="str">
        <f t="shared" si="16"/>
        <v/>
      </c>
      <c r="L129" s="309" t="str">
        <f t="shared" si="16"/>
        <v/>
      </c>
      <c r="M129" s="264">
        <f t="shared" si="17"/>
        <v>0</v>
      </c>
      <c r="N129" s="370">
        <f t="shared" si="18"/>
        <v>960</v>
      </c>
      <c r="O129" s="370">
        <f t="shared" si="18"/>
        <v>1309.090909090909</v>
      </c>
      <c r="P129" s="370">
        <f t="shared" si="18"/>
        <v>1401.6000000000001</v>
      </c>
      <c r="Q129" s="264">
        <f t="shared" si="19"/>
        <v>0</v>
      </c>
      <c r="AE129" s="3"/>
      <c r="AL129" s="12"/>
    </row>
    <row r="130" spans="3:38" ht="13.5" thickBot="1" x14ac:dyDescent="0.4">
      <c r="C130" s="12" t="str" cm="1">
        <f t="array" ref="C130">INDEX('List Values'!$B$2:$B$20,(1+ROUNDDOWN((ROW()-ROW($C$125))*1/6,2)))</f>
        <v>Manufacturing</v>
      </c>
      <c r="D130" s="307" t="s">
        <v>94</v>
      </c>
      <c r="E130" s="307" t="s">
        <v>93</v>
      </c>
      <c r="F130" s="309">
        <f t="shared" si="14"/>
        <v>960</v>
      </c>
      <c r="G130" s="309">
        <f t="shared" si="14"/>
        <v>1309.090909090909</v>
      </c>
      <c r="H130" s="309">
        <f t="shared" si="14"/>
        <v>1401.6000000000001</v>
      </c>
      <c r="I130" s="264">
        <f t="shared" si="15"/>
        <v>0</v>
      </c>
      <c r="J130" s="309" t="str">
        <f t="shared" si="16"/>
        <v/>
      </c>
      <c r="K130" s="309" t="str">
        <f t="shared" si="16"/>
        <v/>
      </c>
      <c r="L130" s="309" t="str">
        <f t="shared" si="16"/>
        <v/>
      </c>
      <c r="M130" s="264">
        <f t="shared" si="17"/>
        <v>0</v>
      </c>
      <c r="N130" s="370">
        <f t="shared" si="18"/>
        <v>960</v>
      </c>
      <c r="O130" s="370">
        <f t="shared" si="18"/>
        <v>1309.090909090909</v>
      </c>
      <c r="P130" s="370">
        <f t="shared" si="18"/>
        <v>1401.6000000000001</v>
      </c>
      <c r="Q130" s="264">
        <f t="shared" si="19"/>
        <v>0</v>
      </c>
      <c r="AE130" s="3"/>
      <c r="AL130" s="12"/>
    </row>
    <row r="131" spans="3:38" ht="13.5" thickBot="1" x14ac:dyDescent="0.4">
      <c r="C131" s="12" t="str" cm="1">
        <f t="array" ref="C131">INDEX('List Values'!$B$2:$B$20,(1+ROUNDDOWN((ROW()-ROW($C$125))*1/6,2)))</f>
        <v>Import and Repackaging (Solid)</v>
      </c>
      <c r="D131" s="307" t="s">
        <v>214</v>
      </c>
      <c r="E131" s="374" t="s">
        <v>92</v>
      </c>
      <c r="F131" s="309">
        <f t="shared" si="14"/>
        <v>64</v>
      </c>
      <c r="G131" s="309">
        <f t="shared" si="14"/>
        <v>87.272727272727266</v>
      </c>
      <c r="H131" s="309">
        <f t="shared" si="14"/>
        <v>93.439999999999984</v>
      </c>
      <c r="I131" s="264">
        <f t="shared" si="15"/>
        <v>0</v>
      </c>
      <c r="J131" s="309">
        <f t="shared" si="16"/>
        <v>1007.6328186009019</v>
      </c>
      <c r="K131" s="309">
        <f t="shared" si="16"/>
        <v>1374.0447526375935</v>
      </c>
      <c r="L131" s="309">
        <f t="shared" si="16"/>
        <v>1471.1439151573168</v>
      </c>
      <c r="M131" s="264">
        <f t="shared" si="17"/>
        <v>0</v>
      </c>
      <c r="N131" s="370">
        <f t="shared" si="18"/>
        <v>60.177795296202632</v>
      </c>
      <c r="O131" s="370">
        <f t="shared" si="18"/>
        <v>82.060629949367211</v>
      </c>
      <c r="P131" s="370">
        <f t="shared" si="18"/>
        <v>87.85958113245583</v>
      </c>
      <c r="Q131" s="264">
        <f t="shared" si="19"/>
        <v>0</v>
      </c>
      <c r="AE131" s="3"/>
      <c r="AL131" s="12"/>
    </row>
    <row r="132" spans="3:38" ht="13.5" thickBot="1" x14ac:dyDescent="0.4">
      <c r="C132" s="12" t="str" cm="1">
        <f t="array" ref="C132">INDEX('List Values'!$B$2:$B$20,(1+ROUNDDOWN((ROW()-ROW($C$125))*1/6,2)))</f>
        <v>Import and Repackaging (Solid)</v>
      </c>
      <c r="D132" s="307" t="s">
        <v>214</v>
      </c>
      <c r="E132" s="307" t="s">
        <v>93</v>
      </c>
      <c r="F132" s="309">
        <f t="shared" si="14"/>
        <v>1454.5454545454545</v>
      </c>
      <c r="G132" s="309">
        <f t="shared" si="14"/>
        <v>1983.4710743801654</v>
      </c>
      <c r="H132" s="309">
        <f t="shared" si="14"/>
        <v>2552.4475524475524</v>
      </c>
      <c r="I132" s="264">
        <f t="shared" si="15"/>
        <v>0</v>
      </c>
      <c r="J132" s="309">
        <f t="shared" si="16"/>
        <v>2015.2656372018039</v>
      </c>
      <c r="K132" s="309">
        <f t="shared" si="16"/>
        <v>2748.0895052751871</v>
      </c>
      <c r="L132" s="309">
        <f t="shared" si="16"/>
        <v>3536.4036422050881</v>
      </c>
      <c r="M132" s="264">
        <f t="shared" si="17"/>
        <v>0</v>
      </c>
      <c r="N132" s="370">
        <f t="shared" si="18"/>
        <v>844.7997296640865</v>
      </c>
      <c r="O132" s="370">
        <f t="shared" si="18"/>
        <v>1151.999631360118</v>
      </c>
      <c r="P132" s="370">
        <f t="shared" si="18"/>
        <v>1482.4610640739977</v>
      </c>
      <c r="Q132" s="264">
        <f t="shared" si="19"/>
        <v>0</v>
      </c>
      <c r="AE132" s="3"/>
      <c r="AL132" s="12"/>
    </row>
    <row r="133" spans="3:38" ht="13.5" thickBot="1" x14ac:dyDescent="0.4">
      <c r="C133" s="12" t="str" cm="1">
        <f t="array" ref="C133">INDEX('List Values'!$B$2:$B$20,(1+ROUNDDOWN((ROW()-ROW($C$125))*1/6,2)))</f>
        <v>Import and Repackaging (Solid)</v>
      </c>
      <c r="D133" s="307" t="s">
        <v>74</v>
      </c>
      <c r="E133" s="374" t="s">
        <v>92</v>
      </c>
      <c r="F133" s="309">
        <f t="shared" si="14"/>
        <v>57.940000000000012</v>
      </c>
      <c r="G133" s="309">
        <f t="shared" si="14"/>
        <v>79.009090909090915</v>
      </c>
      <c r="H133" s="309">
        <f t="shared" si="14"/>
        <v>84.592400000000026</v>
      </c>
      <c r="I133" s="264">
        <f t="shared" si="15"/>
        <v>0</v>
      </c>
      <c r="J133" s="309">
        <f t="shared" si="16"/>
        <v>1096.3384717889701</v>
      </c>
      <c r="K133" s="309">
        <f t="shared" si="16"/>
        <v>1495.0070069849592</v>
      </c>
      <c r="L133" s="309">
        <f t="shared" si="16"/>
        <v>1600.6541688118962</v>
      </c>
      <c r="M133" s="264">
        <f t="shared" si="17"/>
        <v>0</v>
      </c>
      <c r="N133" s="370">
        <f t="shared" si="18"/>
        <v>55.031651900258488</v>
      </c>
      <c r="O133" s="370">
        <f t="shared" si="18"/>
        <v>75.043161682170648</v>
      </c>
      <c r="P133" s="370">
        <f t="shared" si="18"/>
        <v>80.346211774377394</v>
      </c>
      <c r="Q133" s="264">
        <f t="shared" si="19"/>
        <v>0</v>
      </c>
      <c r="AE133" s="3"/>
      <c r="AL133" s="12"/>
    </row>
    <row r="134" spans="3:38" ht="13.5" thickBot="1" x14ac:dyDescent="0.4">
      <c r="C134" s="12" t="str" cm="1">
        <f t="array" ref="C134">INDEX('List Values'!$B$2:$B$20,(1+ROUNDDOWN((ROW()-ROW($C$125))*1/6,2)))</f>
        <v>Import and Repackaging (Solid)</v>
      </c>
      <c r="D134" s="307" t="s">
        <v>74</v>
      </c>
      <c r="E134" s="307" t="s">
        <v>93</v>
      </c>
      <c r="F134" s="309">
        <f t="shared" si="14"/>
        <v>1316.8181818181818</v>
      </c>
      <c r="G134" s="309">
        <f t="shared" si="14"/>
        <v>1795.6611570247935</v>
      </c>
      <c r="H134" s="309">
        <f t="shared" si="14"/>
        <v>2310.7626748251746</v>
      </c>
      <c r="I134" s="264">
        <f t="shared" si="15"/>
        <v>0</v>
      </c>
      <c r="J134" s="309">
        <f t="shared" si="16"/>
        <v>2192.6769435779402</v>
      </c>
      <c r="K134" s="309">
        <f t="shared" si="16"/>
        <v>2990.0140139699183</v>
      </c>
      <c r="L134" s="309">
        <f t="shared" si="16"/>
        <v>3847.7263673362891</v>
      </c>
      <c r="M134" s="264">
        <f t="shared" si="17"/>
        <v>0</v>
      </c>
      <c r="N134" s="370">
        <f t="shared" si="18"/>
        <v>822.727133958065</v>
      </c>
      <c r="O134" s="370">
        <f t="shared" si="18"/>
        <v>1121.9006372155432</v>
      </c>
      <c r="P134" s="370">
        <f t="shared" si="18"/>
        <v>1443.7279033398734</v>
      </c>
      <c r="Q134" s="264">
        <f t="shared" si="19"/>
        <v>0</v>
      </c>
      <c r="AE134" s="3"/>
      <c r="AL134" s="12"/>
    </row>
    <row r="135" spans="3:38" ht="13.5" thickBot="1" x14ac:dyDescent="0.4">
      <c r="C135" s="12" t="str" cm="1">
        <f t="array" ref="C135">INDEX('List Values'!$B$2:$B$20,(1+ROUNDDOWN((ROW()-ROW($C$125))*1/6,2)))</f>
        <v>Import and Repackaging (Solid)</v>
      </c>
      <c r="D135" s="307" t="s">
        <v>94</v>
      </c>
      <c r="E135" s="374" t="s">
        <v>92</v>
      </c>
      <c r="F135" s="309">
        <f t="shared" si="14"/>
        <v>1454.5454545454545</v>
      </c>
      <c r="G135" s="309">
        <f t="shared" si="14"/>
        <v>1983.4710743801654</v>
      </c>
      <c r="H135" s="309">
        <f t="shared" si="14"/>
        <v>2123.6363636363635</v>
      </c>
      <c r="I135" s="264">
        <f t="shared" si="15"/>
        <v>0</v>
      </c>
      <c r="J135" s="309">
        <f t="shared" si="16"/>
        <v>4023.0116265036013</v>
      </c>
      <c r="K135" s="309">
        <f t="shared" si="16"/>
        <v>5485.9249452321828</v>
      </c>
      <c r="L135" s="309">
        <f t="shared" si="16"/>
        <v>5873.5969746952587</v>
      </c>
      <c r="M135" s="264">
        <f t="shared" si="17"/>
        <v>0</v>
      </c>
      <c r="N135" s="370">
        <f t="shared" si="18"/>
        <v>1068.2961744313993</v>
      </c>
      <c r="O135" s="370">
        <f t="shared" si="18"/>
        <v>1456.767510588272</v>
      </c>
      <c r="P135" s="370">
        <f t="shared" si="18"/>
        <v>1559.7124146698432</v>
      </c>
      <c r="Q135" s="264">
        <f t="shared" si="19"/>
        <v>0</v>
      </c>
      <c r="AE135" s="3"/>
      <c r="AL135" s="12"/>
    </row>
    <row r="136" spans="3:38" ht="13.5" thickBot="1" x14ac:dyDescent="0.4">
      <c r="C136" s="12" t="str" cm="1">
        <f t="array" ref="C136">INDEX('List Values'!$B$2:$B$20,(1+ROUNDDOWN((ROW()-ROW($C$125))*1/6,2)))</f>
        <v>Import and Repackaging (Solid)</v>
      </c>
      <c r="D136" s="307" t="s">
        <v>94</v>
      </c>
      <c r="E136" s="307" t="s">
        <v>93</v>
      </c>
      <c r="F136" s="309">
        <f t="shared" si="14"/>
        <v>1454.5454545454545</v>
      </c>
      <c r="G136" s="309">
        <f t="shared" si="14"/>
        <v>1983.4710743801654</v>
      </c>
      <c r="H136" s="309">
        <f t="shared" si="14"/>
        <v>2552.4475524475524</v>
      </c>
      <c r="I136" s="264">
        <f t="shared" si="15"/>
        <v>0</v>
      </c>
      <c r="J136" s="309">
        <f t="shared" si="16"/>
        <v>4023.0116265036013</v>
      </c>
      <c r="K136" s="309">
        <f t="shared" si="16"/>
        <v>5485.9249452321828</v>
      </c>
      <c r="L136" s="309">
        <f t="shared" si="16"/>
        <v>7059.6117484318011</v>
      </c>
      <c r="M136" s="264">
        <f t="shared" si="17"/>
        <v>0</v>
      </c>
      <c r="N136" s="370">
        <f t="shared" si="18"/>
        <v>1068.2961744313993</v>
      </c>
      <c r="O136" s="370">
        <f t="shared" si="18"/>
        <v>1456.767510588272</v>
      </c>
      <c r="P136" s="370">
        <f t="shared" si="18"/>
        <v>1874.6543445550999</v>
      </c>
      <c r="Q136" s="264">
        <f t="shared" si="19"/>
        <v>0</v>
      </c>
      <c r="AE136" s="3"/>
      <c r="AL136" s="12"/>
    </row>
    <row r="137" spans="3:38" ht="13.5" thickBot="1" x14ac:dyDescent="0.4">
      <c r="C137" s="12" t="str" cm="1">
        <f t="array" ref="C137">INDEX('List Values'!$B$2:$B$20,(1+ROUNDDOWN((ROW()-ROW($C$125))*1/6,2)))</f>
        <v>Import and Repackaging (Liquid)</v>
      </c>
      <c r="D137" s="307" t="s">
        <v>214</v>
      </c>
      <c r="E137" s="374" t="s">
        <v>92</v>
      </c>
      <c r="F137" s="309">
        <f t="shared" si="14"/>
        <v>209.8360655737705</v>
      </c>
      <c r="G137" s="309">
        <f t="shared" si="14"/>
        <v>286.1400894187779</v>
      </c>
      <c r="H137" s="309">
        <f t="shared" si="14"/>
        <v>306.36065573770492</v>
      </c>
      <c r="I137" s="264">
        <f t="shared" si="15"/>
        <v>0</v>
      </c>
      <c r="J137" s="309">
        <f t="shared" si="16"/>
        <v>180.88634308109738</v>
      </c>
      <c r="K137" s="309">
        <f t="shared" si="16"/>
        <v>246.66319511058737</v>
      </c>
      <c r="L137" s="309">
        <f t="shared" si="16"/>
        <v>264.09406089840223</v>
      </c>
      <c r="M137" s="264">
        <f t="shared" si="17"/>
        <v>0</v>
      </c>
      <c r="N137" s="370">
        <f t="shared" si="18"/>
        <v>97.144360567484981</v>
      </c>
      <c r="O137" s="370">
        <f t="shared" si="18"/>
        <v>132.46958259202495</v>
      </c>
      <c r="P137" s="370">
        <f t="shared" si="18"/>
        <v>141.83076642852808</v>
      </c>
      <c r="Q137" s="264">
        <f t="shared" si="19"/>
        <v>0</v>
      </c>
      <c r="AE137" s="3"/>
      <c r="AL137" s="12"/>
    </row>
    <row r="138" spans="3:38" ht="13.5" thickBot="1" x14ac:dyDescent="0.4">
      <c r="C138" s="12" t="str" cm="1">
        <f t="array" ref="C138">INDEX('List Values'!$B$2:$B$20,(1+ROUNDDOWN((ROW()-ROW($C$125))*1/6,2)))</f>
        <v>Import and Repackaging (Liquid)</v>
      </c>
      <c r="D138" s="307" t="s">
        <v>214</v>
      </c>
      <c r="E138" s="307" t="s">
        <v>93</v>
      </c>
      <c r="F138" s="309">
        <f t="shared" si="14"/>
        <v>960</v>
      </c>
      <c r="G138" s="309">
        <f t="shared" si="14"/>
        <v>1309.090909090909</v>
      </c>
      <c r="H138" s="309">
        <f t="shared" si="14"/>
        <v>1684.6153846153845</v>
      </c>
      <c r="I138" s="264">
        <f t="shared" si="15"/>
        <v>0</v>
      </c>
      <c r="J138" s="309">
        <f t="shared" si="16"/>
        <v>361.77268616219476</v>
      </c>
      <c r="K138" s="309">
        <f t="shared" si="16"/>
        <v>493.32639022117473</v>
      </c>
      <c r="L138" s="309">
        <f t="shared" si="16"/>
        <v>634.84149254423596</v>
      </c>
      <c r="M138" s="264">
        <f t="shared" si="17"/>
        <v>0</v>
      </c>
      <c r="N138" s="370">
        <f t="shared" si="18"/>
        <v>262.75454346398072</v>
      </c>
      <c r="O138" s="370">
        <f t="shared" si="18"/>
        <v>358.30165017815557</v>
      </c>
      <c r="P138" s="370">
        <f t="shared" si="18"/>
        <v>461.08369405938925</v>
      </c>
      <c r="Q138" s="264">
        <f t="shared" si="19"/>
        <v>0</v>
      </c>
      <c r="AE138" s="3"/>
      <c r="AL138" s="12"/>
    </row>
    <row r="139" spans="3:38" ht="13.5" thickBot="1" x14ac:dyDescent="0.4">
      <c r="C139" s="12" t="str" cm="1">
        <f t="array" ref="C139">INDEX('List Values'!$B$2:$B$20,(1+ROUNDDOWN((ROW()-ROW($C$125))*1/6,2)))</f>
        <v>Import and Repackaging (Liquid)</v>
      </c>
      <c r="D139" s="307" t="s">
        <v>74</v>
      </c>
      <c r="E139" s="374" t="s">
        <v>92</v>
      </c>
      <c r="F139" s="309">
        <f t="shared" si="14"/>
        <v>189.96721311475412</v>
      </c>
      <c r="G139" s="309">
        <f t="shared" si="14"/>
        <v>259.04619970193744</v>
      </c>
      <c r="H139" s="309">
        <f t="shared" si="14"/>
        <v>277.35213114754106</v>
      </c>
      <c r="I139" s="264">
        <f t="shared" si="15"/>
        <v>0</v>
      </c>
      <c r="J139" s="309">
        <f t="shared" si="16"/>
        <v>196.81043856469739</v>
      </c>
      <c r="K139" s="309">
        <f t="shared" si="16"/>
        <v>268.37787077004185</v>
      </c>
      <c r="L139" s="309">
        <f t="shared" si="16"/>
        <v>287.34324030445816</v>
      </c>
      <c r="M139" s="264">
        <f t="shared" si="17"/>
        <v>0</v>
      </c>
      <c r="N139" s="370">
        <f t="shared" si="18"/>
        <v>96.664143762405487</v>
      </c>
      <c r="O139" s="370">
        <f t="shared" si="18"/>
        <v>131.81474149418929</v>
      </c>
      <c r="P139" s="370">
        <f t="shared" si="18"/>
        <v>141.129649893112</v>
      </c>
      <c r="Q139" s="264">
        <f t="shared" si="19"/>
        <v>0</v>
      </c>
      <c r="AE139" s="3"/>
      <c r="AL139" s="12"/>
    </row>
    <row r="140" spans="3:38" ht="13.5" thickBot="1" x14ac:dyDescent="0.4">
      <c r="C140" s="12" t="str" cm="1">
        <f t="array" ref="C140">INDEX('List Values'!$B$2:$B$20,(1+ROUNDDOWN((ROW()-ROW($C$125))*1/6,2)))</f>
        <v>Import and Repackaging (Liquid)</v>
      </c>
      <c r="D140" s="307" t="s">
        <v>74</v>
      </c>
      <c r="E140" s="307" t="s">
        <v>93</v>
      </c>
      <c r="F140" s="309">
        <f t="shared" si="14"/>
        <v>869.10000000000014</v>
      </c>
      <c r="G140" s="309">
        <f t="shared" si="14"/>
        <v>1185.136363636364</v>
      </c>
      <c r="H140" s="309">
        <f t="shared" si="14"/>
        <v>1525.1033653846157</v>
      </c>
      <c r="I140" s="264">
        <f t="shared" si="15"/>
        <v>0</v>
      </c>
      <c r="J140" s="309">
        <f t="shared" si="16"/>
        <v>393.62087712939478</v>
      </c>
      <c r="K140" s="309">
        <f t="shared" si="16"/>
        <v>536.7557415400837</v>
      </c>
      <c r="L140" s="309">
        <f t="shared" si="16"/>
        <v>690.72894303956298</v>
      </c>
      <c r="M140" s="264">
        <f t="shared" si="17"/>
        <v>0</v>
      </c>
      <c r="N140" s="370">
        <f t="shared" si="18"/>
        <v>270.91965493661627</v>
      </c>
      <c r="O140" s="370">
        <f t="shared" si="18"/>
        <v>369.43589309538572</v>
      </c>
      <c r="P140" s="370">
        <f t="shared" si="18"/>
        <v>475.41189448011983</v>
      </c>
      <c r="Q140" s="264">
        <f t="shared" si="19"/>
        <v>0</v>
      </c>
      <c r="AE140" s="3"/>
      <c r="AL140" s="12"/>
    </row>
    <row r="141" spans="3:38" ht="13.5" thickBot="1" x14ac:dyDescent="0.4">
      <c r="C141" s="12" t="str" cm="1">
        <f t="array" ref="C141">INDEX('List Values'!$B$2:$B$20,(1+ROUNDDOWN((ROW()-ROW($C$125))*1/6,2)))</f>
        <v>Import and Repackaging (Liquid)</v>
      </c>
      <c r="D141" s="307" t="s">
        <v>94</v>
      </c>
      <c r="E141" s="374" t="s">
        <v>92</v>
      </c>
      <c r="F141" s="309">
        <f t="shared" si="14"/>
        <v>960</v>
      </c>
      <c r="G141" s="309">
        <f t="shared" si="14"/>
        <v>1309.090909090909</v>
      </c>
      <c r="H141" s="309">
        <f t="shared" si="14"/>
        <v>1401.6000000000001</v>
      </c>
      <c r="I141" s="264">
        <f t="shared" si="15"/>
        <v>0</v>
      </c>
      <c r="J141" s="309" t="str">
        <f t="shared" si="16"/>
        <v/>
      </c>
      <c r="K141" s="309" t="str">
        <f t="shared" si="16"/>
        <v/>
      </c>
      <c r="L141" s="309" t="str">
        <f t="shared" si="16"/>
        <v/>
      </c>
      <c r="M141" s="264">
        <f t="shared" si="17"/>
        <v>0</v>
      </c>
      <c r="N141" s="370">
        <f t="shared" si="18"/>
        <v>960</v>
      </c>
      <c r="O141" s="370">
        <f t="shared" si="18"/>
        <v>1309.090909090909</v>
      </c>
      <c r="P141" s="370">
        <f t="shared" si="18"/>
        <v>1401.6000000000001</v>
      </c>
      <c r="Q141" s="264">
        <f t="shared" si="19"/>
        <v>0</v>
      </c>
      <c r="AE141" s="3"/>
      <c r="AL141" s="12"/>
    </row>
    <row r="142" spans="3:38" ht="13.5" thickBot="1" x14ac:dyDescent="0.4">
      <c r="C142" s="12" t="str" cm="1">
        <f t="array" ref="C142">INDEX('List Values'!$B$2:$B$20,(1+ROUNDDOWN((ROW()-ROW($C$125))*1/6,2)))</f>
        <v>Import and Repackaging (Liquid)</v>
      </c>
      <c r="D142" s="307" t="s">
        <v>94</v>
      </c>
      <c r="E142" s="307" t="s">
        <v>93</v>
      </c>
      <c r="F142" s="309">
        <f t="shared" si="14"/>
        <v>960</v>
      </c>
      <c r="G142" s="309">
        <f t="shared" si="14"/>
        <v>1309.090909090909</v>
      </c>
      <c r="H142" s="309">
        <f t="shared" si="14"/>
        <v>1684.6153846153845</v>
      </c>
      <c r="I142" s="264">
        <f t="shared" si="15"/>
        <v>0</v>
      </c>
      <c r="J142" s="309" t="str">
        <f t="shared" si="16"/>
        <v/>
      </c>
      <c r="K142" s="309" t="str">
        <f t="shared" si="16"/>
        <v/>
      </c>
      <c r="L142" s="309" t="str">
        <f t="shared" si="16"/>
        <v/>
      </c>
      <c r="M142" s="264">
        <f t="shared" si="17"/>
        <v>0</v>
      </c>
      <c r="N142" s="370">
        <f t="shared" si="18"/>
        <v>960</v>
      </c>
      <c r="O142" s="370">
        <f t="shared" si="18"/>
        <v>1309.090909090909</v>
      </c>
      <c r="P142" s="370">
        <f t="shared" si="18"/>
        <v>1684.6153846153845</v>
      </c>
      <c r="Q142" s="264">
        <f t="shared" si="19"/>
        <v>0</v>
      </c>
      <c r="AE142" s="3"/>
      <c r="AL142" s="12"/>
    </row>
    <row r="143" spans="3:38" ht="13.5" thickBot="1" x14ac:dyDescent="0.4">
      <c r="C143" s="12" t="str" cm="1">
        <f t="array" ref="C143">INDEX('List Values'!$B$2:$B$20,(1+ROUNDDOWN((ROW()-ROW($C$125))*1/6,2)))</f>
        <v>Incorporation into Adhesives and Sealants (Solid)</v>
      </c>
      <c r="D143" s="307" t="s">
        <v>214</v>
      </c>
      <c r="E143" s="374" t="s">
        <v>92</v>
      </c>
      <c r="F143" s="309">
        <f t="shared" si="14"/>
        <v>27.428571428571427</v>
      </c>
      <c r="G143" s="309">
        <f t="shared" si="14"/>
        <v>37.402597402597401</v>
      </c>
      <c r="H143" s="309">
        <f t="shared" si="14"/>
        <v>40.04571428571429</v>
      </c>
      <c r="I143" s="264">
        <f t="shared" si="15"/>
        <v>0</v>
      </c>
      <c r="J143" s="309">
        <f t="shared" si="16"/>
        <v>1007.6328186009019</v>
      </c>
      <c r="K143" s="309">
        <f t="shared" si="16"/>
        <v>1374.0447526375935</v>
      </c>
      <c r="L143" s="309">
        <f t="shared" si="16"/>
        <v>1471.1439151573168</v>
      </c>
      <c r="M143" s="264">
        <f t="shared" si="17"/>
        <v>0</v>
      </c>
      <c r="N143" s="370">
        <f t="shared" si="18"/>
        <v>26.701729003707314</v>
      </c>
      <c r="O143" s="370">
        <f t="shared" si="18"/>
        <v>36.411448641419064</v>
      </c>
      <c r="P143" s="370">
        <f t="shared" si="18"/>
        <v>38.984524345412673</v>
      </c>
      <c r="Q143" s="264">
        <f t="shared" si="19"/>
        <v>0</v>
      </c>
      <c r="AE143" s="3"/>
      <c r="AL143" s="12"/>
    </row>
    <row r="144" spans="3:38" ht="13.5" thickBot="1" x14ac:dyDescent="0.4">
      <c r="C144" s="12" t="str" cm="1">
        <f t="array" ref="C144">INDEX('List Values'!$B$2:$B$20,(1+ROUNDDOWN((ROW()-ROW($C$125))*1/6,2)))</f>
        <v>Incorporation into Adhesives and Sealants (Solid)</v>
      </c>
      <c r="D144" s="307" t="s">
        <v>214</v>
      </c>
      <c r="E144" s="307" t="s">
        <v>93</v>
      </c>
      <c r="F144" s="309">
        <f t="shared" si="14"/>
        <v>285.71428571428572</v>
      </c>
      <c r="G144" s="309">
        <f t="shared" si="14"/>
        <v>389.61038961038963</v>
      </c>
      <c r="H144" s="309">
        <f t="shared" si="14"/>
        <v>417.14285714285722</v>
      </c>
      <c r="I144" s="264">
        <f t="shared" si="15"/>
        <v>0</v>
      </c>
      <c r="J144" s="309">
        <f t="shared" si="16"/>
        <v>2015.2656372018039</v>
      </c>
      <c r="K144" s="309">
        <f t="shared" si="16"/>
        <v>2748.0895052751871</v>
      </c>
      <c r="L144" s="309">
        <f t="shared" si="16"/>
        <v>2942.2878303146335</v>
      </c>
      <c r="M144" s="264">
        <f t="shared" si="17"/>
        <v>0</v>
      </c>
      <c r="N144" s="370">
        <f t="shared" si="18"/>
        <v>250.23694310550303</v>
      </c>
      <c r="O144" s="370">
        <f t="shared" si="18"/>
        <v>341.23219514386778</v>
      </c>
      <c r="P144" s="370">
        <f t="shared" si="18"/>
        <v>365.34593693403446</v>
      </c>
      <c r="Q144" s="264">
        <f t="shared" si="19"/>
        <v>0</v>
      </c>
      <c r="AE144" s="3"/>
      <c r="AL144" s="12"/>
    </row>
    <row r="145" spans="3:38" ht="13.5" thickBot="1" x14ac:dyDescent="0.4">
      <c r="C145" s="12" t="str" cm="1">
        <f t="array" ref="C145">INDEX('List Values'!$B$2:$B$20,(1+ROUNDDOWN((ROW()-ROW($C$125))*1/6,2)))</f>
        <v>Incorporation into Adhesives and Sealants (Solid)</v>
      </c>
      <c r="D145" s="307" t="s">
        <v>74</v>
      </c>
      <c r="E145" s="374" t="s">
        <v>92</v>
      </c>
      <c r="F145" s="309">
        <f t="shared" ref="F145:H164" si="20">F$123/G25</f>
        <v>24.831428571428575</v>
      </c>
      <c r="G145" s="309">
        <f t="shared" si="20"/>
        <v>33.861038961038965</v>
      </c>
      <c r="H145" s="309">
        <f t="shared" si="20"/>
        <v>36.253885714285715</v>
      </c>
      <c r="I145" s="264">
        <f t="shared" si="15"/>
        <v>0</v>
      </c>
      <c r="J145" s="309">
        <f t="shared" ref="J145:L164" si="21">IFERROR(J$123/K25,"")</f>
        <v>1096.3384717889701</v>
      </c>
      <c r="K145" s="309">
        <f t="shared" si="21"/>
        <v>1495.0070069849592</v>
      </c>
      <c r="L145" s="309">
        <f t="shared" si="21"/>
        <v>1600.6541688118962</v>
      </c>
      <c r="M145" s="264">
        <f t="shared" si="17"/>
        <v>0</v>
      </c>
      <c r="N145" s="370">
        <f t="shared" ref="N145:P164" si="22">N$123/O25</f>
        <v>24.281467459647253</v>
      </c>
      <c r="O145" s="370">
        <f t="shared" si="22"/>
        <v>33.111091990428072</v>
      </c>
      <c r="P145" s="370">
        <f t="shared" si="22"/>
        <v>35.450942491084987</v>
      </c>
      <c r="Q145" s="264">
        <f t="shared" si="19"/>
        <v>0</v>
      </c>
      <c r="AE145" s="3"/>
      <c r="AL145" s="12"/>
    </row>
    <row r="146" spans="3:38" ht="13.5" thickBot="1" x14ac:dyDescent="0.4">
      <c r="C146" s="12" t="str" cm="1">
        <f t="array" ref="C146">INDEX('List Values'!$B$2:$B$20,(1+ROUNDDOWN((ROW()-ROW($C$125))*1/6,2)))</f>
        <v>Incorporation into Adhesives and Sealants (Solid)</v>
      </c>
      <c r="D146" s="307" t="s">
        <v>74</v>
      </c>
      <c r="E146" s="307" t="s">
        <v>93</v>
      </c>
      <c r="F146" s="309">
        <f t="shared" si="20"/>
        <v>258.66071428571433</v>
      </c>
      <c r="G146" s="309">
        <f t="shared" si="20"/>
        <v>352.71915584415598</v>
      </c>
      <c r="H146" s="309">
        <f t="shared" si="20"/>
        <v>377.64464285714297</v>
      </c>
      <c r="I146" s="264">
        <f t="shared" si="15"/>
        <v>0</v>
      </c>
      <c r="J146" s="309">
        <f t="shared" si="21"/>
        <v>2192.6769435779402</v>
      </c>
      <c r="K146" s="309">
        <f t="shared" si="21"/>
        <v>2990.0140139699183</v>
      </c>
      <c r="L146" s="309">
        <f t="shared" si="21"/>
        <v>3201.3083376237923</v>
      </c>
      <c r="M146" s="264">
        <f t="shared" si="17"/>
        <v>0</v>
      </c>
      <c r="N146" s="370">
        <f t="shared" si="22"/>
        <v>231.36730372672017</v>
      </c>
      <c r="O146" s="370">
        <f t="shared" si="22"/>
        <v>315.50086871825482</v>
      </c>
      <c r="P146" s="370">
        <f t="shared" si="22"/>
        <v>337.79626344101143</v>
      </c>
      <c r="Q146" s="264">
        <f t="shared" si="19"/>
        <v>0</v>
      </c>
      <c r="AE146" s="3"/>
      <c r="AL146" s="12"/>
    </row>
    <row r="147" spans="3:38" ht="13.5" thickBot="1" x14ac:dyDescent="0.4">
      <c r="C147" s="12" t="str" cm="1">
        <f t="array" ref="C147">INDEX('List Values'!$B$2:$B$20,(1+ROUNDDOWN((ROW()-ROW($C$125))*1/6,2)))</f>
        <v>Incorporation into Adhesives and Sealants (Solid)</v>
      </c>
      <c r="D147" s="307" t="s">
        <v>94</v>
      </c>
      <c r="E147" s="374" t="s">
        <v>92</v>
      </c>
      <c r="F147" s="309">
        <f t="shared" si="20"/>
        <v>285.71428571428572</v>
      </c>
      <c r="G147" s="309">
        <f t="shared" si="20"/>
        <v>389.61038961038963</v>
      </c>
      <c r="H147" s="309">
        <f t="shared" si="20"/>
        <v>417.14285714285722</v>
      </c>
      <c r="I147" s="264">
        <f t="shared" si="15"/>
        <v>0</v>
      </c>
      <c r="J147" s="309">
        <f t="shared" si="21"/>
        <v>4023.0116265036013</v>
      </c>
      <c r="K147" s="309">
        <f t="shared" si="21"/>
        <v>5485.9249452321828</v>
      </c>
      <c r="L147" s="309">
        <f t="shared" si="21"/>
        <v>5873.5969746952587</v>
      </c>
      <c r="M147" s="264">
        <f t="shared" si="17"/>
        <v>0</v>
      </c>
      <c r="N147" s="370">
        <f t="shared" si="22"/>
        <v>266.76839434771131</v>
      </c>
      <c r="O147" s="370">
        <f t="shared" si="22"/>
        <v>363.77508320142448</v>
      </c>
      <c r="P147" s="370">
        <f t="shared" si="22"/>
        <v>389.48185574765853</v>
      </c>
      <c r="Q147" s="264">
        <f t="shared" si="19"/>
        <v>0</v>
      </c>
      <c r="AE147" s="3"/>
      <c r="AL147" s="12"/>
    </row>
    <row r="148" spans="3:38" ht="13.5" thickBot="1" x14ac:dyDescent="0.4">
      <c r="C148" s="12" t="str" cm="1">
        <f t="array" ref="C148">INDEX('List Values'!$B$2:$B$20,(1+ROUNDDOWN((ROW()-ROW($C$125))*1/6,2)))</f>
        <v>Incorporation into Adhesives and Sealants (Solid)</v>
      </c>
      <c r="D148" s="307" t="s">
        <v>94</v>
      </c>
      <c r="E148" s="307" t="s">
        <v>93</v>
      </c>
      <c r="F148" s="309">
        <f t="shared" si="20"/>
        <v>285.71428571428572</v>
      </c>
      <c r="G148" s="309">
        <f t="shared" si="20"/>
        <v>389.61038961038963</v>
      </c>
      <c r="H148" s="309">
        <f t="shared" si="20"/>
        <v>417.14285714285722</v>
      </c>
      <c r="I148" s="264">
        <f t="shared" si="15"/>
        <v>0</v>
      </c>
      <c r="J148" s="309">
        <f t="shared" si="21"/>
        <v>4023.0116265036013</v>
      </c>
      <c r="K148" s="309">
        <f t="shared" si="21"/>
        <v>5485.9249452321828</v>
      </c>
      <c r="L148" s="309">
        <f t="shared" si="21"/>
        <v>5873.5969746952569</v>
      </c>
      <c r="M148" s="264">
        <f t="shared" si="17"/>
        <v>0</v>
      </c>
      <c r="N148" s="370">
        <f t="shared" si="22"/>
        <v>266.76839434771131</v>
      </c>
      <c r="O148" s="370">
        <f t="shared" si="22"/>
        <v>363.77508320142448</v>
      </c>
      <c r="P148" s="370">
        <f t="shared" si="22"/>
        <v>389.48185574765847</v>
      </c>
      <c r="Q148" s="264">
        <f t="shared" si="19"/>
        <v>0</v>
      </c>
      <c r="AE148" s="3"/>
      <c r="AL148" s="12"/>
    </row>
    <row r="149" spans="3:38" ht="13.5" thickBot="1" x14ac:dyDescent="0.4">
      <c r="C149" s="12" t="str" cm="1">
        <f t="array" ref="C149">INDEX('List Values'!$B$2:$B$20,(1+ROUNDDOWN((ROW()-ROW($C$125))*1/6,2)))</f>
        <v>Incorporation into Adhesives and Sealants (Liquid)</v>
      </c>
      <c r="D149" s="307" t="s">
        <v>214</v>
      </c>
      <c r="E149" s="374" t="s">
        <v>92</v>
      </c>
      <c r="F149" s="309">
        <f t="shared" si="20"/>
        <v>960</v>
      </c>
      <c r="G149" s="309">
        <f t="shared" si="20"/>
        <v>1309.090909090909</v>
      </c>
      <c r="H149" s="309">
        <f t="shared" si="20"/>
        <v>1401.6000000000001</v>
      </c>
      <c r="I149" s="264">
        <f t="shared" si="15"/>
        <v>0</v>
      </c>
      <c r="J149" s="309">
        <f t="shared" si="21"/>
        <v>180.88634308109738</v>
      </c>
      <c r="K149" s="309">
        <f t="shared" si="21"/>
        <v>246.66319511058737</v>
      </c>
      <c r="L149" s="309">
        <f t="shared" si="21"/>
        <v>264.09406089840223</v>
      </c>
      <c r="M149" s="264">
        <f t="shared" si="17"/>
        <v>0</v>
      </c>
      <c r="N149" s="370">
        <f t="shared" si="22"/>
        <v>152.20700152207002</v>
      </c>
      <c r="O149" s="370">
        <f t="shared" si="22"/>
        <v>207.55500207555005</v>
      </c>
      <c r="P149" s="370">
        <f t="shared" si="22"/>
        <v>222.22222222222226</v>
      </c>
      <c r="Q149" s="264">
        <f t="shared" si="19"/>
        <v>0</v>
      </c>
      <c r="AE149" s="3"/>
      <c r="AL149" s="12"/>
    </row>
    <row r="150" spans="3:38" ht="13.5" thickBot="1" x14ac:dyDescent="0.4">
      <c r="C150" s="12" t="str" cm="1">
        <f t="array" ref="C150">INDEX('List Values'!$B$2:$B$20,(1+ROUNDDOWN((ROW()-ROW($C$125))*1/6,2)))</f>
        <v>Incorporation into Adhesives and Sealants (Liquid)</v>
      </c>
      <c r="D150" s="307" t="s">
        <v>214</v>
      </c>
      <c r="E150" s="307" t="s">
        <v>93</v>
      </c>
      <c r="F150" s="309">
        <f t="shared" si="20"/>
        <v>1920</v>
      </c>
      <c r="G150" s="309">
        <f t="shared" si="20"/>
        <v>2618.181818181818</v>
      </c>
      <c r="H150" s="309">
        <f t="shared" si="20"/>
        <v>2803.2000000000003</v>
      </c>
      <c r="I150" s="264">
        <f t="shared" si="15"/>
        <v>0</v>
      </c>
      <c r="J150" s="309">
        <f t="shared" si="21"/>
        <v>361.77268616219476</v>
      </c>
      <c r="K150" s="309">
        <f t="shared" si="21"/>
        <v>493.32639022117473</v>
      </c>
      <c r="L150" s="309">
        <f t="shared" si="21"/>
        <v>528.18812179680447</v>
      </c>
      <c r="M150" s="264">
        <f t="shared" si="17"/>
        <v>0</v>
      </c>
      <c r="N150" s="370">
        <f t="shared" si="22"/>
        <v>304.41400304414003</v>
      </c>
      <c r="O150" s="370">
        <f t="shared" si="22"/>
        <v>415.1100041511001</v>
      </c>
      <c r="P150" s="370">
        <f t="shared" si="22"/>
        <v>444.44444444444457</v>
      </c>
      <c r="Q150" s="264">
        <f t="shared" si="19"/>
        <v>0</v>
      </c>
      <c r="AE150" s="3"/>
      <c r="AL150" s="12"/>
    </row>
    <row r="151" spans="3:38" ht="13.5" thickBot="1" x14ac:dyDescent="0.4">
      <c r="C151" s="12" t="str" cm="1">
        <f t="array" ref="C151">INDEX('List Values'!$B$2:$B$20,(1+ROUNDDOWN((ROW()-ROW($C$125))*1/6,2)))</f>
        <v>Incorporation into Adhesives and Sealants (Liquid)</v>
      </c>
      <c r="D151" s="307" t="s">
        <v>74</v>
      </c>
      <c r="E151" s="374" t="s">
        <v>92</v>
      </c>
      <c r="F151" s="309">
        <f t="shared" si="20"/>
        <v>869.10000000000014</v>
      </c>
      <c r="G151" s="309">
        <f t="shared" si="20"/>
        <v>1185.136363636364</v>
      </c>
      <c r="H151" s="309">
        <f t="shared" si="20"/>
        <v>1268.886</v>
      </c>
      <c r="I151" s="264">
        <f t="shared" si="15"/>
        <v>0</v>
      </c>
      <c r="J151" s="309">
        <f t="shared" si="21"/>
        <v>196.81043856469739</v>
      </c>
      <c r="K151" s="309">
        <f t="shared" si="21"/>
        <v>268.37787077004185</v>
      </c>
      <c r="L151" s="309">
        <f t="shared" si="21"/>
        <v>287.34324030445816</v>
      </c>
      <c r="M151" s="264">
        <f t="shared" si="17"/>
        <v>0</v>
      </c>
      <c r="N151" s="370">
        <f t="shared" si="22"/>
        <v>160.47122344247165</v>
      </c>
      <c r="O151" s="370">
        <f t="shared" si="22"/>
        <v>218.82439560337042</v>
      </c>
      <c r="P151" s="370">
        <f t="shared" si="22"/>
        <v>234.28798622600857</v>
      </c>
      <c r="Q151" s="264">
        <f t="shared" si="19"/>
        <v>0</v>
      </c>
      <c r="AE151" s="3"/>
      <c r="AL151" s="12"/>
    </row>
    <row r="152" spans="3:38" ht="13.5" thickBot="1" x14ac:dyDescent="0.4">
      <c r="C152" s="12" t="str" cm="1">
        <f t="array" ref="C152">INDEX('List Values'!$B$2:$B$20,(1+ROUNDDOWN((ROW()-ROW($C$125))*1/6,2)))</f>
        <v>Incorporation into Adhesives and Sealants (Liquid)</v>
      </c>
      <c r="D152" s="307" t="s">
        <v>74</v>
      </c>
      <c r="E152" s="307" t="s">
        <v>93</v>
      </c>
      <c r="F152" s="309">
        <f t="shared" si="20"/>
        <v>1738.2000000000003</v>
      </c>
      <c r="G152" s="309">
        <f t="shared" si="20"/>
        <v>2370.2727272727279</v>
      </c>
      <c r="H152" s="309">
        <f t="shared" si="20"/>
        <v>2537.7719999999999</v>
      </c>
      <c r="I152" s="264">
        <f t="shared" si="15"/>
        <v>0</v>
      </c>
      <c r="J152" s="309">
        <f t="shared" si="21"/>
        <v>393.62087712939478</v>
      </c>
      <c r="K152" s="309">
        <f t="shared" si="21"/>
        <v>536.7557415400837</v>
      </c>
      <c r="L152" s="309">
        <f t="shared" si="21"/>
        <v>574.68648060891633</v>
      </c>
      <c r="M152" s="264">
        <f t="shared" si="17"/>
        <v>0</v>
      </c>
      <c r="N152" s="370">
        <f t="shared" si="22"/>
        <v>320.94244688494331</v>
      </c>
      <c r="O152" s="370">
        <f t="shared" si="22"/>
        <v>437.64879120674084</v>
      </c>
      <c r="P152" s="370">
        <f t="shared" si="22"/>
        <v>468.57597245201714</v>
      </c>
      <c r="Q152" s="264">
        <f t="shared" si="19"/>
        <v>0</v>
      </c>
      <c r="AE152" s="3"/>
      <c r="AL152" s="12"/>
    </row>
    <row r="153" spans="3:38" ht="13.5" thickBot="1" x14ac:dyDescent="0.4">
      <c r="C153" s="12" t="str" cm="1">
        <f t="array" ref="C153">INDEX('List Values'!$B$2:$B$20,(1+ROUNDDOWN((ROW()-ROW($C$125))*1/6,2)))</f>
        <v>Incorporation into Adhesives and Sealants (Liquid)</v>
      </c>
      <c r="D153" s="307" t="s">
        <v>94</v>
      </c>
      <c r="E153" s="374" t="s">
        <v>92</v>
      </c>
      <c r="F153" s="309">
        <f t="shared" si="20"/>
        <v>1920</v>
      </c>
      <c r="G153" s="309">
        <f t="shared" si="20"/>
        <v>2618.181818181818</v>
      </c>
      <c r="H153" s="309">
        <f t="shared" si="20"/>
        <v>2803.2000000000003</v>
      </c>
      <c r="I153" s="264">
        <f t="shared" si="15"/>
        <v>0</v>
      </c>
      <c r="J153" s="309" t="str">
        <f t="shared" si="21"/>
        <v/>
      </c>
      <c r="K153" s="309" t="str">
        <f t="shared" si="21"/>
        <v/>
      </c>
      <c r="L153" s="309" t="str">
        <f t="shared" si="21"/>
        <v/>
      </c>
      <c r="M153" s="264">
        <f t="shared" si="17"/>
        <v>0</v>
      </c>
      <c r="N153" s="370">
        <f t="shared" si="22"/>
        <v>1920</v>
      </c>
      <c r="O153" s="370">
        <f t="shared" si="22"/>
        <v>2618.181818181818</v>
      </c>
      <c r="P153" s="370">
        <f t="shared" si="22"/>
        <v>2803.2000000000003</v>
      </c>
      <c r="Q153" s="264">
        <f t="shared" si="19"/>
        <v>0</v>
      </c>
      <c r="AE153" s="3"/>
      <c r="AL153" s="12"/>
    </row>
    <row r="154" spans="3:38" ht="13.5" thickBot="1" x14ac:dyDescent="0.4">
      <c r="C154" s="12" t="str" cm="1">
        <f t="array" ref="C154">INDEX('List Values'!$B$2:$B$20,(1+ROUNDDOWN((ROW()-ROW($C$125))*1/6,2)))</f>
        <v>Incorporation into Adhesives and Sealants (Liquid)</v>
      </c>
      <c r="D154" s="307" t="s">
        <v>94</v>
      </c>
      <c r="E154" s="307" t="s">
        <v>93</v>
      </c>
      <c r="F154" s="309">
        <f t="shared" si="20"/>
        <v>1920</v>
      </c>
      <c r="G154" s="309">
        <f t="shared" si="20"/>
        <v>2618.181818181818</v>
      </c>
      <c r="H154" s="309">
        <f t="shared" si="20"/>
        <v>2803.2000000000003</v>
      </c>
      <c r="I154" s="264">
        <f t="shared" si="15"/>
        <v>0</v>
      </c>
      <c r="J154" s="309" t="str">
        <f t="shared" si="21"/>
        <v/>
      </c>
      <c r="K154" s="309" t="str">
        <f t="shared" si="21"/>
        <v/>
      </c>
      <c r="L154" s="309" t="str">
        <f t="shared" si="21"/>
        <v/>
      </c>
      <c r="M154" s="264">
        <f t="shared" si="17"/>
        <v>0</v>
      </c>
      <c r="N154" s="370">
        <f t="shared" si="22"/>
        <v>1920</v>
      </c>
      <c r="O154" s="370">
        <f t="shared" si="22"/>
        <v>2618.181818181818</v>
      </c>
      <c r="P154" s="370">
        <f t="shared" si="22"/>
        <v>2803.2000000000003</v>
      </c>
      <c r="Q154" s="264">
        <f t="shared" si="19"/>
        <v>0</v>
      </c>
      <c r="AE154" s="3"/>
      <c r="AL154" s="12"/>
    </row>
    <row r="155" spans="3:38" ht="13.5" thickBot="1" x14ac:dyDescent="0.4">
      <c r="C155" s="12" t="str" cm="1">
        <f t="array" ref="C155">INDEX('List Values'!$B$2:$B$20,(1+ROUNDDOWN((ROW()-ROW($C$125))*1/6,2)))</f>
        <v>Incorporation into Paints and Coatings (Liquid)</v>
      </c>
      <c r="D155" s="307" t="s">
        <v>214</v>
      </c>
      <c r="E155" s="374" t="s">
        <v>92</v>
      </c>
      <c r="F155" s="309">
        <f t="shared" si="20"/>
        <v>960</v>
      </c>
      <c r="G155" s="309">
        <f t="shared" si="20"/>
        <v>1309.090909090909</v>
      </c>
      <c r="H155" s="309">
        <f t="shared" si="20"/>
        <v>1401.6000000000001</v>
      </c>
      <c r="I155" s="264">
        <f t="shared" si="15"/>
        <v>0</v>
      </c>
      <c r="J155" s="309">
        <f t="shared" si="21"/>
        <v>180.88634308109738</v>
      </c>
      <c r="K155" s="309">
        <f t="shared" si="21"/>
        <v>246.66319511058737</v>
      </c>
      <c r="L155" s="309">
        <f t="shared" si="21"/>
        <v>264.09406089840223</v>
      </c>
      <c r="M155" s="264">
        <f t="shared" si="17"/>
        <v>0</v>
      </c>
      <c r="N155" s="370">
        <f t="shared" si="22"/>
        <v>152.20700152207002</v>
      </c>
      <c r="O155" s="370">
        <f t="shared" si="22"/>
        <v>207.55500207555005</v>
      </c>
      <c r="P155" s="370">
        <f t="shared" si="22"/>
        <v>222.22222222222226</v>
      </c>
      <c r="Q155" s="264">
        <f t="shared" si="19"/>
        <v>0</v>
      </c>
      <c r="AE155" s="3"/>
      <c r="AL155" s="12"/>
    </row>
    <row r="156" spans="3:38" ht="13.5" thickBot="1" x14ac:dyDescent="0.4">
      <c r="C156" s="12" t="str" cm="1">
        <f t="array" ref="C156">INDEX('List Values'!$B$2:$B$20,(1+ROUNDDOWN((ROW()-ROW($C$125))*1/6,2)))</f>
        <v>Incorporation into Paints and Coatings (Liquid)</v>
      </c>
      <c r="D156" s="307" t="s">
        <v>214</v>
      </c>
      <c r="E156" s="307" t="s">
        <v>93</v>
      </c>
      <c r="F156" s="309">
        <f t="shared" si="20"/>
        <v>1920</v>
      </c>
      <c r="G156" s="309">
        <f t="shared" si="20"/>
        <v>2618.181818181818</v>
      </c>
      <c r="H156" s="309">
        <f t="shared" si="20"/>
        <v>2803.2000000000003</v>
      </c>
      <c r="I156" s="264">
        <f t="shared" si="15"/>
        <v>0</v>
      </c>
      <c r="J156" s="309">
        <f t="shared" si="21"/>
        <v>361.77268616219476</v>
      </c>
      <c r="K156" s="309">
        <f t="shared" si="21"/>
        <v>493.32639022117473</v>
      </c>
      <c r="L156" s="309">
        <f t="shared" si="21"/>
        <v>528.18812179680447</v>
      </c>
      <c r="M156" s="264">
        <f t="shared" si="17"/>
        <v>0</v>
      </c>
      <c r="N156" s="370">
        <f t="shared" si="22"/>
        <v>304.41400304414003</v>
      </c>
      <c r="O156" s="370">
        <f t="shared" si="22"/>
        <v>415.1100041511001</v>
      </c>
      <c r="P156" s="370">
        <f t="shared" si="22"/>
        <v>444.44444444444457</v>
      </c>
      <c r="Q156" s="264">
        <f t="shared" si="19"/>
        <v>0</v>
      </c>
      <c r="AE156" s="3"/>
      <c r="AL156" s="12"/>
    </row>
    <row r="157" spans="3:38" ht="13.5" thickBot="1" x14ac:dyDescent="0.4">
      <c r="C157" s="12" t="str" cm="1">
        <f t="array" ref="C157">INDEX('List Values'!$B$2:$B$20,(1+ROUNDDOWN((ROW()-ROW($C$125))*1/6,2)))</f>
        <v>Incorporation into Paints and Coatings (Liquid)</v>
      </c>
      <c r="D157" s="307" t="s">
        <v>74</v>
      </c>
      <c r="E157" s="374" t="s">
        <v>92</v>
      </c>
      <c r="F157" s="309">
        <f t="shared" si="20"/>
        <v>869.10000000000014</v>
      </c>
      <c r="G157" s="309">
        <f t="shared" si="20"/>
        <v>1185.136363636364</v>
      </c>
      <c r="H157" s="309">
        <f t="shared" si="20"/>
        <v>1268.886</v>
      </c>
      <c r="I157" s="264">
        <f t="shared" ref="I157:I188" si="23">I$123*J37</f>
        <v>0</v>
      </c>
      <c r="J157" s="309">
        <f t="shared" si="21"/>
        <v>196.81043856469739</v>
      </c>
      <c r="K157" s="309">
        <f t="shared" si="21"/>
        <v>268.37787077004185</v>
      </c>
      <c r="L157" s="309">
        <f t="shared" si="21"/>
        <v>287.34324030445816</v>
      </c>
      <c r="M157" s="264">
        <f t="shared" ref="M157:M188" si="24">IFERROR(M$123*N37,"")</f>
        <v>0</v>
      </c>
      <c r="N157" s="370">
        <f t="shared" si="22"/>
        <v>160.47122344247165</v>
      </c>
      <c r="O157" s="370">
        <f t="shared" si="22"/>
        <v>218.82439560337042</v>
      </c>
      <c r="P157" s="370">
        <f t="shared" si="22"/>
        <v>234.28798622600857</v>
      </c>
      <c r="Q157" s="264">
        <f t="shared" ref="Q157:Q188" si="25">Q$123*R37</f>
        <v>0</v>
      </c>
      <c r="AE157" s="3"/>
      <c r="AL157" s="12"/>
    </row>
    <row r="158" spans="3:38" ht="13.5" thickBot="1" x14ac:dyDescent="0.4">
      <c r="C158" s="12" t="str" cm="1">
        <f t="array" ref="C158">INDEX('List Values'!$B$2:$B$20,(1+ROUNDDOWN((ROW()-ROW($C$125))*1/6,2)))</f>
        <v>Incorporation into Paints and Coatings (Liquid)</v>
      </c>
      <c r="D158" s="307" t="s">
        <v>74</v>
      </c>
      <c r="E158" s="307" t="s">
        <v>93</v>
      </c>
      <c r="F158" s="309">
        <f t="shared" si="20"/>
        <v>1738.2000000000003</v>
      </c>
      <c r="G158" s="309">
        <f t="shared" si="20"/>
        <v>2370.2727272727279</v>
      </c>
      <c r="H158" s="309">
        <f t="shared" si="20"/>
        <v>2537.7719999999999</v>
      </c>
      <c r="I158" s="264">
        <f t="shared" si="23"/>
        <v>0</v>
      </c>
      <c r="J158" s="309">
        <f t="shared" si="21"/>
        <v>393.62087712939478</v>
      </c>
      <c r="K158" s="309">
        <f t="shared" si="21"/>
        <v>536.7557415400837</v>
      </c>
      <c r="L158" s="309">
        <f t="shared" si="21"/>
        <v>574.68648060891633</v>
      </c>
      <c r="M158" s="264">
        <f t="shared" si="24"/>
        <v>0</v>
      </c>
      <c r="N158" s="370">
        <f t="shared" si="22"/>
        <v>320.94244688494331</v>
      </c>
      <c r="O158" s="370">
        <f t="shared" si="22"/>
        <v>437.64879120674084</v>
      </c>
      <c r="P158" s="370">
        <f t="shared" si="22"/>
        <v>468.57597245201714</v>
      </c>
      <c r="Q158" s="264">
        <f t="shared" si="25"/>
        <v>0</v>
      </c>
      <c r="AE158" s="3"/>
      <c r="AL158" s="12"/>
    </row>
    <row r="159" spans="3:38" ht="13.5" thickBot="1" x14ac:dyDescent="0.4">
      <c r="C159" s="12" t="str" cm="1">
        <f t="array" ref="C159">INDEX('List Values'!$B$2:$B$20,(1+ROUNDDOWN((ROW()-ROW($C$125))*1/6,2)))</f>
        <v>Incorporation into Paints and Coatings (Liquid)</v>
      </c>
      <c r="D159" s="307" t="s">
        <v>94</v>
      </c>
      <c r="E159" s="374" t="s">
        <v>92</v>
      </c>
      <c r="F159" s="309">
        <f t="shared" si="20"/>
        <v>1920</v>
      </c>
      <c r="G159" s="309">
        <f t="shared" si="20"/>
        <v>2618.181818181818</v>
      </c>
      <c r="H159" s="309">
        <f t="shared" si="20"/>
        <v>2803.2000000000003</v>
      </c>
      <c r="I159" s="264">
        <f t="shared" si="23"/>
        <v>0</v>
      </c>
      <c r="J159" s="309" t="str">
        <f t="shared" si="21"/>
        <v/>
      </c>
      <c r="K159" s="309" t="str">
        <f t="shared" si="21"/>
        <v/>
      </c>
      <c r="L159" s="309" t="str">
        <f t="shared" si="21"/>
        <v/>
      </c>
      <c r="M159" s="264">
        <f t="shared" si="24"/>
        <v>0</v>
      </c>
      <c r="N159" s="370">
        <f t="shared" si="22"/>
        <v>1920</v>
      </c>
      <c r="O159" s="370">
        <f t="shared" si="22"/>
        <v>2618.181818181818</v>
      </c>
      <c r="P159" s="370">
        <f t="shared" si="22"/>
        <v>2803.2000000000003</v>
      </c>
      <c r="Q159" s="264">
        <f t="shared" si="25"/>
        <v>0</v>
      </c>
      <c r="AE159" s="3"/>
      <c r="AL159" s="12"/>
    </row>
    <row r="160" spans="3:38" ht="13.5" thickBot="1" x14ac:dyDescent="0.4">
      <c r="C160" s="12" t="str" cm="1">
        <f t="array" ref="C160">INDEX('List Values'!$B$2:$B$20,(1+ROUNDDOWN((ROW()-ROW($C$125))*1/6,2)))</f>
        <v>Incorporation into Paints and Coatings (Liquid)</v>
      </c>
      <c r="D160" s="307" t="s">
        <v>94</v>
      </c>
      <c r="E160" s="307" t="s">
        <v>93</v>
      </c>
      <c r="F160" s="309">
        <f t="shared" si="20"/>
        <v>1920</v>
      </c>
      <c r="G160" s="309">
        <f t="shared" si="20"/>
        <v>2618.181818181818</v>
      </c>
      <c r="H160" s="309">
        <f t="shared" si="20"/>
        <v>2803.2000000000003</v>
      </c>
      <c r="I160" s="264">
        <f t="shared" si="23"/>
        <v>0</v>
      </c>
      <c r="J160" s="309" t="str">
        <f t="shared" si="21"/>
        <v/>
      </c>
      <c r="K160" s="309" t="str">
        <f t="shared" si="21"/>
        <v/>
      </c>
      <c r="L160" s="309" t="str">
        <f t="shared" si="21"/>
        <v/>
      </c>
      <c r="M160" s="264">
        <f t="shared" si="24"/>
        <v>0</v>
      </c>
      <c r="N160" s="370">
        <f t="shared" si="22"/>
        <v>1920</v>
      </c>
      <c r="O160" s="370">
        <f t="shared" si="22"/>
        <v>2618.181818181818</v>
      </c>
      <c r="P160" s="370">
        <f t="shared" si="22"/>
        <v>2803.2000000000003</v>
      </c>
      <c r="Q160" s="264">
        <f t="shared" si="25"/>
        <v>0</v>
      </c>
      <c r="AE160" s="3"/>
      <c r="AL160" s="12"/>
    </row>
    <row r="161" spans="3:38" ht="13.5" thickBot="1" x14ac:dyDescent="0.4">
      <c r="C161" s="12" t="str" cm="1">
        <f t="array" ref="C161">INDEX('List Values'!$B$2:$B$20,(1+ROUNDDOWN((ROW()-ROW($C$125))*1/6,2)))</f>
        <v>Incorporation into Other Formulations, Mixtures, or Reaction Products (Liquid)</v>
      </c>
      <c r="D161" s="307" t="s">
        <v>214</v>
      </c>
      <c r="E161" s="374" t="s">
        <v>92</v>
      </c>
      <c r="F161" s="309">
        <f t="shared" si="20"/>
        <v>960</v>
      </c>
      <c r="G161" s="309">
        <f t="shared" si="20"/>
        <v>1309.090909090909</v>
      </c>
      <c r="H161" s="309">
        <f t="shared" si="20"/>
        <v>1401.6000000000001</v>
      </c>
      <c r="I161" s="264">
        <f t="shared" si="23"/>
        <v>0</v>
      </c>
      <c r="J161" s="309">
        <f t="shared" si="21"/>
        <v>180.88634308109738</v>
      </c>
      <c r="K161" s="309">
        <f t="shared" si="21"/>
        <v>246.66319511058737</v>
      </c>
      <c r="L161" s="309">
        <f t="shared" si="21"/>
        <v>264.09406089840223</v>
      </c>
      <c r="M161" s="264">
        <f t="shared" si="24"/>
        <v>0</v>
      </c>
      <c r="N161" s="370">
        <f t="shared" si="22"/>
        <v>152.20700152207002</v>
      </c>
      <c r="O161" s="370">
        <f t="shared" si="22"/>
        <v>207.55500207555005</v>
      </c>
      <c r="P161" s="370">
        <f t="shared" si="22"/>
        <v>222.22222222222226</v>
      </c>
      <c r="Q161" s="264">
        <f t="shared" si="25"/>
        <v>0</v>
      </c>
      <c r="AE161" s="3"/>
      <c r="AL161" s="12"/>
    </row>
    <row r="162" spans="3:38" ht="13.5" thickBot="1" x14ac:dyDescent="0.4">
      <c r="C162" s="12" t="str" cm="1">
        <f t="array" ref="C162">INDEX('List Values'!$B$2:$B$20,(1+ROUNDDOWN((ROW()-ROW($C$125))*1/6,2)))</f>
        <v>Incorporation into Other Formulations, Mixtures, or Reaction Products (Liquid)</v>
      </c>
      <c r="D162" s="307" t="s">
        <v>214</v>
      </c>
      <c r="E162" s="307" t="s">
        <v>93</v>
      </c>
      <c r="F162" s="309">
        <f t="shared" si="20"/>
        <v>1920</v>
      </c>
      <c r="G162" s="309">
        <f t="shared" si="20"/>
        <v>2618.181818181818</v>
      </c>
      <c r="H162" s="309">
        <f t="shared" si="20"/>
        <v>2803.2000000000003</v>
      </c>
      <c r="I162" s="264">
        <f t="shared" si="23"/>
        <v>0</v>
      </c>
      <c r="J162" s="309">
        <f t="shared" si="21"/>
        <v>361.77268616219476</v>
      </c>
      <c r="K162" s="309">
        <f t="shared" si="21"/>
        <v>493.32639022117473</v>
      </c>
      <c r="L162" s="309">
        <f t="shared" si="21"/>
        <v>528.18812179680447</v>
      </c>
      <c r="M162" s="264">
        <f t="shared" si="24"/>
        <v>0</v>
      </c>
      <c r="N162" s="370">
        <f t="shared" si="22"/>
        <v>304.41400304414003</v>
      </c>
      <c r="O162" s="370">
        <f t="shared" si="22"/>
        <v>415.1100041511001</v>
      </c>
      <c r="P162" s="370">
        <f t="shared" si="22"/>
        <v>444.44444444444457</v>
      </c>
      <c r="Q162" s="264">
        <f t="shared" si="25"/>
        <v>0</v>
      </c>
      <c r="AE162" s="3"/>
      <c r="AL162" s="12"/>
    </row>
    <row r="163" spans="3:38" ht="13.5" thickBot="1" x14ac:dyDescent="0.4">
      <c r="C163" s="12" t="str" cm="1">
        <f t="array" ref="C163">INDEX('List Values'!$B$2:$B$20,(1+ROUNDDOWN((ROW()-ROW($C$125))*1/6,2)))</f>
        <v>Incorporation into Other Formulations, Mixtures, or Reaction Products (Liquid)</v>
      </c>
      <c r="D163" s="307" t="s">
        <v>74</v>
      </c>
      <c r="E163" s="374" t="s">
        <v>92</v>
      </c>
      <c r="F163" s="309">
        <f t="shared" si="20"/>
        <v>869.10000000000014</v>
      </c>
      <c r="G163" s="309">
        <f t="shared" si="20"/>
        <v>1185.136363636364</v>
      </c>
      <c r="H163" s="309">
        <f t="shared" si="20"/>
        <v>1268.886</v>
      </c>
      <c r="I163" s="264">
        <f t="shared" si="23"/>
        <v>0</v>
      </c>
      <c r="J163" s="309">
        <f t="shared" si="21"/>
        <v>196.81043856469739</v>
      </c>
      <c r="K163" s="309">
        <f t="shared" si="21"/>
        <v>268.37787077004185</v>
      </c>
      <c r="L163" s="309">
        <f t="shared" si="21"/>
        <v>287.34324030445816</v>
      </c>
      <c r="M163" s="264">
        <f t="shared" si="24"/>
        <v>0</v>
      </c>
      <c r="N163" s="370">
        <f t="shared" si="22"/>
        <v>160.47122344247165</v>
      </c>
      <c r="O163" s="370">
        <f t="shared" si="22"/>
        <v>218.82439560337042</v>
      </c>
      <c r="P163" s="370">
        <f t="shared" si="22"/>
        <v>234.28798622600857</v>
      </c>
      <c r="Q163" s="264">
        <f t="shared" si="25"/>
        <v>0</v>
      </c>
      <c r="AE163" s="3"/>
      <c r="AL163" s="12"/>
    </row>
    <row r="164" spans="3:38" ht="13.5" thickBot="1" x14ac:dyDescent="0.4">
      <c r="C164" s="12" t="str" cm="1">
        <f t="array" ref="C164">INDEX('List Values'!$B$2:$B$20,(1+ROUNDDOWN((ROW()-ROW($C$125))*1/6,2)))</f>
        <v>Incorporation into Other Formulations, Mixtures, or Reaction Products (Liquid)</v>
      </c>
      <c r="D164" s="307" t="s">
        <v>74</v>
      </c>
      <c r="E164" s="307" t="s">
        <v>93</v>
      </c>
      <c r="F164" s="309">
        <f t="shared" si="20"/>
        <v>1738.2000000000003</v>
      </c>
      <c r="G164" s="309">
        <f t="shared" si="20"/>
        <v>2370.2727272727279</v>
      </c>
      <c r="H164" s="309">
        <f t="shared" si="20"/>
        <v>2537.7719999999999</v>
      </c>
      <c r="I164" s="264">
        <f t="shared" si="23"/>
        <v>0</v>
      </c>
      <c r="J164" s="309">
        <f t="shared" si="21"/>
        <v>393.62087712939478</v>
      </c>
      <c r="K164" s="309">
        <f t="shared" si="21"/>
        <v>536.7557415400837</v>
      </c>
      <c r="L164" s="309">
        <f t="shared" si="21"/>
        <v>574.68648060891633</v>
      </c>
      <c r="M164" s="264">
        <f t="shared" si="24"/>
        <v>0</v>
      </c>
      <c r="N164" s="370">
        <f t="shared" si="22"/>
        <v>320.94244688494331</v>
      </c>
      <c r="O164" s="370">
        <f t="shared" si="22"/>
        <v>437.64879120674084</v>
      </c>
      <c r="P164" s="370">
        <f t="shared" si="22"/>
        <v>468.57597245201714</v>
      </c>
      <c r="Q164" s="264">
        <f t="shared" si="25"/>
        <v>0</v>
      </c>
      <c r="AE164" s="3"/>
      <c r="AL164" s="12"/>
    </row>
    <row r="165" spans="3:38" ht="13.5" thickBot="1" x14ac:dyDescent="0.4">
      <c r="C165" s="12" t="str" cm="1">
        <f t="array" ref="C165">INDEX('List Values'!$B$2:$B$20,(1+ROUNDDOWN((ROW()-ROW($C$125))*1/6,2)))</f>
        <v>Incorporation into Other Formulations, Mixtures, or Reaction Products (Liquid)</v>
      </c>
      <c r="D165" s="307" t="s">
        <v>94</v>
      </c>
      <c r="E165" s="374" t="s">
        <v>92</v>
      </c>
      <c r="F165" s="309">
        <f t="shared" ref="F165:H184" si="26">F$123/G45</f>
        <v>1920</v>
      </c>
      <c r="G165" s="309">
        <f t="shared" si="26"/>
        <v>2618.181818181818</v>
      </c>
      <c r="H165" s="309">
        <f t="shared" si="26"/>
        <v>2803.2000000000003</v>
      </c>
      <c r="I165" s="264">
        <f t="shared" si="23"/>
        <v>0</v>
      </c>
      <c r="J165" s="309" t="str">
        <f t="shared" ref="J165:L184" si="27">IFERROR(J$123/K45,"")</f>
        <v/>
      </c>
      <c r="K165" s="309" t="str">
        <f t="shared" si="27"/>
        <v/>
      </c>
      <c r="L165" s="309" t="str">
        <f t="shared" si="27"/>
        <v/>
      </c>
      <c r="M165" s="264">
        <f t="shared" si="24"/>
        <v>0</v>
      </c>
      <c r="N165" s="370">
        <f t="shared" ref="N165:P184" si="28">N$123/O45</f>
        <v>1920</v>
      </c>
      <c r="O165" s="370">
        <f t="shared" si="28"/>
        <v>2618.181818181818</v>
      </c>
      <c r="P165" s="370">
        <f t="shared" si="28"/>
        <v>2803.2000000000003</v>
      </c>
      <c r="Q165" s="264">
        <f t="shared" si="25"/>
        <v>0</v>
      </c>
      <c r="AE165" s="3"/>
      <c r="AL165" s="12"/>
    </row>
    <row r="166" spans="3:38" ht="13.5" thickBot="1" x14ac:dyDescent="0.4">
      <c r="C166" s="12" t="str" cm="1">
        <f t="array" ref="C166">INDEX('List Values'!$B$2:$B$20,(1+ROUNDDOWN((ROW()-ROW($C$125))*1/6,2)))</f>
        <v>Incorporation into Other Formulations, Mixtures, or Reaction Products (Liquid)</v>
      </c>
      <c r="D166" s="307" t="s">
        <v>94</v>
      </c>
      <c r="E166" s="307" t="s">
        <v>93</v>
      </c>
      <c r="F166" s="309">
        <f t="shared" si="26"/>
        <v>1920</v>
      </c>
      <c r="G166" s="309">
        <f t="shared" si="26"/>
        <v>2618.181818181818</v>
      </c>
      <c r="H166" s="309">
        <f t="shared" si="26"/>
        <v>2803.2000000000003</v>
      </c>
      <c r="I166" s="264">
        <f t="shared" si="23"/>
        <v>0</v>
      </c>
      <c r="J166" s="309" t="str">
        <f t="shared" si="27"/>
        <v/>
      </c>
      <c r="K166" s="309" t="str">
        <f t="shared" si="27"/>
        <v/>
      </c>
      <c r="L166" s="309" t="str">
        <f t="shared" si="27"/>
        <v/>
      </c>
      <c r="M166" s="264">
        <f t="shared" si="24"/>
        <v>0</v>
      </c>
      <c r="N166" s="370">
        <f t="shared" si="28"/>
        <v>1920</v>
      </c>
      <c r="O166" s="370">
        <f t="shared" si="28"/>
        <v>2618.181818181818</v>
      </c>
      <c r="P166" s="370">
        <f t="shared" si="28"/>
        <v>2803.2000000000003</v>
      </c>
      <c r="Q166" s="264">
        <f t="shared" si="25"/>
        <v>0</v>
      </c>
      <c r="AE166" s="3"/>
      <c r="AL166" s="12"/>
    </row>
    <row r="167" spans="3:38" ht="13.5" thickBot="1" x14ac:dyDescent="0.4">
      <c r="C167" s="12" t="str" cm="1">
        <f t="array" ref="C167">INDEX('List Values'!$B$2:$B$20,(1+ROUNDDOWN((ROW()-ROW($C$125))*1/6,2)))</f>
        <v>PVC Plastics Compounding</v>
      </c>
      <c r="D167" s="307" t="s">
        <v>214</v>
      </c>
      <c r="E167" s="374" t="s">
        <v>92</v>
      </c>
      <c r="F167" s="309">
        <f t="shared" si="26"/>
        <v>21.768707482993197</v>
      </c>
      <c r="G167" s="309">
        <f t="shared" si="26"/>
        <v>29.684601113172537</v>
      </c>
      <c r="H167" s="309">
        <f t="shared" si="26"/>
        <v>31.782312925170068</v>
      </c>
      <c r="I167" s="264">
        <f t="shared" si="23"/>
        <v>0</v>
      </c>
      <c r="J167" s="309">
        <f t="shared" si="27"/>
        <v>153.35639643139669</v>
      </c>
      <c r="K167" s="309">
        <f t="shared" si="27"/>
        <v>209.12235877008638</v>
      </c>
      <c r="L167" s="309">
        <f t="shared" si="27"/>
        <v>223.90033878983914</v>
      </c>
      <c r="M167" s="264">
        <f t="shared" si="24"/>
        <v>0</v>
      </c>
      <c r="N167" s="370">
        <f t="shared" si="28"/>
        <v>19.062775467034029</v>
      </c>
      <c r="O167" s="370">
        <f t="shared" si="28"/>
        <v>25.994693818682762</v>
      </c>
      <c r="P167" s="370">
        <f t="shared" si="28"/>
        <v>27.831652181869682</v>
      </c>
      <c r="Q167" s="264">
        <f t="shared" si="25"/>
        <v>0</v>
      </c>
      <c r="AE167" s="3"/>
      <c r="AL167" s="12"/>
    </row>
    <row r="168" spans="3:38" ht="13.5" thickBot="1" x14ac:dyDescent="0.4">
      <c r="C168" s="12" t="str" cm="1">
        <f t="array" ref="C168">INDEX('List Values'!$B$2:$B$20,(1+ROUNDDOWN((ROW()-ROW($C$125))*1/6,2)))</f>
        <v>PVC Plastics Compounding</v>
      </c>
      <c r="D168" s="307" t="s">
        <v>214</v>
      </c>
      <c r="E168" s="307" t="s">
        <v>93</v>
      </c>
      <c r="F168" s="309">
        <f t="shared" si="26"/>
        <v>134.45378151260505</v>
      </c>
      <c r="G168" s="309">
        <f t="shared" si="26"/>
        <v>183.34606569900689</v>
      </c>
      <c r="H168" s="309">
        <f t="shared" si="26"/>
        <v>220.07009081659569</v>
      </c>
      <c r="I168" s="264">
        <f t="shared" si="23"/>
        <v>0</v>
      </c>
      <c r="J168" s="309">
        <f t="shared" si="27"/>
        <v>306.71279286279338</v>
      </c>
      <c r="K168" s="309">
        <f t="shared" si="27"/>
        <v>418.24471754017276</v>
      </c>
      <c r="L168" s="309">
        <f t="shared" si="27"/>
        <v>502.01869683820428</v>
      </c>
      <c r="M168" s="264">
        <f t="shared" si="24"/>
        <v>0</v>
      </c>
      <c r="N168" s="370">
        <f t="shared" si="28"/>
        <v>93.476471777311019</v>
      </c>
      <c r="O168" s="370">
        <f t="shared" si="28"/>
        <v>127.46791605996955</v>
      </c>
      <c r="P168" s="370">
        <f t="shared" si="28"/>
        <v>152.99960627228035</v>
      </c>
      <c r="Q168" s="264">
        <f t="shared" si="25"/>
        <v>0</v>
      </c>
      <c r="AE168" s="3"/>
      <c r="AL168" s="12"/>
    </row>
    <row r="169" spans="3:38" ht="13.5" thickBot="1" x14ac:dyDescent="0.4">
      <c r="C169" s="12" t="str" cm="1">
        <f t="array" ref="C169">INDEX('List Values'!$B$2:$B$20,(1+ROUNDDOWN((ROW()-ROW($C$125))*1/6,2)))</f>
        <v>PVC Plastics Compounding</v>
      </c>
      <c r="D169" s="307" t="s">
        <v>74</v>
      </c>
      <c r="E169" s="374" t="s">
        <v>92</v>
      </c>
      <c r="F169" s="309">
        <f t="shared" si="26"/>
        <v>19.707482993197281</v>
      </c>
      <c r="G169" s="309">
        <f t="shared" si="26"/>
        <v>26.873840445269021</v>
      </c>
      <c r="H169" s="309">
        <f t="shared" si="26"/>
        <v>28.772925170068028</v>
      </c>
      <c r="I169" s="264">
        <f t="shared" si="23"/>
        <v>0</v>
      </c>
      <c r="J169" s="309">
        <f t="shared" si="27"/>
        <v>166.85692863409324</v>
      </c>
      <c r="K169" s="309">
        <f t="shared" si="27"/>
        <v>227.53217541012711</v>
      </c>
      <c r="L169" s="309">
        <f t="shared" si="27"/>
        <v>243.61111580577614</v>
      </c>
      <c r="M169" s="264">
        <f t="shared" si="24"/>
        <v>0</v>
      </c>
      <c r="N169" s="370">
        <f t="shared" si="28"/>
        <v>17.625709290809407</v>
      </c>
      <c r="O169" s="370">
        <f t="shared" si="28"/>
        <v>24.035058123831007</v>
      </c>
      <c r="P169" s="370">
        <f t="shared" si="28"/>
        <v>25.733535564581732</v>
      </c>
      <c r="Q169" s="264">
        <f t="shared" si="25"/>
        <v>0</v>
      </c>
      <c r="AE169" s="3"/>
      <c r="AL169" s="12"/>
    </row>
    <row r="170" spans="3:38" ht="13.5" thickBot="1" x14ac:dyDescent="0.4">
      <c r="C170" s="12" t="str" cm="1">
        <f t="array" ref="C170">INDEX('List Values'!$B$2:$B$20,(1+ROUNDDOWN((ROW()-ROW($C$125))*1/6,2)))</f>
        <v>PVC Plastics Compounding</v>
      </c>
      <c r="D170" s="307" t="s">
        <v>74</v>
      </c>
      <c r="E170" s="307" t="s">
        <v>93</v>
      </c>
      <c r="F170" s="309">
        <f t="shared" si="26"/>
        <v>121.72268907563027</v>
      </c>
      <c r="G170" s="309">
        <f t="shared" si="26"/>
        <v>165.98548510313219</v>
      </c>
      <c r="H170" s="309">
        <f t="shared" si="26"/>
        <v>199.23220409239934</v>
      </c>
      <c r="I170" s="264">
        <f t="shared" si="23"/>
        <v>0</v>
      </c>
      <c r="J170" s="309">
        <f t="shared" si="27"/>
        <v>333.71385726818647</v>
      </c>
      <c r="K170" s="309">
        <f t="shared" si="27"/>
        <v>455.06435082025422</v>
      </c>
      <c r="L170" s="309">
        <f t="shared" si="27"/>
        <v>546.21326413851148</v>
      </c>
      <c r="M170" s="264">
        <f t="shared" si="24"/>
        <v>0</v>
      </c>
      <c r="N170" s="370">
        <f t="shared" si="28"/>
        <v>89.19035684461646</v>
      </c>
      <c r="O170" s="370">
        <f t="shared" si="28"/>
        <v>121.62321387902246</v>
      </c>
      <c r="P170" s="370">
        <f t="shared" si="28"/>
        <v>145.98421636002246</v>
      </c>
      <c r="Q170" s="264">
        <f t="shared" si="25"/>
        <v>0</v>
      </c>
      <c r="AE170" s="3"/>
      <c r="AL170" s="12"/>
    </row>
    <row r="171" spans="3:38" ht="13.5" thickBot="1" x14ac:dyDescent="0.4">
      <c r="C171" s="12" t="str" cm="1">
        <f t="array" ref="C171">INDEX('List Values'!$B$2:$B$20,(1+ROUNDDOWN((ROW()-ROW($C$125))*1/6,2)))</f>
        <v>PVC Plastics Compounding</v>
      </c>
      <c r="D171" s="307" t="s">
        <v>94</v>
      </c>
      <c r="E171" s="374" t="s">
        <v>92</v>
      </c>
      <c r="F171" s="309">
        <f t="shared" si="26"/>
        <v>134.45378151260505</v>
      </c>
      <c r="G171" s="309">
        <f t="shared" si="26"/>
        <v>183.34606569900689</v>
      </c>
      <c r="H171" s="309">
        <f t="shared" si="26"/>
        <v>196.30252100840337</v>
      </c>
      <c r="I171" s="264">
        <f t="shared" si="23"/>
        <v>0</v>
      </c>
      <c r="J171" s="309">
        <f t="shared" si="27"/>
        <v>4023.0116265036013</v>
      </c>
      <c r="K171" s="309">
        <f t="shared" si="27"/>
        <v>5485.9249452321828</v>
      </c>
      <c r="L171" s="309">
        <f t="shared" si="27"/>
        <v>5873.5969746952587</v>
      </c>
      <c r="M171" s="264">
        <f t="shared" si="24"/>
        <v>0</v>
      </c>
      <c r="N171" s="370">
        <f t="shared" si="28"/>
        <v>130.10550255201943</v>
      </c>
      <c r="O171" s="370">
        <f t="shared" si="28"/>
        <v>177.41659438911742</v>
      </c>
      <c r="P171" s="370">
        <f t="shared" si="28"/>
        <v>189.95403372594839</v>
      </c>
      <c r="Q171" s="264">
        <f t="shared" si="25"/>
        <v>0</v>
      </c>
      <c r="AE171" s="3"/>
      <c r="AL171" s="12"/>
    </row>
    <row r="172" spans="3:38" ht="13.5" thickBot="1" x14ac:dyDescent="0.4">
      <c r="C172" s="12" t="str" cm="1">
        <f t="array" ref="C172">INDEX('List Values'!$B$2:$B$20,(1+ROUNDDOWN((ROW()-ROW($C$125))*1/6,2)))</f>
        <v>PVC Plastics Compounding</v>
      </c>
      <c r="D172" s="307" t="s">
        <v>94</v>
      </c>
      <c r="E172" s="307" t="s">
        <v>93</v>
      </c>
      <c r="F172" s="309">
        <f t="shared" si="26"/>
        <v>134.45378151260505</v>
      </c>
      <c r="G172" s="309">
        <f t="shared" si="26"/>
        <v>183.34606569900689</v>
      </c>
      <c r="H172" s="309">
        <f t="shared" si="26"/>
        <v>220.07009081659569</v>
      </c>
      <c r="I172" s="264">
        <f t="shared" si="23"/>
        <v>0</v>
      </c>
      <c r="J172" s="309">
        <f t="shared" si="27"/>
        <v>4023.0116265036013</v>
      </c>
      <c r="K172" s="309">
        <f t="shared" si="27"/>
        <v>5485.9249452321828</v>
      </c>
      <c r="L172" s="309">
        <f t="shared" si="27"/>
        <v>6584.7499716314542</v>
      </c>
      <c r="M172" s="264">
        <f t="shared" si="24"/>
        <v>0</v>
      </c>
      <c r="N172" s="370">
        <f t="shared" si="28"/>
        <v>130.10550255201943</v>
      </c>
      <c r="O172" s="370">
        <f t="shared" si="28"/>
        <v>177.41659438911742</v>
      </c>
      <c r="P172" s="370">
        <f t="shared" si="28"/>
        <v>212.95295260756544</v>
      </c>
      <c r="Q172" s="264">
        <f t="shared" si="25"/>
        <v>0</v>
      </c>
      <c r="AE172" s="3"/>
      <c r="AL172" s="12"/>
    </row>
    <row r="173" spans="3:38" ht="13.5" thickBot="1" x14ac:dyDescent="0.4">
      <c r="C173" s="12" t="str" cm="1">
        <f t="array" ref="C173">INDEX('List Values'!$B$2:$B$20,(1+ROUNDDOWN((ROW()-ROW($C$125))*1/6,2)))</f>
        <v>PVC Plastics Converting</v>
      </c>
      <c r="D173" s="307" t="s">
        <v>214</v>
      </c>
      <c r="E173" s="374" t="s">
        <v>92</v>
      </c>
      <c r="F173" s="309">
        <f t="shared" si="26"/>
        <v>21.768707482993197</v>
      </c>
      <c r="G173" s="309">
        <f t="shared" si="26"/>
        <v>29.684601113172537</v>
      </c>
      <c r="H173" s="309">
        <f t="shared" si="26"/>
        <v>31.782312925170068</v>
      </c>
      <c r="I173" s="264">
        <f t="shared" si="23"/>
        <v>0</v>
      </c>
      <c r="J173" s="309">
        <f t="shared" si="27"/>
        <v>1007.6328186009019</v>
      </c>
      <c r="K173" s="309">
        <f t="shared" si="27"/>
        <v>1374.0447526375935</v>
      </c>
      <c r="L173" s="309">
        <f t="shared" si="27"/>
        <v>1471.1439151573168</v>
      </c>
      <c r="M173" s="264">
        <f t="shared" si="24"/>
        <v>0</v>
      </c>
      <c r="N173" s="370">
        <f t="shared" si="28"/>
        <v>21.308365611067991</v>
      </c>
      <c r="O173" s="370">
        <f t="shared" si="28"/>
        <v>29.056862196910895</v>
      </c>
      <c r="P173" s="370">
        <f t="shared" si="28"/>
        <v>31.110213792159268</v>
      </c>
      <c r="Q173" s="264">
        <f t="shared" si="25"/>
        <v>0</v>
      </c>
      <c r="AE173" s="3"/>
      <c r="AL173" s="12"/>
    </row>
    <row r="174" spans="3:38" ht="13.5" thickBot="1" x14ac:dyDescent="0.4">
      <c r="C174" s="12" t="str" cm="1">
        <f t="array" ref="C174">INDEX('List Values'!$B$2:$B$20,(1+ROUNDDOWN((ROW()-ROW($C$125))*1/6,2)))</f>
        <v>PVC Plastics Converting</v>
      </c>
      <c r="D174" s="307" t="s">
        <v>214</v>
      </c>
      <c r="E174" s="307" t="s">
        <v>93</v>
      </c>
      <c r="F174" s="309">
        <f t="shared" si="26"/>
        <v>134.45378151260505</v>
      </c>
      <c r="G174" s="309">
        <f t="shared" si="26"/>
        <v>183.34606569900689</v>
      </c>
      <c r="H174" s="309">
        <f t="shared" si="26"/>
        <v>224.08963585434176</v>
      </c>
      <c r="I174" s="264">
        <f t="shared" si="23"/>
        <v>0</v>
      </c>
      <c r="J174" s="309">
        <f t="shared" si="27"/>
        <v>2015.2656372018039</v>
      </c>
      <c r="K174" s="309">
        <f t="shared" si="27"/>
        <v>2748.0895052751871</v>
      </c>
      <c r="L174" s="309">
        <f t="shared" si="27"/>
        <v>3358.7760620030062</v>
      </c>
      <c r="M174" s="264">
        <f t="shared" si="24"/>
        <v>0</v>
      </c>
      <c r="N174" s="370">
        <f t="shared" si="28"/>
        <v>126.04439598737666</v>
      </c>
      <c r="O174" s="370">
        <f t="shared" si="28"/>
        <v>171.87872180096818</v>
      </c>
      <c r="P174" s="370">
        <f t="shared" si="28"/>
        <v>210.07399331229445</v>
      </c>
      <c r="Q174" s="264">
        <f t="shared" si="25"/>
        <v>0</v>
      </c>
      <c r="AE174" s="3"/>
      <c r="AL174" s="12"/>
    </row>
    <row r="175" spans="3:38" ht="13.5" thickBot="1" x14ac:dyDescent="0.4">
      <c r="C175" s="12" t="str" cm="1">
        <f t="array" ref="C175">INDEX('List Values'!$B$2:$B$20,(1+ROUNDDOWN((ROW()-ROW($C$125))*1/6,2)))</f>
        <v>PVC Plastics Converting</v>
      </c>
      <c r="D175" s="307" t="s">
        <v>74</v>
      </c>
      <c r="E175" s="374" t="s">
        <v>92</v>
      </c>
      <c r="F175" s="309">
        <f t="shared" si="26"/>
        <v>19.707482993197281</v>
      </c>
      <c r="G175" s="309">
        <f t="shared" si="26"/>
        <v>26.873840445269021</v>
      </c>
      <c r="H175" s="309">
        <f t="shared" si="26"/>
        <v>28.772925170068028</v>
      </c>
      <c r="I175" s="264">
        <f t="shared" si="23"/>
        <v>0</v>
      </c>
      <c r="J175" s="309">
        <f t="shared" si="27"/>
        <v>1096.3384717889701</v>
      </c>
      <c r="K175" s="309">
        <f t="shared" si="27"/>
        <v>1495.0070069849592</v>
      </c>
      <c r="L175" s="309">
        <f t="shared" si="27"/>
        <v>1600.6541688118962</v>
      </c>
      <c r="M175" s="264">
        <f t="shared" si="24"/>
        <v>0</v>
      </c>
      <c r="N175" s="370">
        <f t="shared" si="28"/>
        <v>19.359482192456984</v>
      </c>
      <c r="O175" s="370">
        <f t="shared" si="28"/>
        <v>26.399293898804981</v>
      </c>
      <c r="P175" s="370">
        <f t="shared" si="28"/>
        <v>28.264844000987196</v>
      </c>
      <c r="Q175" s="264">
        <f t="shared" si="25"/>
        <v>0</v>
      </c>
      <c r="AE175" s="3"/>
      <c r="AL175" s="12"/>
    </row>
    <row r="176" spans="3:38" ht="13.5" thickBot="1" x14ac:dyDescent="0.4">
      <c r="C176" s="12" t="str" cm="1">
        <f t="array" ref="C176">INDEX('List Values'!$B$2:$B$20,(1+ROUNDDOWN((ROW()-ROW($C$125))*1/6,2)))</f>
        <v>PVC Plastics Converting</v>
      </c>
      <c r="D176" s="307" t="s">
        <v>74</v>
      </c>
      <c r="E176" s="307" t="s">
        <v>93</v>
      </c>
      <c r="F176" s="309">
        <f t="shared" si="26"/>
        <v>121.72268907563027</v>
      </c>
      <c r="G176" s="309">
        <f t="shared" si="26"/>
        <v>165.98548510313219</v>
      </c>
      <c r="H176" s="309">
        <f t="shared" si="26"/>
        <v>202.87114845938379</v>
      </c>
      <c r="I176" s="264">
        <f t="shared" si="23"/>
        <v>0</v>
      </c>
      <c r="J176" s="309">
        <f t="shared" si="27"/>
        <v>2192.6769435779402</v>
      </c>
      <c r="K176" s="309">
        <f t="shared" si="27"/>
        <v>2990.0140139699183</v>
      </c>
      <c r="L176" s="309">
        <f t="shared" si="27"/>
        <v>3654.4615726299003</v>
      </c>
      <c r="M176" s="264">
        <f t="shared" si="24"/>
        <v>0</v>
      </c>
      <c r="N176" s="370">
        <f t="shared" si="28"/>
        <v>115.32085041874507</v>
      </c>
      <c r="O176" s="370">
        <f t="shared" si="28"/>
        <v>157.25570511647052</v>
      </c>
      <c r="P176" s="370">
        <f t="shared" si="28"/>
        <v>192.20141736457509</v>
      </c>
      <c r="Q176" s="264">
        <f t="shared" si="25"/>
        <v>0</v>
      </c>
      <c r="AE176" s="3"/>
      <c r="AL176" s="12"/>
    </row>
    <row r="177" spans="3:38" ht="13.5" thickBot="1" x14ac:dyDescent="0.4">
      <c r="C177" s="12" t="str" cm="1">
        <f t="array" ref="C177">INDEX('List Values'!$B$2:$B$20,(1+ROUNDDOWN((ROW()-ROW($C$125))*1/6,2)))</f>
        <v>PVC Plastics Converting</v>
      </c>
      <c r="D177" s="307" t="s">
        <v>94</v>
      </c>
      <c r="E177" s="374" t="s">
        <v>92</v>
      </c>
      <c r="F177" s="309">
        <f t="shared" si="26"/>
        <v>134.45378151260505</v>
      </c>
      <c r="G177" s="309">
        <f t="shared" si="26"/>
        <v>183.34606569900689</v>
      </c>
      <c r="H177" s="309">
        <f t="shared" si="26"/>
        <v>196.30252100840337</v>
      </c>
      <c r="I177" s="264">
        <f t="shared" si="23"/>
        <v>0</v>
      </c>
      <c r="J177" s="309">
        <f t="shared" si="27"/>
        <v>4023.0116265036013</v>
      </c>
      <c r="K177" s="309">
        <f t="shared" si="27"/>
        <v>5485.9249452321828</v>
      </c>
      <c r="L177" s="309">
        <f t="shared" si="27"/>
        <v>5873.5969746952587</v>
      </c>
      <c r="M177" s="264">
        <f t="shared" si="24"/>
        <v>0</v>
      </c>
      <c r="N177" s="370">
        <f t="shared" si="28"/>
        <v>130.10550255201943</v>
      </c>
      <c r="O177" s="370">
        <f t="shared" si="28"/>
        <v>177.41659438911742</v>
      </c>
      <c r="P177" s="370">
        <f t="shared" si="28"/>
        <v>189.95403372594839</v>
      </c>
      <c r="Q177" s="264">
        <f t="shared" si="25"/>
        <v>0</v>
      </c>
      <c r="AE177" s="3"/>
      <c r="AL177" s="12"/>
    </row>
    <row r="178" spans="3:38" ht="13.5" thickBot="1" x14ac:dyDescent="0.4">
      <c r="C178" s="12" t="str" cm="1">
        <f t="array" ref="C178">INDEX('List Values'!$B$2:$B$20,(1+ROUNDDOWN((ROW()-ROW($C$125))*1/6,2)))</f>
        <v>PVC Plastics Converting</v>
      </c>
      <c r="D178" s="307" t="s">
        <v>94</v>
      </c>
      <c r="E178" s="307" t="s">
        <v>93</v>
      </c>
      <c r="F178" s="309">
        <f t="shared" si="26"/>
        <v>134.45378151260505</v>
      </c>
      <c r="G178" s="309">
        <f t="shared" si="26"/>
        <v>183.34606569900689</v>
      </c>
      <c r="H178" s="309">
        <f t="shared" si="26"/>
        <v>224.08963585434176</v>
      </c>
      <c r="I178" s="264">
        <f t="shared" si="23"/>
        <v>0</v>
      </c>
      <c r="J178" s="309">
        <f t="shared" si="27"/>
        <v>4023.0116265036013</v>
      </c>
      <c r="K178" s="309">
        <f t="shared" si="27"/>
        <v>5485.9249452321828</v>
      </c>
      <c r="L178" s="309">
        <f t="shared" si="27"/>
        <v>6705.0193775060015</v>
      </c>
      <c r="M178" s="264">
        <f t="shared" si="24"/>
        <v>0</v>
      </c>
      <c r="N178" s="370">
        <f t="shared" si="28"/>
        <v>130.10550255201943</v>
      </c>
      <c r="O178" s="370">
        <f t="shared" si="28"/>
        <v>177.41659438911742</v>
      </c>
      <c r="P178" s="370">
        <f t="shared" si="28"/>
        <v>216.84250425336575</v>
      </c>
      <c r="Q178" s="264">
        <f t="shared" si="25"/>
        <v>0</v>
      </c>
      <c r="AE178" s="3"/>
      <c r="AL178" s="12"/>
    </row>
    <row r="179" spans="3:38" ht="13.5" thickBot="1" x14ac:dyDescent="0.4">
      <c r="C179" s="12" t="str" cm="1">
        <f t="array" ref="C179">INDEX('List Values'!$B$2:$B$20,(1+ROUNDDOWN((ROW()-ROW($C$125))*1/6,2)))</f>
        <v>Non-PVC Materials Compounding</v>
      </c>
      <c r="D179" s="307" t="s">
        <v>214</v>
      </c>
      <c r="E179" s="374" t="s">
        <v>92</v>
      </c>
      <c r="F179" s="309">
        <f t="shared" si="26"/>
        <v>21.768707482993197</v>
      </c>
      <c r="G179" s="309">
        <f t="shared" si="26"/>
        <v>29.684601113172537</v>
      </c>
      <c r="H179" s="309">
        <f t="shared" si="26"/>
        <v>31.782312925170068</v>
      </c>
      <c r="I179" s="264">
        <f t="shared" si="23"/>
        <v>0</v>
      </c>
      <c r="J179" s="309">
        <f t="shared" si="27"/>
        <v>153.37423312883436</v>
      </c>
      <c r="K179" s="309">
        <f t="shared" si="27"/>
        <v>209.14668153931956</v>
      </c>
      <c r="L179" s="309">
        <f t="shared" si="27"/>
        <v>223.92638036809814</v>
      </c>
      <c r="M179" s="264">
        <f t="shared" si="24"/>
        <v>0</v>
      </c>
      <c r="N179" s="370">
        <f t="shared" si="28"/>
        <v>19.063051041319163</v>
      </c>
      <c r="O179" s="370">
        <f t="shared" si="28"/>
        <v>25.995069601798857</v>
      </c>
      <c r="P179" s="370">
        <f t="shared" si="28"/>
        <v>27.832054520325979</v>
      </c>
      <c r="Q179" s="264">
        <f t="shared" si="25"/>
        <v>0</v>
      </c>
      <c r="AE179" s="3"/>
      <c r="AL179" s="12"/>
    </row>
    <row r="180" spans="3:38" ht="13.5" thickBot="1" x14ac:dyDescent="0.4">
      <c r="C180" s="12" t="str" cm="1">
        <f t="array" ref="C180">INDEX('List Values'!$B$2:$B$20,(1+ROUNDDOWN((ROW()-ROW($C$125))*1/6,2)))</f>
        <v>Non-PVC Materials Compounding</v>
      </c>
      <c r="D180" s="307" t="s">
        <v>214</v>
      </c>
      <c r="E180" s="307" t="s">
        <v>93</v>
      </c>
      <c r="F180" s="309">
        <f t="shared" si="26"/>
        <v>134.45378151260505</v>
      </c>
      <c r="G180" s="309">
        <f t="shared" si="26"/>
        <v>183.34606569900689</v>
      </c>
      <c r="H180" s="309">
        <f t="shared" si="26"/>
        <v>209.72491560726854</v>
      </c>
      <c r="I180" s="264">
        <f t="shared" si="23"/>
        <v>0</v>
      </c>
      <c r="J180" s="309">
        <f t="shared" si="27"/>
        <v>306.35690579525152</v>
      </c>
      <c r="K180" s="309">
        <f t="shared" si="27"/>
        <v>417.75941699352472</v>
      </c>
      <c r="L180" s="309">
        <f t="shared" si="27"/>
        <v>477.86440433874691</v>
      </c>
      <c r="M180" s="264">
        <f t="shared" si="24"/>
        <v>0</v>
      </c>
      <c r="N180" s="370">
        <f t="shared" si="28"/>
        <v>93.443388880236739</v>
      </c>
      <c r="O180" s="370">
        <f t="shared" si="28"/>
        <v>127.42280301850464</v>
      </c>
      <c r="P180" s="370">
        <f t="shared" si="28"/>
        <v>145.75571342430086</v>
      </c>
      <c r="Q180" s="264">
        <f t="shared" si="25"/>
        <v>0</v>
      </c>
      <c r="AE180" s="3"/>
      <c r="AL180" s="12"/>
    </row>
    <row r="181" spans="3:38" ht="13.5" thickBot="1" x14ac:dyDescent="0.4">
      <c r="C181" s="12" t="str" cm="1">
        <f t="array" ref="C181">INDEX('List Values'!$B$2:$B$20,(1+ROUNDDOWN((ROW()-ROW($C$125))*1/6,2)))</f>
        <v>Non-PVC Materials Compounding</v>
      </c>
      <c r="D181" s="307" t="s">
        <v>74</v>
      </c>
      <c r="E181" s="374" t="s">
        <v>92</v>
      </c>
      <c r="F181" s="309">
        <f t="shared" si="26"/>
        <v>19.707482993197281</v>
      </c>
      <c r="G181" s="309">
        <f t="shared" si="26"/>
        <v>26.873840445269021</v>
      </c>
      <c r="H181" s="309">
        <f t="shared" si="26"/>
        <v>28.772925170068028</v>
      </c>
      <c r="I181" s="264">
        <f t="shared" si="23"/>
        <v>0</v>
      </c>
      <c r="J181" s="309">
        <f t="shared" si="27"/>
        <v>166.85692863409324</v>
      </c>
      <c r="K181" s="309">
        <f t="shared" si="27"/>
        <v>227.53217541012711</v>
      </c>
      <c r="L181" s="309">
        <f t="shared" si="27"/>
        <v>243.61111580577614</v>
      </c>
      <c r="M181" s="264">
        <f t="shared" si="24"/>
        <v>0</v>
      </c>
      <c r="N181" s="370">
        <f t="shared" si="28"/>
        <v>17.625709290809407</v>
      </c>
      <c r="O181" s="370">
        <f t="shared" si="28"/>
        <v>24.035058123831007</v>
      </c>
      <c r="P181" s="370">
        <f t="shared" si="28"/>
        <v>25.733535564581732</v>
      </c>
      <c r="Q181" s="264">
        <f t="shared" si="25"/>
        <v>0</v>
      </c>
      <c r="AE181" s="3"/>
      <c r="AL181" s="12"/>
    </row>
    <row r="182" spans="3:38" ht="13.5" thickBot="1" x14ac:dyDescent="0.4">
      <c r="C182" s="12" t="str" cm="1">
        <f t="array" ref="C182">INDEX('List Values'!$B$2:$B$20,(1+ROUNDDOWN((ROW()-ROW($C$125))*1/6,2)))</f>
        <v>Non-PVC Materials Compounding</v>
      </c>
      <c r="D182" s="307" t="s">
        <v>74</v>
      </c>
      <c r="E182" s="307" t="s">
        <v>93</v>
      </c>
      <c r="F182" s="309">
        <f t="shared" si="26"/>
        <v>121.72268907563027</v>
      </c>
      <c r="G182" s="309">
        <f t="shared" si="26"/>
        <v>165.98548510313219</v>
      </c>
      <c r="H182" s="309">
        <f t="shared" si="26"/>
        <v>189.86658766070533</v>
      </c>
      <c r="I182" s="264">
        <f t="shared" si="23"/>
        <v>0</v>
      </c>
      <c r="J182" s="309">
        <f t="shared" si="27"/>
        <v>333.71385726818647</v>
      </c>
      <c r="K182" s="309">
        <f t="shared" si="27"/>
        <v>455.06435082025422</v>
      </c>
      <c r="L182" s="309">
        <f t="shared" si="27"/>
        <v>520.53657223456435</v>
      </c>
      <c r="M182" s="264">
        <f t="shared" si="24"/>
        <v>0</v>
      </c>
      <c r="N182" s="370">
        <f t="shared" si="28"/>
        <v>89.19035684461646</v>
      </c>
      <c r="O182" s="370">
        <f t="shared" si="28"/>
        <v>121.62321387902246</v>
      </c>
      <c r="P182" s="370">
        <f t="shared" si="28"/>
        <v>139.12171046275645</v>
      </c>
      <c r="Q182" s="264">
        <f t="shared" si="25"/>
        <v>0</v>
      </c>
      <c r="AE182" s="3"/>
      <c r="AL182" s="12"/>
    </row>
    <row r="183" spans="3:38" ht="13.5" thickBot="1" x14ac:dyDescent="0.4">
      <c r="C183" s="12" t="str" cm="1">
        <f t="array" ref="C183">INDEX('List Values'!$B$2:$B$20,(1+ROUNDDOWN((ROW()-ROW($C$125))*1/6,2)))</f>
        <v>Non-PVC Materials Compounding</v>
      </c>
      <c r="D183" s="307" t="s">
        <v>94</v>
      </c>
      <c r="E183" s="374" t="s">
        <v>92</v>
      </c>
      <c r="F183" s="309">
        <f t="shared" si="26"/>
        <v>134.45378151260505</v>
      </c>
      <c r="G183" s="309">
        <f t="shared" si="26"/>
        <v>183.34606569900689</v>
      </c>
      <c r="H183" s="309">
        <f t="shared" si="26"/>
        <v>196.30252100840337</v>
      </c>
      <c r="I183" s="264">
        <f t="shared" si="23"/>
        <v>0</v>
      </c>
      <c r="J183" s="309">
        <f t="shared" si="27"/>
        <v>4023.0116265036013</v>
      </c>
      <c r="K183" s="309">
        <f t="shared" si="27"/>
        <v>5485.9249452321828</v>
      </c>
      <c r="L183" s="309">
        <f t="shared" si="27"/>
        <v>5873.5969746952587</v>
      </c>
      <c r="M183" s="264">
        <f t="shared" si="24"/>
        <v>0</v>
      </c>
      <c r="N183" s="370">
        <f t="shared" si="28"/>
        <v>130.10550255201943</v>
      </c>
      <c r="O183" s="370">
        <f t="shared" si="28"/>
        <v>177.41659438911742</v>
      </c>
      <c r="P183" s="370">
        <f t="shared" si="28"/>
        <v>189.95403372594839</v>
      </c>
      <c r="Q183" s="264">
        <f t="shared" si="25"/>
        <v>0</v>
      </c>
      <c r="AE183" s="3"/>
      <c r="AL183" s="12"/>
    </row>
    <row r="184" spans="3:38" ht="13.5" thickBot="1" x14ac:dyDescent="0.4">
      <c r="C184" s="12" t="str" cm="1">
        <f t="array" ref="C184">INDEX('List Values'!$B$2:$B$20,(1+ROUNDDOWN((ROW()-ROW($C$125))*1/6,2)))</f>
        <v>Non-PVC Materials Compounding</v>
      </c>
      <c r="D184" s="307" t="s">
        <v>94</v>
      </c>
      <c r="E184" s="307" t="s">
        <v>93</v>
      </c>
      <c r="F184" s="309">
        <f t="shared" si="26"/>
        <v>134.45378151260505</v>
      </c>
      <c r="G184" s="309">
        <f t="shared" si="26"/>
        <v>183.34606569900689</v>
      </c>
      <c r="H184" s="309">
        <f t="shared" si="26"/>
        <v>209.72491560726854</v>
      </c>
      <c r="I184" s="264">
        <f t="shared" si="23"/>
        <v>0</v>
      </c>
      <c r="J184" s="309">
        <f t="shared" si="27"/>
        <v>4023.0116265036013</v>
      </c>
      <c r="K184" s="309">
        <f t="shared" si="27"/>
        <v>5485.9249452321828</v>
      </c>
      <c r="L184" s="309">
        <f t="shared" si="27"/>
        <v>6275.2104430504887</v>
      </c>
      <c r="M184" s="264">
        <f t="shared" si="24"/>
        <v>0</v>
      </c>
      <c r="N184" s="370">
        <f t="shared" si="28"/>
        <v>130.10550255201943</v>
      </c>
      <c r="O184" s="370">
        <f t="shared" si="28"/>
        <v>177.41659438911742</v>
      </c>
      <c r="P184" s="370">
        <f t="shared" si="28"/>
        <v>202.94234372430384</v>
      </c>
      <c r="Q184" s="264">
        <f t="shared" si="25"/>
        <v>0</v>
      </c>
      <c r="AE184" s="3"/>
      <c r="AL184" s="12"/>
    </row>
    <row r="185" spans="3:38" ht="13.5" thickBot="1" x14ac:dyDescent="0.4">
      <c r="C185" s="12" t="str" cm="1">
        <f t="array" ref="C185">INDEX('List Values'!$B$2:$B$20,(1+ROUNDDOWN((ROW()-ROW($C$125))*1/6,2)))</f>
        <v>Non-PVC Materials Converting</v>
      </c>
      <c r="D185" s="307" t="s">
        <v>214</v>
      </c>
      <c r="E185" s="374" t="s">
        <v>92</v>
      </c>
      <c r="F185" s="309">
        <f t="shared" ref="F185:H204" si="29">F$123/G65</f>
        <v>21.768707482993197</v>
      </c>
      <c r="G185" s="309">
        <f t="shared" si="29"/>
        <v>29.684601113172537</v>
      </c>
      <c r="H185" s="309">
        <f t="shared" si="29"/>
        <v>31.782312925170068</v>
      </c>
      <c r="I185" s="264">
        <f t="shared" si="23"/>
        <v>0</v>
      </c>
      <c r="J185" s="309">
        <f t="shared" ref="J185:L204" si="30">IFERROR(J$123/K65,"")</f>
        <v>1007.6328186009019</v>
      </c>
      <c r="K185" s="309">
        <f t="shared" si="30"/>
        <v>1374.0447526375935</v>
      </c>
      <c r="L185" s="309">
        <f t="shared" si="30"/>
        <v>1471.1439151573168</v>
      </c>
      <c r="M185" s="264">
        <f t="shared" si="24"/>
        <v>0</v>
      </c>
      <c r="N185" s="370">
        <f t="shared" ref="N185:P204" si="31">N$123/O65</f>
        <v>21.308365611067991</v>
      </c>
      <c r="O185" s="370">
        <f t="shared" si="31"/>
        <v>29.056862196910895</v>
      </c>
      <c r="P185" s="370">
        <f t="shared" si="31"/>
        <v>31.110213792159268</v>
      </c>
      <c r="Q185" s="264">
        <f t="shared" si="25"/>
        <v>0</v>
      </c>
      <c r="AE185" s="3"/>
      <c r="AL185" s="12"/>
    </row>
    <row r="186" spans="3:38" ht="13.5" thickBot="1" x14ac:dyDescent="0.4">
      <c r="C186" s="12" t="str" cm="1">
        <f t="array" ref="C186">INDEX('List Values'!$B$2:$B$20,(1+ROUNDDOWN((ROW()-ROW($C$125))*1/6,2)))</f>
        <v>Non-PVC Materials Converting</v>
      </c>
      <c r="D186" s="307" t="s">
        <v>214</v>
      </c>
      <c r="E186" s="307" t="s">
        <v>93</v>
      </c>
      <c r="F186" s="309">
        <f t="shared" si="29"/>
        <v>134.45378151260505</v>
      </c>
      <c r="G186" s="309">
        <f t="shared" si="29"/>
        <v>183.34606569900689</v>
      </c>
      <c r="H186" s="309">
        <f t="shared" si="29"/>
        <v>224.08963585434176</v>
      </c>
      <c r="I186" s="264">
        <f t="shared" si="23"/>
        <v>0</v>
      </c>
      <c r="J186" s="309">
        <f t="shared" si="30"/>
        <v>2015.2656372018039</v>
      </c>
      <c r="K186" s="309">
        <f t="shared" si="30"/>
        <v>2748.0895052751871</v>
      </c>
      <c r="L186" s="309">
        <f t="shared" si="30"/>
        <v>3358.7760620030062</v>
      </c>
      <c r="M186" s="264">
        <f t="shared" si="24"/>
        <v>0</v>
      </c>
      <c r="N186" s="370">
        <f t="shared" si="31"/>
        <v>126.04439598737666</v>
      </c>
      <c r="O186" s="370">
        <f t="shared" si="31"/>
        <v>171.87872180096818</v>
      </c>
      <c r="P186" s="370">
        <f t="shared" si="31"/>
        <v>210.07399331229445</v>
      </c>
      <c r="Q186" s="264">
        <f t="shared" si="25"/>
        <v>0</v>
      </c>
      <c r="AE186" s="3"/>
      <c r="AL186" s="12"/>
    </row>
    <row r="187" spans="3:38" ht="13.5" thickBot="1" x14ac:dyDescent="0.4">
      <c r="C187" s="12" t="str" cm="1">
        <f t="array" ref="C187">INDEX('List Values'!$B$2:$B$20,(1+ROUNDDOWN((ROW()-ROW($C$125))*1/6,2)))</f>
        <v>Non-PVC Materials Converting</v>
      </c>
      <c r="D187" s="307" t="s">
        <v>74</v>
      </c>
      <c r="E187" s="374" t="s">
        <v>92</v>
      </c>
      <c r="F187" s="309">
        <f t="shared" si="29"/>
        <v>19.707482993197281</v>
      </c>
      <c r="G187" s="309">
        <f t="shared" si="29"/>
        <v>26.873840445269021</v>
      </c>
      <c r="H187" s="309">
        <f t="shared" si="29"/>
        <v>28.772925170068028</v>
      </c>
      <c r="I187" s="264">
        <f t="shared" si="23"/>
        <v>0</v>
      </c>
      <c r="J187" s="309">
        <f t="shared" si="30"/>
        <v>1096.3384717889701</v>
      </c>
      <c r="K187" s="309">
        <f t="shared" si="30"/>
        <v>1495.0070069849592</v>
      </c>
      <c r="L187" s="309">
        <f t="shared" si="30"/>
        <v>1600.6541688118962</v>
      </c>
      <c r="M187" s="264">
        <f t="shared" si="24"/>
        <v>0</v>
      </c>
      <c r="N187" s="370">
        <f t="shared" si="31"/>
        <v>19.359482192456984</v>
      </c>
      <c r="O187" s="370">
        <f t="shared" si="31"/>
        <v>26.399293898804981</v>
      </c>
      <c r="P187" s="370">
        <f t="shared" si="31"/>
        <v>28.264844000987196</v>
      </c>
      <c r="Q187" s="264">
        <f t="shared" si="25"/>
        <v>0</v>
      </c>
      <c r="AE187" s="3"/>
      <c r="AL187" s="12"/>
    </row>
    <row r="188" spans="3:38" ht="13.5" thickBot="1" x14ac:dyDescent="0.4">
      <c r="C188" s="12" t="str" cm="1">
        <f t="array" ref="C188">INDEX('List Values'!$B$2:$B$20,(1+ROUNDDOWN((ROW()-ROW($C$125))*1/6,2)))</f>
        <v>Non-PVC Materials Converting</v>
      </c>
      <c r="D188" s="307" t="s">
        <v>74</v>
      </c>
      <c r="E188" s="307" t="s">
        <v>93</v>
      </c>
      <c r="F188" s="309">
        <f t="shared" si="29"/>
        <v>121.72268907563027</v>
      </c>
      <c r="G188" s="309">
        <f t="shared" si="29"/>
        <v>165.98548510313219</v>
      </c>
      <c r="H188" s="309">
        <f t="shared" si="29"/>
        <v>202.87114845938379</v>
      </c>
      <c r="I188" s="264">
        <f t="shared" si="23"/>
        <v>0</v>
      </c>
      <c r="J188" s="309">
        <f t="shared" si="30"/>
        <v>2192.6769435779402</v>
      </c>
      <c r="K188" s="309">
        <f t="shared" si="30"/>
        <v>2990.0140139699183</v>
      </c>
      <c r="L188" s="309">
        <f t="shared" si="30"/>
        <v>3654.4615726299003</v>
      </c>
      <c r="M188" s="264">
        <f t="shared" si="24"/>
        <v>0</v>
      </c>
      <c r="N188" s="370">
        <f t="shared" si="31"/>
        <v>115.32085041874507</v>
      </c>
      <c r="O188" s="370">
        <f t="shared" si="31"/>
        <v>157.25570511647052</v>
      </c>
      <c r="P188" s="370">
        <f t="shared" si="31"/>
        <v>192.20141736457509</v>
      </c>
      <c r="Q188" s="264">
        <f t="shared" si="25"/>
        <v>0</v>
      </c>
      <c r="AE188" s="3"/>
      <c r="AL188" s="12"/>
    </row>
    <row r="189" spans="3:38" ht="13.5" thickBot="1" x14ac:dyDescent="0.4">
      <c r="C189" s="12" t="str" cm="1">
        <f t="array" ref="C189">INDEX('List Values'!$B$2:$B$20,(1+ROUNDDOWN((ROW()-ROW($C$125))*1/6,2)))</f>
        <v>Non-PVC Materials Converting</v>
      </c>
      <c r="D189" s="307" t="s">
        <v>94</v>
      </c>
      <c r="E189" s="374" t="s">
        <v>92</v>
      </c>
      <c r="F189" s="309">
        <f t="shared" si="29"/>
        <v>134.45378151260505</v>
      </c>
      <c r="G189" s="309">
        <f t="shared" si="29"/>
        <v>183.34606569900689</v>
      </c>
      <c r="H189" s="309">
        <f t="shared" si="29"/>
        <v>196.30252100840337</v>
      </c>
      <c r="I189" s="264">
        <f t="shared" ref="I189:I220" si="32">I$123*J69</f>
        <v>0</v>
      </c>
      <c r="J189" s="309">
        <f t="shared" si="30"/>
        <v>4023.0116265036013</v>
      </c>
      <c r="K189" s="309">
        <f t="shared" si="30"/>
        <v>5485.9249452321828</v>
      </c>
      <c r="L189" s="309">
        <f t="shared" si="30"/>
        <v>5873.5969746952587</v>
      </c>
      <c r="M189" s="264">
        <f t="shared" ref="M189:M220" si="33">IFERROR(M$123*N69,"")</f>
        <v>0</v>
      </c>
      <c r="N189" s="370">
        <f t="shared" si="31"/>
        <v>130.10550255201943</v>
      </c>
      <c r="O189" s="370">
        <f t="shared" si="31"/>
        <v>177.41659438911742</v>
      </c>
      <c r="P189" s="370">
        <f t="shared" si="31"/>
        <v>189.95403372594839</v>
      </c>
      <c r="Q189" s="264">
        <f t="shared" ref="Q189:Q220" si="34">Q$123*R69</f>
        <v>0</v>
      </c>
      <c r="AE189" s="3"/>
      <c r="AL189" s="12"/>
    </row>
    <row r="190" spans="3:38" ht="13.5" thickBot="1" x14ac:dyDescent="0.4">
      <c r="C190" s="12" t="str" cm="1">
        <f t="array" ref="C190">INDEX('List Values'!$B$2:$B$20,(1+ROUNDDOWN((ROW()-ROW($C$125))*1/6,2)))</f>
        <v>Non-PVC Materials Converting</v>
      </c>
      <c r="D190" s="307" t="s">
        <v>94</v>
      </c>
      <c r="E190" s="307" t="s">
        <v>93</v>
      </c>
      <c r="F190" s="309">
        <f t="shared" si="29"/>
        <v>134.45378151260505</v>
      </c>
      <c r="G190" s="309">
        <f t="shared" si="29"/>
        <v>183.34606569900689</v>
      </c>
      <c r="H190" s="309">
        <f t="shared" si="29"/>
        <v>224.08963585434176</v>
      </c>
      <c r="I190" s="264">
        <f t="shared" si="32"/>
        <v>0</v>
      </c>
      <c r="J190" s="309">
        <f t="shared" si="30"/>
        <v>4023.0116265036013</v>
      </c>
      <c r="K190" s="309">
        <f t="shared" si="30"/>
        <v>5485.9249452321828</v>
      </c>
      <c r="L190" s="309">
        <f t="shared" si="30"/>
        <v>6705.0193775060015</v>
      </c>
      <c r="M190" s="264">
        <f t="shared" si="33"/>
        <v>0</v>
      </c>
      <c r="N190" s="370">
        <f t="shared" si="31"/>
        <v>130.10550255201943</v>
      </c>
      <c r="O190" s="370">
        <f t="shared" si="31"/>
        <v>177.41659438911742</v>
      </c>
      <c r="P190" s="370">
        <f t="shared" si="31"/>
        <v>216.84250425336575</v>
      </c>
      <c r="Q190" s="264">
        <f t="shared" si="34"/>
        <v>0</v>
      </c>
      <c r="AE190" s="3"/>
      <c r="AL190" s="12"/>
    </row>
    <row r="191" spans="3:38" ht="13.5" thickBot="1" x14ac:dyDescent="0.4">
      <c r="C191" s="12" t="str" cm="1">
        <f t="array" ref="C191">INDEX('List Values'!$B$2:$B$20,(1+ROUNDDOWN((ROW()-ROW($C$125))*1/6,2)))</f>
        <v>Application of paints and coatings</v>
      </c>
      <c r="D191" s="307" t="s">
        <v>214</v>
      </c>
      <c r="E191" s="374" t="s">
        <v>92</v>
      </c>
      <c r="F191" s="309">
        <f t="shared" si="29"/>
        <v>4.3351622298990815</v>
      </c>
      <c r="G191" s="309">
        <f t="shared" si="29"/>
        <v>5.9115848589532929</v>
      </c>
      <c r="H191" s="309">
        <f t="shared" si="29"/>
        <v>6.3293368556526586</v>
      </c>
      <c r="I191" s="264">
        <f t="shared" si="32"/>
        <v>0</v>
      </c>
      <c r="J191" s="309">
        <f t="shared" si="30"/>
        <v>180.88634308109738</v>
      </c>
      <c r="K191" s="309">
        <f t="shared" si="30"/>
        <v>246.66319511058737</v>
      </c>
      <c r="L191" s="309">
        <f t="shared" si="30"/>
        <v>264.09406089840223</v>
      </c>
      <c r="M191" s="264">
        <f t="shared" si="33"/>
        <v>0</v>
      </c>
      <c r="N191" s="370">
        <f t="shared" si="31"/>
        <v>4.2336965198132681</v>
      </c>
      <c r="O191" s="370">
        <f t="shared" si="31"/>
        <v>5.7732225270180919</v>
      </c>
      <c r="P191" s="370">
        <f t="shared" si="31"/>
        <v>6.1811969189273706</v>
      </c>
      <c r="Q191" s="264">
        <f t="shared" si="34"/>
        <v>0</v>
      </c>
      <c r="AE191" s="3"/>
      <c r="AL191" s="12"/>
    </row>
    <row r="192" spans="3:38" ht="13.5" thickBot="1" x14ac:dyDescent="0.4">
      <c r="C192" s="12" t="str" cm="1">
        <f t="array" ref="C192">INDEX('List Values'!$B$2:$B$20,(1+ROUNDDOWN((ROW()-ROW($C$125))*1/6,2)))</f>
        <v>Application of paints and coatings</v>
      </c>
      <c r="D192" s="307" t="s">
        <v>214</v>
      </c>
      <c r="E192" s="307" t="s">
        <v>93</v>
      </c>
      <c r="F192" s="309">
        <f t="shared" si="29"/>
        <v>56.470588235294116</v>
      </c>
      <c r="G192" s="309">
        <f t="shared" si="29"/>
        <v>77.005347593582897</v>
      </c>
      <c r="H192" s="309">
        <f t="shared" si="29"/>
        <v>82.447058823529417</v>
      </c>
      <c r="I192" s="264">
        <f t="shared" si="32"/>
        <v>0</v>
      </c>
      <c r="J192" s="309">
        <f t="shared" si="30"/>
        <v>361.77268616219476</v>
      </c>
      <c r="K192" s="309">
        <f t="shared" si="30"/>
        <v>493.32639022117473</v>
      </c>
      <c r="L192" s="309">
        <f t="shared" si="30"/>
        <v>528.18812179680447</v>
      </c>
      <c r="M192" s="264">
        <f t="shared" si="33"/>
        <v>0</v>
      </c>
      <c r="N192" s="370">
        <f t="shared" si="31"/>
        <v>48.846012944193433</v>
      </c>
      <c r="O192" s="370">
        <f t="shared" si="31"/>
        <v>66.608199469354687</v>
      </c>
      <c r="P192" s="370">
        <f t="shared" si="31"/>
        <v>71.315178898522404</v>
      </c>
      <c r="Q192" s="264">
        <f t="shared" si="34"/>
        <v>0</v>
      </c>
      <c r="AE192" s="3"/>
      <c r="AL192" s="12"/>
    </row>
    <row r="193" spans="3:38" ht="13.5" thickBot="1" x14ac:dyDescent="0.4">
      <c r="C193" s="12" t="str" cm="1">
        <f t="array" ref="C193">INDEX('List Values'!$B$2:$B$20,(1+ROUNDDOWN((ROW()-ROW($C$125))*1/6,2)))</f>
        <v>Application of paints and coatings</v>
      </c>
      <c r="D193" s="307" t="s">
        <v>74</v>
      </c>
      <c r="E193" s="374" t="s">
        <v>92</v>
      </c>
      <c r="F193" s="309">
        <f t="shared" si="29"/>
        <v>3.924676556255513</v>
      </c>
      <c r="G193" s="309">
        <f t="shared" si="29"/>
        <v>5.3518316676211537</v>
      </c>
      <c r="H193" s="309">
        <f t="shared" si="29"/>
        <v>5.7300277721330497</v>
      </c>
      <c r="I193" s="264">
        <f t="shared" si="32"/>
        <v>0</v>
      </c>
      <c r="J193" s="309">
        <f t="shared" si="30"/>
        <v>196.81043856469739</v>
      </c>
      <c r="K193" s="309">
        <f t="shared" si="30"/>
        <v>268.37787077004185</v>
      </c>
      <c r="L193" s="309">
        <f t="shared" si="30"/>
        <v>287.34324030445816</v>
      </c>
      <c r="M193" s="264">
        <f t="shared" si="33"/>
        <v>0</v>
      </c>
      <c r="N193" s="370">
        <f t="shared" si="31"/>
        <v>3.8479431652793479</v>
      </c>
      <c r="O193" s="370">
        <f t="shared" si="31"/>
        <v>5.2471952253809278</v>
      </c>
      <c r="P193" s="370">
        <f t="shared" si="31"/>
        <v>5.6179970213078478</v>
      </c>
      <c r="Q193" s="264">
        <f t="shared" si="34"/>
        <v>0</v>
      </c>
      <c r="AE193" s="3"/>
      <c r="AL193" s="12"/>
    </row>
    <row r="194" spans="3:38" ht="13.5" thickBot="1" x14ac:dyDescent="0.4">
      <c r="C194" s="12" t="str" cm="1">
        <f t="array" ref="C194">INDEX('List Values'!$B$2:$B$20,(1+ROUNDDOWN((ROW()-ROW($C$125))*1/6,2)))</f>
        <v>Application of paints and coatings</v>
      </c>
      <c r="D194" s="307" t="s">
        <v>74</v>
      </c>
      <c r="E194" s="307" t="s">
        <v>93</v>
      </c>
      <c r="F194" s="309">
        <f t="shared" si="29"/>
        <v>51.123529411764714</v>
      </c>
      <c r="G194" s="309">
        <f t="shared" si="29"/>
        <v>69.713903743315512</v>
      </c>
      <c r="H194" s="309">
        <f t="shared" si="29"/>
        <v>74.640352941176488</v>
      </c>
      <c r="I194" s="264">
        <f t="shared" si="32"/>
        <v>0</v>
      </c>
      <c r="J194" s="309">
        <f t="shared" si="30"/>
        <v>393.62087712939478</v>
      </c>
      <c r="K194" s="309">
        <f t="shared" si="30"/>
        <v>536.7557415400837</v>
      </c>
      <c r="L194" s="309">
        <f t="shared" si="30"/>
        <v>574.68648060891633</v>
      </c>
      <c r="M194" s="264">
        <f t="shared" si="33"/>
        <v>0</v>
      </c>
      <c r="N194" s="370">
        <f t="shared" si="31"/>
        <v>45.246861327635159</v>
      </c>
      <c r="O194" s="370">
        <f t="shared" si="31"/>
        <v>61.700265446775219</v>
      </c>
      <c r="P194" s="370">
        <f t="shared" si="31"/>
        <v>66.060417538347338</v>
      </c>
      <c r="Q194" s="264">
        <f t="shared" si="34"/>
        <v>0</v>
      </c>
      <c r="AE194" s="3"/>
      <c r="AL194" s="12"/>
    </row>
    <row r="195" spans="3:38" ht="13.5" thickBot="1" x14ac:dyDescent="0.4">
      <c r="C195" s="12" t="str" cm="1">
        <f t="array" ref="C195">INDEX('List Values'!$B$2:$B$20,(1+ROUNDDOWN((ROW()-ROW($C$125))*1/6,2)))</f>
        <v>Application of paints and coatings</v>
      </c>
      <c r="D195" s="307" t="s">
        <v>94</v>
      </c>
      <c r="E195" s="374" t="s">
        <v>92</v>
      </c>
      <c r="F195" s="309">
        <f t="shared" si="29"/>
        <v>47.096338995523396</v>
      </c>
      <c r="G195" s="309">
        <f t="shared" si="29"/>
        <v>64.222280448440998</v>
      </c>
      <c r="H195" s="309">
        <f t="shared" si="29"/>
        <v>68.760654933464167</v>
      </c>
      <c r="I195" s="264">
        <f t="shared" si="32"/>
        <v>0</v>
      </c>
      <c r="J195" s="309">
        <f t="shared" si="30"/>
        <v>723.54537232438952</v>
      </c>
      <c r="K195" s="309">
        <f t="shared" si="30"/>
        <v>986.65278044234947</v>
      </c>
      <c r="L195" s="309">
        <f t="shared" si="30"/>
        <v>1056.3762435936089</v>
      </c>
      <c r="M195" s="264">
        <f t="shared" si="33"/>
        <v>0</v>
      </c>
      <c r="N195" s="370">
        <f t="shared" si="31"/>
        <v>44.218133580217916</v>
      </c>
      <c r="O195" s="370">
        <f t="shared" si="31"/>
        <v>60.297454882115346</v>
      </c>
      <c r="P195" s="370">
        <f t="shared" si="31"/>
        <v>64.558475027118163</v>
      </c>
      <c r="Q195" s="264">
        <f t="shared" si="34"/>
        <v>0</v>
      </c>
      <c r="AE195" s="3"/>
      <c r="AL195" s="12"/>
    </row>
    <row r="196" spans="3:38" ht="13.5" thickBot="1" x14ac:dyDescent="0.4">
      <c r="C196" s="12" t="str" cm="1">
        <f t="array" ref="C196">INDEX('List Values'!$B$2:$B$20,(1+ROUNDDOWN((ROW()-ROW($C$125))*1/6,2)))</f>
        <v>Application of paints and coatings</v>
      </c>
      <c r="D196" s="307" t="s">
        <v>94</v>
      </c>
      <c r="E196" s="307" t="s">
        <v>93</v>
      </c>
      <c r="F196" s="309">
        <f t="shared" si="29"/>
        <v>56.470588235294116</v>
      </c>
      <c r="G196" s="309">
        <f t="shared" si="29"/>
        <v>77.005347593582897</v>
      </c>
      <c r="H196" s="309">
        <f t="shared" si="29"/>
        <v>82.447058823529417</v>
      </c>
      <c r="I196" s="264">
        <f t="shared" si="32"/>
        <v>0</v>
      </c>
      <c r="J196" s="309">
        <f t="shared" si="30"/>
        <v>723.54537232438952</v>
      </c>
      <c r="K196" s="309">
        <f t="shared" si="30"/>
        <v>986.65278044234947</v>
      </c>
      <c r="L196" s="309">
        <f t="shared" si="30"/>
        <v>1056.3762435936089</v>
      </c>
      <c r="M196" s="264">
        <f t="shared" si="33"/>
        <v>0</v>
      </c>
      <c r="N196" s="370">
        <f t="shared" si="31"/>
        <v>52.382303511796934</v>
      </c>
      <c r="O196" s="370">
        <f t="shared" si="31"/>
        <v>71.430413879723091</v>
      </c>
      <c r="P196" s="370">
        <f t="shared" si="31"/>
        <v>76.478163127223524</v>
      </c>
      <c r="Q196" s="264">
        <f t="shared" si="34"/>
        <v>0</v>
      </c>
      <c r="AE196" s="3"/>
      <c r="AL196" s="12"/>
    </row>
    <row r="197" spans="3:38" ht="13.5" thickBot="1" x14ac:dyDescent="0.4">
      <c r="C197" s="12" t="str" cm="1">
        <f t="array" ref="C197">INDEX('List Values'!$B$2:$B$20,(1+ROUNDDOWN((ROW()-ROW($C$125))*1/6,2)))</f>
        <v>Application of Adhesives and Sealants</v>
      </c>
      <c r="D197" s="307" t="s">
        <v>214</v>
      </c>
      <c r="E197" s="374" t="s">
        <v>92</v>
      </c>
      <c r="F197" s="309">
        <f t="shared" si="29"/>
        <v>19200</v>
      </c>
      <c r="G197" s="309">
        <f t="shared" si="29"/>
        <v>26181.818181818184</v>
      </c>
      <c r="H197" s="309">
        <f t="shared" si="29"/>
        <v>28032</v>
      </c>
      <c r="I197" s="264">
        <f t="shared" si="32"/>
        <v>0</v>
      </c>
      <c r="J197" s="309">
        <f t="shared" si="30"/>
        <v>180.88634308109738</v>
      </c>
      <c r="K197" s="309">
        <f t="shared" si="30"/>
        <v>246.66319511058737</v>
      </c>
      <c r="L197" s="309">
        <f t="shared" si="30"/>
        <v>264.09406089840223</v>
      </c>
      <c r="M197" s="264">
        <f t="shared" si="33"/>
        <v>0</v>
      </c>
      <c r="N197" s="370">
        <f t="shared" si="31"/>
        <v>179.1980885537221</v>
      </c>
      <c r="O197" s="370">
        <f t="shared" si="31"/>
        <v>244.36102984598472</v>
      </c>
      <c r="P197" s="370">
        <f t="shared" si="31"/>
        <v>261.62920928843431</v>
      </c>
      <c r="Q197" s="264">
        <f t="shared" si="34"/>
        <v>0</v>
      </c>
      <c r="AE197" s="3"/>
      <c r="AL197" s="12"/>
    </row>
    <row r="198" spans="3:38" ht="13.5" thickBot="1" x14ac:dyDescent="0.4">
      <c r="C198" s="12" t="str" cm="1">
        <f t="array" ref="C198">INDEX('List Values'!$B$2:$B$20,(1+ROUNDDOWN((ROW()-ROW($C$125))*1/6,2)))</f>
        <v>Application of Adhesives and Sealants</v>
      </c>
      <c r="D198" s="307" t="s">
        <v>214</v>
      </c>
      <c r="E198" s="307" t="s">
        <v>93</v>
      </c>
      <c r="F198" s="309">
        <f t="shared" si="29"/>
        <v>38400</v>
      </c>
      <c r="G198" s="309">
        <f t="shared" si="29"/>
        <v>52363.636363636368</v>
      </c>
      <c r="H198" s="309">
        <f t="shared" si="29"/>
        <v>60413.793103448268</v>
      </c>
      <c r="I198" s="264">
        <f t="shared" si="32"/>
        <v>0</v>
      </c>
      <c r="J198" s="309">
        <f t="shared" si="30"/>
        <v>361.77268616219476</v>
      </c>
      <c r="K198" s="309">
        <f t="shared" si="30"/>
        <v>493.32639022117473</v>
      </c>
      <c r="L198" s="309">
        <f t="shared" si="30"/>
        <v>569.16823469483222</v>
      </c>
      <c r="M198" s="264">
        <f t="shared" si="33"/>
        <v>0</v>
      </c>
      <c r="N198" s="370">
        <f t="shared" si="31"/>
        <v>358.3961771074442</v>
      </c>
      <c r="O198" s="370">
        <f t="shared" si="31"/>
        <v>488.72205969196943</v>
      </c>
      <c r="P198" s="370">
        <f t="shared" si="31"/>
        <v>563.8560545009359</v>
      </c>
      <c r="Q198" s="264">
        <f t="shared" si="34"/>
        <v>0</v>
      </c>
      <c r="AE198" s="3"/>
      <c r="AL198" s="12"/>
    </row>
    <row r="199" spans="3:38" ht="13.5" thickBot="1" x14ac:dyDescent="0.4">
      <c r="C199" s="12" t="str" cm="1">
        <f t="array" ref="C199">INDEX('List Values'!$B$2:$B$20,(1+ROUNDDOWN((ROW()-ROW($C$125))*1/6,2)))</f>
        <v>Application of Adhesives and Sealants</v>
      </c>
      <c r="D199" s="307" t="s">
        <v>74</v>
      </c>
      <c r="E199" s="374" t="s">
        <v>92</v>
      </c>
      <c r="F199" s="309">
        <f t="shared" si="29"/>
        <v>17382</v>
      </c>
      <c r="G199" s="309">
        <f t="shared" si="29"/>
        <v>23702.727272727272</v>
      </c>
      <c r="H199" s="309">
        <f t="shared" si="29"/>
        <v>25377.720000000005</v>
      </c>
      <c r="I199" s="264">
        <f t="shared" si="32"/>
        <v>0</v>
      </c>
      <c r="J199" s="309">
        <f t="shared" si="30"/>
        <v>196.81043856469739</v>
      </c>
      <c r="K199" s="309">
        <f t="shared" si="30"/>
        <v>268.37787077004185</v>
      </c>
      <c r="L199" s="309">
        <f t="shared" si="30"/>
        <v>287.34324030445816</v>
      </c>
      <c r="M199" s="264">
        <f t="shared" si="33"/>
        <v>0</v>
      </c>
      <c r="N199" s="370">
        <f t="shared" si="31"/>
        <v>194.60697042540554</v>
      </c>
      <c r="O199" s="370">
        <f t="shared" si="31"/>
        <v>265.37314148918932</v>
      </c>
      <c r="P199" s="370">
        <f t="shared" si="31"/>
        <v>284.12617682109209</v>
      </c>
      <c r="Q199" s="264">
        <f t="shared" si="34"/>
        <v>0</v>
      </c>
      <c r="AE199" s="3"/>
      <c r="AL199" s="12"/>
    </row>
    <row r="200" spans="3:38" ht="13.5" thickBot="1" x14ac:dyDescent="0.4">
      <c r="C200" s="12" t="str" cm="1">
        <f t="array" ref="C200">INDEX('List Values'!$B$2:$B$20,(1+ROUNDDOWN((ROW()-ROW($C$125))*1/6,2)))</f>
        <v>Application of Adhesives and Sealants</v>
      </c>
      <c r="D200" s="307" t="s">
        <v>74</v>
      </c>
      <c r="E200" s="307" t="s">
        <v>93</v>
      </c>
      <c r="F200" s="309">
        <f t="shared" si="29"/>
        <v>34764</v>
      </c>
      <c r="G200" s="309">
        <f t="shared" si="29"/>
        <v>47405.454545454544</v>
      </c>
      <c r="H200" s="309">
        <f t="shared" si="29"/>
        <v>54693.362068965522</v>
      </c>
      <c r="I200" s="264">
        <f t="shared" si="32"/>
        <v>0</v>
      </c>
      <c r="J200" s="309">
        <f t="shared" si="30"/>
        <v>393.62087712939478</v>
      </c>
      <c r="K200" s="309">
        <f t="shared" si="30"/>
        <v>536.7557415400837</v>
      </c>
      <c r="L200" s="309">
        <f t="shared" si="30"/>
        <v>619.27422479409097</v>
      </c>
      <c r="M200" s="264">
        <f t="shared" si="33"/>
        <v>0</v>
      </c>
      <c r="N200" s="370">
        <f t="shared" si="31"/>
        <v>389.21394085081107</v>
      </c>
      <c r="O200" s="370">
        <f t="shared" si="31"/>
        <v>530.74628297837864</v>
      </c>
      <c r="P200" s="370">
        <f t="shared" si="31"/>
        <v>612.34089832131917</v>
      </c>
      <c r="Q200" s="264">
        <f t="shared" si="34"/>
        <v>0</v>
      </c>
      <c r="AE200" s="3"/>
      <c r="AL200" s="12"/>
    </row>
    <row r="201" spans="3:38" ht="13.5" thickBot="1" x14ac:dyDescent="0.4">
      <c r="C201" s="12" t="str" cm="1">
        <f t="array" ref="C201">INDEX('List Values'!$B$2:$B$20,(1+ROUNDDOWN((ROW()-ROW($C$125))*1/6,2)))</f>
        <v>Application of Adhesives and Sealants</v>
      </c>
      <c r="D201" s="307" t="s">
        <v>94</v>
      </c>
      <c r="E201" s="374" t="s">
        <v>92</v>
      </c>
      <c r="F201" s="309">
        <f t="shared" si="29"/>
        <v>38400</v>
      </c>
      <c r="G201" s="309">
        <f t="shared" si="29"/>
        <v>52363.636363636368</v>
      </c>
      <c r="H201" s="309">
        <f t="shared" si="29"/>
        <v>56064</v>
      </c>
      <c r="I201" s="264">
        <f t="shared" si="32"/>
        <v>0</v>
      </c>
      <c r="J201" s="309" t="str">
        <f t="shared" si="30"/>
        <v/>
      </c>
      <c r="K201" s="309" t="str">
        <f t="shared" si="30"/>
        <v/>
      </c>
      <c r="L201" s="309" t="str">
        <f t="shared" si="30"/>
        <v/>
      </c>
      <c r="M201" s="264">
        <f t="shared" si="33"/>
        <v>0</v>
      </c>
      <c r="N201" s="370">
        <f t="shared" si="31"/>
        <v>38400</v>
      </c>
      <c r="O201" s="370">
        <f t="shared" si="31"/>
        <v>52363.636363636368</v>
      </c>
      <c r="P201" s="370">
        <f t="shared" si="31"/>
        <v>56064</v>
      </c>
      <c r="Q201" s="264">
        <f t="shared" si="34"/>
        <v>0</v>
      </c>
      <c r="AE201" s="3"/>
      <c r="AL201" s="12"/>
    </row>
    <row r="202" spans="3:38" ht="13.5" thickBot="1" x14ac:dyDescent="0.4">
      <c r="C202" s="12" t="str" cm="1">
        <f t="array" ref="C202">INDEX('List Values'!$B$2:$B$20,(1+ROUNDDOWN((ROW()-ROW($C$125))*1/6,2)))</f>
        <v>Application of Adhesives and Sealants</v>
      </c>
      <c r="D202" s="307" t="s">
        <v>94</v>
      </c>
      <c r="E202" s="307" t="s">
        <v>93</v>
      </c>
      <c r="F202" s="309">
        <f t="shared" si="29"/>
        <v>38400</v>
      </c>
      <c r="G202" s="309">
        <f t="shared" si="29"/>
        <v>52363.636363636368</v>
      </c>
      <c r="H202" s="309">
        <f t="shared" si="29"/>
        <v>60413.793103448268</v>
      </c>
      <c r="I202" s="264">
        <f t="shared" si="32"/>
        <v>0</v>
      </c>
      <c r="J202" s="309" t="str">
        <f t="shared" si="30"/>
        <v/>
      </c>
      <c r="K202" s="309" t="str">
        <f t="shared" si="30"/>
        <v/>
      </c>
      <c r="L202" s="309" t="str">
        <f t="shared" si="30"/>
        <v/>
      </c>
      <c r="M202" s="264">
        <f t="shared" si="33"/>
        <v>0</v>
      </c>
      <c r="N202" s="370">
        <f t="shared" si="31"/>
        <v>38400</v>
      </c>
      <c r="O202" s="370">
        <f t="shared" si="31"/>
        <v>52363.636363636368</v>
      </c>
      <c r="P202" s="370">
        <f t="shared" si="31"/>
        <v>60413.793103448268</v>
      </c>
      <c r="Q202" s="264">
        <f t="shared" si="34"/>
        <v>0</v>
      </c>
      <c r="AE202" s="3"/>
      <c r="AL202" s="12"/>
    </row>
    <row r="203" spans="3:38" ht="13.5" thickBot="1" x14ac:dyDescent="0.4">
      <c r="C203" s="12" t="str" cm="1">
        <f t="array" ref="C203">INDEX('List Values'!$B$2:$B$20,(1+ROUNDDOWN((ROW()-ROW($C$125))*1/6,2)))</f>
        <v>Use of Laboratory Chemicals (Solid)</v>
      </c>
      <c r="D203" s="307" t="s">
        <v>214</v>
      </c>
      <c r="E203" s="374" t="s">
        <v>92</v>
      </c>
      <c r="F203" s="309">
        <f t="shared" si="29"/>
        <v>11851.85185185185</v>
      </c>
      <c r="G203" s="309">
        <f t="shared" si="29"/>
        <v>16161.616161616159</v>
      </c>
      <c r="H203" s="309">
        <f t="shared" si="29"/>
        <v>17303.703703703701</v>
      </c>
      <c r="I203" s="264">
        <f t="shared" si="32"/>
        <v>0</v>
      </c>
      <c r="J203" s="309">
        <f t="shared" si="30"/>
        <v>1007.6328186009019</v>
      </c>
      <c r="K203" s="309">
        <f t="shared" si="30"/>
        <v>1374.0447526375935</v>
      </c>
      <c r="L203" s="309">
        <f t="shared" si="30"/>
        <v>1471.1439151573168</v>
      </c>
      <c r="M203" s="264">
        <f t="shared" si="33"/>
        <v>0</v>
      </c>
      <c r="N203" s="370">
        <f t="shared" si="31"/>
        <v>928.67756315007443</v>
      </c>
      <c r="O203" s="370">
        <f t="shared" si="31"/>
        <v>1266.3784952046469</v>
      </c>
      <c r="P203" s="370">
        <f t="shared" si="31"/>
        <v>1355.8692421991086</v>
      </c>
      <c r="Q203" s="264">
        <f t="shared" si="34"/>
        <v>0</v>
      </c>
      <c r="AE203" s="3"/>
      <c r="AL203" s="12"/>
    </row>
    <row r="204" spans="3:38" ht="13.5" thickBot="1" x14ac:dyDescent="0.4">
      <c r="C204" s="12" t="str" cm="1">
        <f t="array" ref="C204">INDEX('List Values'!$B$2:$B$20,(1+ROUNDDOWN((ROW()-ROW($C$125))*1/6,2)))</f>
        <v>Use of Laboratory Chemicals (Solid)</v>
      </c>
      <c r="D204" s="307" t="s">
        <v>214</v>
      </c>
      <c r="E204" s="307" t="s">
        <v>93</v>
      </c>
      <c r="F204" s="309">
        <f t="shared" si="29"/>
        <v>168421.05263157896</v>
      </c>
      <c r="G204" s="309">
        <f t="shared" si="29"/>
        <v>229665.07177033494</v>
      </c>
      <c r="H204" s="309">
        <f t="shared" si="29"/>
        <v>261590.14557670773</v>
      </c>
      <c r="I204" s="264">
        <f t="shared" si="32"/>
        <v>0</v>
      </c>
      <c r="J204" s="309">
        <f t="shared" si="30"/>
        <v>2015.2656372018039</v>
      </c>
      <c r="K204" s="309">
        <f t="shared" si="30"/>
        <v>2748.0895052751871</v>
      </c>
      <c r="L204" s="309">
        <f t="shared" si="30"/>
        <v>3130.0934365049293</v>
      </c>
      <c r="M204" s="264">
        <f t="shared" si="33"/>
        <v>0</v>
      </c>
      <c r="N204" s="370">
        <f t="shared" si="31"/>
        <v>1991.4368216668327</v>
      </c>
      <c r="O204" s="370">
        <f t="shared" si="31"/>
        <v>2715.5956659093172</v>
      </c>
      <c r="P204" s="370">
        <f t="shared" si="31"/>
        <v>3093.0827230144423</v>
      </c>
      <c r="Q204" s="264">
        <f t="shared" si="34"/>
        <v>0</v>
      </c>
      <c r="AE204" s="3"/>
      <c r="AL204" s="12"/>
    </row>
    <row r="205" spans="3:38" ht="13.5" thickBot="1" x14ac:dyDescent="0.4">
      <c r="C205" s="12" t="str" cm="1">
        <f t="array" ref="C205">INDEX('List Values'!$B$2:$B$20,(1+ROUNDDOWN((ROW()-ROW($C$125))*1/6,2)))</f>
        <v>Use of Laboratory Chemicals (Solid)</v>
      </c>
      <c r="D205" s="307" t="s">
        <v>74</v>
      </c>
      <c r="E205" s="374" t="s">
        <v>92</v>
      </c>
      <c r="F205" s="309">
        <f t="shared" ref="F205:H224" si="35">F$123/G85</f>
        <v>10729.62962962963</v>
      </c>
      <c r="G205" s="309">
        <f t="shared" si="35"/>
        <v>14631.313131313129</v>
      </c>
      <c r="H205" s="309">
        <f t="shared" si="35"/>
        <v>15665.259259259257</v>
      </c>
      <c r="I205" s="264">
        <f t="shared" si="32"/>
        <v>0</v>
      </c>
      <c r="J205" s="309">
        <f t="shared" ref="J205:L224" si="36">IFERROR(J$123/K85,"")</f>
        <v>1096.3384717889701</v>
      </c>
      <c r="K205" s="309">
        <f t="shared" si="36"/>
        <v>1495.0070069849592</v>
      </c>
      <c r="L205" s="309">
        <f t="shared" si="36"/>
        <v>1600.6541688118962</v>
      </c>
      <c r="M205" s="264">
        <f t="shared" si="33"/>
        <v>0</v>
      </c>
      <c r="N205" s="370">
        <f t="shared" ref="N205:P224" si="37">N$123/O85</f>
        <v>994.70129211651761</v>
      </c>
      <c r="O205" s="370">
        <f t="shared" si="37"/>
        <v>1356.4108528861602</v>
      </c>
      <c r="P205" s="370">
        <f t="shared" si="37"/>
        <v>1452.2638864901155</v>
      </c>
      <c r="Q205" s="264">
        <f t="shared" si="34"/>
        <v>0</v>
      </c>
      <c r="AE205" s="3"/>
      <c r="AL205" s="12"/>
    </row>
    <row r="206" spans="3:38" ht="13.5" thickBot="1" x14ac:dyDescent="0.4">
      <c r="C206" s="12" t="str" cm="1">
        <f t="array" ref="C206">INDEX('List Values'!$B$2:$B$20,(1+ROUNDDOWN((ROW()-ROW($C$125))*1/6,2)))</f>
        <v>Use of Laboratory Chemicals (Solid)</v>
      </c>
      <c r="D206" s="307" t="s">
        <v>74</v>
      </c>
      <c r="E206" s="307" t="s">
        <v>93</v>
      </c>
      <c r="F206" s="309">
        <f t="shared" si="35"/>
        <v>152473.68421052632</v>
      </c>
      <c r="G206" s="309">
        <f t="shared" si="35"/>
        <v>207918.66028708135</v>
      </c>
      <c r="H206" s="309">
        <f t="shared" si="35"/>
        <v>236820.82866741324</v>
      </c>
      <c r="I206" s="264">
        <f t="shared" si="32"/>
        <v>0</v>
      </c>
      <c r="J206" s="309">
        <f t="shared" si="36"/>
        <v>2192.6769435779402</v>
      </c>
      <c r="K206" s="309">
        <f t="shared" si="36"/>
        <v>2990.0140139699183</v>
      </c>
      <c r="L206" s="309">
        <f t="shared" si="36"/>
        <v>3405.647167684886</v>
      </c>
      <c r="M206" s="264">
        <f t="shared" si="33"/>
        <v>0</v>
      </c>
      <c r="N206" s="370">
        <f t="shared" si="37"/>
        <v>2161.5917603291537</v>
      </c>
      <c r="O206" s="370">
        <f t="shared" si="37"/>
        <v>2947.6251277215733</v>
      </c>
      <c r="P206" s="370">
        <f t="shared" si="37"/>
        <v>3357.365925617622</v>
      </c>
      <c r="Q206" s="264">
        <f t="shared" si="34"/>
        <v>0</v>
      </c>
      <c r="AE206" s="3"/>
      <c r="AL206" s="12"/>
    </row>
    <row r="207" spans="3:38" ht="13.5" thickBot="1" x14ac:dyDescent="0.4">
      <c r="C207" s="12" t="str" cm="1">
        <f t="array" ref="C207">INDEX('List Values'!$B$2:$B$20,(1+ROUNDDOWN((ROW()-ROW($C$125))*1/6,2)))</f>
        <v>Use of Laboratory Chemicals (Solid)</v>
      </c>
      <c r="D207" s="307" t="s">
        <v>94</v>
      </c>
      <c r="E207" s="374" t="s">
        <v>92</v>
      </c>
      <c r="F207" s="309">
        <f t="shared" si="35"/>
        <v>168421.05263157896</v>
      </c>
      <c r="G207" s="309">
        <f t="shared" si="35"/>
        <v>229665.07177033494</v>
      </c>
      <c r="H207" s="309">
        <f t="shared" si="35"/>
        <v>245894.73684210528</v>
      </c>
      <c r="I207" s="264">
        <f t="shared" si="32"/>
        <v>0</v>
      </c>
      <c r="J207" s="309">
        <f t="shared" si="36"/>
        <v>4023.0116265036013</v>
      </c>
      <c r="K207" s="309">
        <f t="shared" si="36"/>
        <v>5485.9249452321828</v>
      </c>
      <c r="L207" s="309">
        <f t="shared" si="36"/>
        <v>5873.5969746952587</v>
      </c>
      <c r="M207" s="264">
        <f t="shared" si="33"/>
        <v>0</v>
      </c>
      <c r="N207" s="370">
        <f t="shared" si="37"/>
        <v>3929.1572939893717</v>
      </c>
      <c r="O207" s="370">
        <f t="shared" si="37"/>
        <v>5357.9417645309622</v>
      </c>
      <c r="P207" s="370">
        <f t="shared" si="37"/>
        <v>5736.5696492244842</v>
      </c>
      <c r="Q207" s="264">
        <f t="shared" si="34"/>
        <v>0</v>
      </c>
      <c r="AE207" s="3"/>
      <c r="AL207" s="12"/>
    </row>
    <row r="208" spans="3:38" ht="13.5" thickBot="1" x14ac:dyDescent="0.4">
      <c r="C208" s="12" t="str" cm="1">
        <f t="array" ref="C208">INDEX('List Values'!$B$2:$B$20,(1+ROUNDDOWN((ROW()-ROW($C$125))*1/6,2)))</f>
        <v>Use of Laboratory Chemicals (Solid)</v>
      </c>
      <c r="D208" s="307" t="s">
        <v>94</v>
      </c>
      <c r="E208" s="307" t="s">
        <v>93</v>
      </c>
      <c r="F208" s="309">
        <f t="shared" si="35"/>
        <v>168421.05263157896</v>
      </c>
      <c r="G208" s="309">
        <f t="shared" si="35"/>
        <v>229665.07177033494</v>
      </c>
      <c r="H208" s="309">
        <f t="shared" si="35"/>
        <v>261590.14557670773</v>
      </c>
      <c r="I208" s="264">
        <f t="shared" si="32"/>
        <v>0</v>
      </c>
      <c r="J208" s="309">
        <f t="shared" si="36"/>
        <v>4023.0116265036013</v>
      </c>
      <c r="K208" s="309">
        <f t="shared" si="36"/>
        <v>5485.9249452321828</v>
      </c>
      <c r="L208" s="309">
        <f t="shared" si="36"/>
        <v>6248.5074198885713</v>
      </c>
      <c r="M208" s="264">
        <f t="shared" si="33"/>
        <v>0</v>
      </c>
      <c r="N208" s="370">
        <f t="shared" si="37"/>
        <v>3929.1572939893717</v>
      </c>
      <c r="O208" s="370">
        <f t="shared" si="37"/>
        <v>5357.9417645309622</v>
      </c>
      <c r="P208" s="370">
        <f t="shared" si="37"/>
        <v>6102.7336693877478</v>
      </c>
      <c r="Q208" s="264">
        <f t="shared" si="34"/>
        <v>0</v>
      </c>
      <c r="AE208" s="3"/>
      <c r="AL208" s="12"/>
    </row>
    <row r="209" spans="3:38" ht="13.5" thickBot="1" x14ac:dyDescent="0.4">
      <c r="C209" s="12" t="str" cm="1">
        <f t="array" ref="C209">INDEX('List Values'!$B$2:$B$20,(1+ROUNDDOWN((ROW()-ROW($C$125))*1/6,2)))</f>
        <v>Use of Laboratory Chemicals (Liquid)</v>
      </c>
      <c r="D209" s="307" t="s">
        <v>214</v>
      </c>
      <c r="E209" s="374" t="s">
        <v>92</v>
      </c>
      <c r="F209" s="309">
        <f t="shared" si="35"/>
        <v>209.8360655737705</v>
      </c>
      <c r="G209" s="309">
        <f t="shared" si="35"/>
        <v>286.1400894187779</v>
      </c>
      <c r="H209" s="309">
        <f t="shared" si="35"/>
        <v>306.36065573770492</v>
      </c>
      <c r="I209" s="264">
        <f t="shared" si="32"/>
        <v>0</v>
      </c>
      <c r="J209" s="309">
        <f t="shared" si="36"/>
        <v>180.88634308109738</v>
      </c>
      <c r="K209" s="309">
        <f t="shared" si="36"/>
        <v>246.66319511058737</v>
      </c>
      <c r="L209" s="309">
        <f t="shared" si="36"/>
        <v>264.09406089840223</v>
      </c>
      <c r="M209" s="264">
        <f t="shared" si="33"/>
        <v>0</v>
      </c>
      <c r="N209" s="370">
        <f t="shared" si="37"/>
        <v>97.144360567484981</v>
      </c>
      <c r="O209" s="370">
        <f t="shared" si="37"/>
        <v>132.46958259202495</v>
      </c>
      <c r="P209" s="370">
        <f t="shared" si="37"/>
        <v>141.83076642852808</v>
      </c>
      <c r="Q209" s="264">
        <f t="shared" si="34"/>
        <v>0</v>
      </c>
      <c r="AE209" s="3"/>
      <c r="AL209" s="12"/>
    </row>
    <row r="210" spans="3:38" ht="13.5" thickBot="1" x14ac:dyDescent="0.4">
      <c r="C210" s="12" t="str" cm="1">
        <f t="array" ref="C210">INDEX('List Values'!$B$2:$B$20,(1+ROUNDDOWN((ROW()-ROW($C$125))*1/6,2)))</f>
        <v>Use of Laboratory Chemicals (Liquid)</v>
      </c>
      <c r="D210" s="307" t="s">
        <v>214</v>
      </c>
      <c r="E210" s="307" t="s">
        <v>93</v>
      </c>
      <c r="F210" s="309">
        <f t="shared" si="35"/>
        <v>960</v>
      </c>
      <c r="G210" s="309">
        <f t="shared" si="35"/>
        <v>1309.090909090909</v>
      </c>
      <c r="H210" s="309">
        <f t="shared" si="35"/>
        <v>1491.063829787234</v>
      </c>
      <c r="I210" s="264">
        <f t="shared" si="32"/>
        <v>0</v>
      </c>
      <c r="J210" s="309">
        <f t="shared" si="36"/>
        <v>361.77268616219476</v>
      </c>
      <c r="K210" s="309">
        <f t="shared" si="36"/>
        <v>493.32639022117473</v>
      </c>
      <c r="L210" s="309">
        <f t="shared" si="36"/>
        <v>561.90225723064293</v>
      </c>
      <c r="M210" s="264">
        <f t="shared" si="33"/>
        <v>0</v>
      </c>
      <c r="N210" s="370">
        <f t="shared" si="37"/>
        <v>262.75454346398072</v>
      </c>
      <c r="O210" s="370">
        <f t="shared" si="37"/>
        <v>358.30165017815557</v>
      </c>
      <c r="P210" s="370">
        <f t="shared" si="37"/>
        <v>408.1081206993743</v>
      </c>
      <c r="Q210" s="264">
        <f t="shared" si="34"/>
        <v>0</v>
      </c>
      <c r="AE210" s="3"/>
      <c r="AL210" s="12"/>
    </row>
    <row r="211" spans="3:38" ht="13.5" thickBot="1" x14ac:dyDescent="0.4">
      <c r="C211" s="12" t="str" cm="1">
        <f t="array" ref="C211">INDEX('List Values'!$B$2:$B$20,(1+ROUNDDOWN((ROW()-ROW($C$125))*1/6,2)))</f>
        <v>Use of Laboratory Chemicals (Liquid)</v>
      </c>
      <c r="D211" s="307" t="s">
        <v>74</v>
      </c>
      <c r="E211" s="374" t="s">
        <v>92</v>
      </c>
      <c r="F211" s="309">
        <f t="shared" si="35"/>
        <v>189.96721311475412</v>
      </c>
      <c r="G211" s="309">
        <f t="shared" si="35"/>
        <v>259.04619970193744</v>
      </c>
      <c r="H211" s="309">
        <f t="shared" si="35"/>
        <v>277.35213114754106</v>
      </c>
      <c r="I211" s="264">
        <f t="shared" si="32"/>
        <v>0</v>
      </c>
      <c r="J211" s="309">
        <f t="shared" si="36"/>
        <v>196.81043856469739</v>
      </c>
      <c r="K211" s="309">
        <f t="shared" si="36"/>
        <v>268.37787077004185</v>
      </c>
      <c r="L211" s="309">
        <f t="shared" si="36"/>
        <v>287.34324030445816</v>
      </c>
      <c r="M211" s="264">
        <f t="shared" si="33"/>
        <v>0</v>
      </c>
      <c r="N211" s="370">
        <f t="shared" si="37"/>
        <v>96.664143762405487</v>
      </c>
      <c r="O211" s="370">
        <f t="shared" si="37"/>
        <v>131.81474149418929</v>
      </c>
      <c r="P211" s="370">
        <f t="shared" si="37"/>
        <v>141.129649893112</v>
      </c>
      <c r="Q211" s="264">
        <f t="shared" si="34"/>
        <v>0</v>
      </c>
      <c r="AE211" s="3"/>
      <c r="AL211" s="12"/>
    </row>
    <row r="212" spans="3:38" ht="13.5" thickBot="1" x14ac:dyDescent="0.4">
      <c r="C212" s="12" t="str" cm="1">
        <f t="array" ref="C212">INDEX('List Values'!$B$2:$B$20,(1+ROUNDDOWN((ROW()-ROW($C$125))*1/6,2)))</f>
        <v>Use of Laboratory Chemicals (Liquid)</v>
      </c>
      <c r="D212" s="307" t="s">
        <v>74</v>
      </c>
      <c r="E212" s="307" t="s">
        <v>93</v>
      </c>
      <c r="F212" s="309">
        <f t="shared" si="35"/>
        <v>869.10000000000014</v>
      </c>
      <c r="G212" s="309">
        <f t="shared" si="35"/>
        <v>1185.136363636364</v>
      </c>
      <c r="H212" s="309">
        <f t="shared" si="35"/>
        <v>1349.8787234042557</v>
      </c>
      <c r="I212" s="264">
        <f t="shared" si="32"/>
        <v>0</v>
      </c>
      <c r="J212" s="309">
        <f t="shared" si="36"/>
        <v>393.62087712939478</v>
      </c>
      <c r="K212" s="309">
        <f t="shared" si="36"/>
        <v>536.7557415400837</v>
      </c>
      <c r="L212" s="309">
        <f t="shared" si="36"/>
        <v>611.36859639246416</v>
      </c>
      <c r="M212" s="264">
        <f t="shared" si="33"/>
        <v>0</v>
      </c>
      <c r="N212" s="370">
        <f t="shared" si="37"/>
        <v>270.91965493661627</v>
      </c>
      <c r="O212" s="370">
        <f t="shared" si="37"/>
        <v>369.43589309538572</v>
      </c>
      <c r="P212" s="370">
        <f t="shared" si="37"/>
        <v>420.79010234836142</v>
      </c>
      <c r="Q212" s="264">
        <f t="shared" si="34"/>
        <v>0</v>
      </c>
      <c r="AE212" s="3"/>
      <c r="AL212" s="12"/>
    </row>
    <row r="213" spans="3:38" ht="13.5" thickBot="1" x14ac:dyDescent="0.4">
      <c r="C213" s="12" t="str" cm="1">
        <f t="array" ref="C213">INDEX('List Values'!$B$2:$B$20,(1+ROUNDDOWN((ROW()-ROW($C$125))*1/6,2)))</f>
        <v>Use of Laboratory Chemicals (Liquid)</v>
      </c>
      <c r="D213" s="307" t="s">
        <v>94</v>
      </c>
      <c r="E213" s="374" t="s">
        <v>92</v>
      </c>
      <c r="F213" s="309">
        <f t="shared" si="35"/>
        <v>960</v>
      </c>
      <c r="G213" s="309">
        <f t="shared" si="35"/>
        <v>1309.090909090909</v>
      </c>
      <c r="H213" s="309">
        <f t="shared" si="35"/>
        <v>1401.6000000000001</v>
      </c>
      <c r="I213" s="264">
        <f t="shared" si="32"/>
        <v>0</v>
      </c>
      <c r="J213" s="309" t="str">
        <f t="shared" si="36"/>
        <v/>
      </c>
      <c r="K213" s="309" t="str">
        <f t="shared" si="36"/>
        <v/>
      </c>
      <c r="L213" s="309" t="str">
        <f t="shared" si="36"/>
        <v/>
      </c>
      <c r="M213" s="264">
        <f t="shared" si="33"/>
        <v>0</v>
      </c>
      <c r="N213" s="370">
        <f t="shared" si="37"/>
        <v>960</v>
      </c>
      <c r="O213" s="370">
        <f t="shared" si="37"/>
        <v>1309.090909090909</v>
      </c>
      <c r="P213" s="370">
        <f t="shared" si="37"/>
        <v>1401.6000000000001</v>
      </c>
      <c r="Q213" s="264">
        <f t="shared" si="34"/>
        <v>0</v>
      </c>
      <c r="AE213" s="3"/>
      <c r="AL213" s="12"/>
    </row>
    <row r="214" spans="3:38" ht="13.5" thickBot="1" x14ac:dyDescent="0.4">
      <c r="C214" s="12" t="str" cm="1">
        <f t="array" ref="C214">INDEX('List Values'!$B$2:$B$20,(1+ROUNDDOWN((ROW()-ROW($C$125))*1/6,2)))</f>
        <v>Use of Laboratory Chemicals (Liquid)</v>
      </c>
      <c r="D214" s="307" t="s">
        <v>94</v>
      </c>
      <c r="E214" s="307" t="s">
        <v>93</v>
      </c>
      <c r="F214" s="309">
        <f t="shared" si="35"/>
        <v>960</v>
      </c>
      <c r="G214" s="309">
        <f t="shared" si="35"/>
        <v>1309.090909090909</v>
      </c>
      <c r="H214" s="309">
        <f t="shared" si="35"/>
        <v>1491.063829787234</v>
      </c>
      <c r="I214" s="264">
        <f t="shared" si="32"/>
        <v>0</v>
      </c>
      <c r="J214" s="309" t="str">
        <f t="shared" si="36"/>
        <v/>
      </c>
      <c r="K214" s="309" t="str">
        <f t="shared" si="36"/>
        <v/>
      </c>
      <c r="L214" s="309" t="str">
        <f t="shared" si="36"/>
        <v/>
      </c>
      <c r="M214" s="264">
        <f t="shared" si="33"/>
        <v>0</v>
      </c>
      <c r="N214" s="370">
        <f t="shared" si="37"/>
        <v>960</v>
      </c>
      <c r="O214" s="370">
        <f t="shared" si="37"/>
        <v>1309.090909090909</v>
      </c>
      <c r="P214" s="370">
        <f t="shared" si="37"/>
        <v>1491.063829787234</v>
      </c>
      <c r="Q214" s="264">
        <f t="shared" si="34"/>
        <v>0</v>
      </c>
      <c r="AE214" s="3"/>
      <c r="AL214" s="12"/>
    </row>
    <row r="215" spans="3:38" ht="13.5" thickBot="1" x14ac:dyDescent="0.4">
      <c r="C215" s="12" t="str" cm="1">
        <f t="array" ref="C215">INDEX('List Values'!$B$2:$B$20,(1+ROUNDDOWN((ROW()-ROW($C$125))*1/6,2)))</f>
        <v>Use of Lubricants and Functional Fluids</v>
      </c>
      <c r="D215" s="307" t="s">
        <v>214</v>
      </c>
      <c r="E215" s="374" t="s">
        <v>92</v>
      </c>
      <c r="F215" s="309">
        <f t="shared" si="35"/>
        <v>19200</v>
      </c>
      <c r="G215" s="309">
        <f t="shared" si="35"/>
        <v>144000</v>
      </c>
      <c r="H215" s="309">
        <f t="shared" si="35"/>
        <v>1752000</v>
      </c>
      <c r="I215" s="264">
        <f t="shared" si="32"/>
        <v>0</v>
      </c>
      <c r="J215" s="309">
        <f t="shared" si="36"/>
        <v>180.88634308109738</v>
      </c>
      <c r="K215" s="309">
        <f t="shared" si="36"/>
        <v>1356.6475731082303</v>
      </c>
      <c r="L215" s="309">
        <f t="shared" si="36"/>
        <v>16505.878806150136</v>
      </c>
      <c r="M215" s="264">
        <f t="shared" si="33"/>
        <v>0</v>
      </c>
      <c r="N215" s="370">
        <f t="shared" si="37"/>
        <v>179.1980885537221</v>
      </c>
      <c r="O215" s="370">
        <f t="shared" si="37"/>
        <v>1343.9856641529157</v>
      </c>
      <c r="P215" s="370">
        <f t="shared" si="37"/>
        <v>16351.82558052714</v>
      </c>
      <c r="Q215" s="264">
        <f t="shared" si="34"/>
        <v>0</v>
      </c>
      <c r="AE215" s="3"/>
      <c r="AL215" s="12"/>
    </row>
    <row r="216" spans="3:38" ht="13.5" thickBot="1" x14ac:dyDescent="0.4">
      <c r="C216" s="12" t="str" cm="1">
        <f t="array" ref="C216">INDEX('List Values'!$B$2:$B$20,(1+ROUNDDOWN((ROW()-ROW($C$125))*1/6,2)))</f>
        <v>Use of Lubricants and Functional Fluids</v>
      </c>
      <c r="D216" s="307" t="s">
        <v>214</v>
      </c>
      <c r="E216" s="307" t="s">
        <v>93</v>
      </c>
      <c r="F216" s="309">
        <f t="shared" si="35"/>
        <v>38400</v>
      </c>
      <c r="G216" s="309">
        <f t="shared" si="35"/>
        <v>576000</v>
      </c>
      <c r="H216" s="309">
        <f t="shared" si="35"/>
        <v>7008000</v>
      </c>
      <c r="I216" s="264">
        <f t="shared" si="32"/>
        <v>0</v>
      </c>
      <c r="J216" s="309">
        <f t="shared" si="36"/>
        <v>361.77268616219476</v>
      </c>
      <c r="K216" s="309">
        <f t="shared" si="36"/>
        <v>5426.5902924329212</v>
      </c>
      <c r="L216" s="309">
        <f t="shared" si="36"/>
        <v>66023.515224600545</v>
      </c>
      <c r="M216" s="264">
        <f t="shared" si="33"/>
        <v>0</v>
      </c>
      <c r="N216" s="370">
        <f t="shared" si="37"/>
        <v>358.3961771074442</v>
      </c>
      <c r="O216" s="370">
        <f t="shared" si="37"/>
        <v>5375.9426566116626</v>
      </c>
      <c r="P216" s="370">
        <f t="shared" si="37"/>
        <v>65407.30232210856</v>
      </c>
      <c r="Q216" s="264">
        <f t="shared" si="34"/>
        <v>0</v>
      </c>
      <c r="AE216" s="3"/>
      <c r="AL216" s="12"/>
    </row>
    <row r="217" spans="3:38" ht="13.5" thickBot="1" x14ac:dyDescent="0.4">
      <c r="C217" s="12" t="str" cm="1">
        <f t="array" ref="C217">INDEX('List Values'!$B$2:$B$20,(1+ROUNDDOWN((ROW()-ROW($C$125))*1/6,2)))</f>
        <v>Use of Lubricants and Functional Fluids</v>
      </c>
      <c r="D217" s="307" t="s">
        <v>74</v>
      </c>
      <c r="E217" s="374" t="s">
        <v>92</v>
      </c>
      <c r="F217" s="309">
        <f t="shared" si="35"/>
        <v>17382</v>
      </c>
      <c r="G217" s="309">
        <f t="shared" si="35"/>
        <v>130365.00000000001</v>
      </c>
      <c r="H217" s="309">
        <f t="shared" si="35"/>
        <v>1586107.5</v>
      </c>
      <c r="I217" s="264">
        <f t="shared" si="32"/>
        <v>0</v>
      </c>
      <c r="J217" s="309">
        <f t="shared" si="36"/>
        <v>196.81043856469739</v>
      </c>
      <c r="K217" s="309">
        <f t="shared" si="36"/>
        <v>1476.0782892352302</v>
      </c>
      <c r="L217" s="309">
        <f t="shared" si="36"/>
        <v>17958.952519028637</v>
      </c>
      <c r="M217" s="264">
        <f t="shared" si="33"/>
        <v>0</v>
      </c>
      <c r="N217" s="370">
        <f t="shared" si="37"/>
        <v>194.60697042540554</v>
      </c>
      <c r="O217" s="370">
        <f t="shared" si="37"/>
        <v>1459.5522781905413</v>
      </c>
      <c r="P217" s="370">
        <f t="shared" si="37"/>
        <v>17757.886051318255</v>
      </c>
      <c r="Q217" s="264">
        <f t="shared" si="34"/>
        <v>0</v>
      </c>
      <c r="AE217" s="3"/>
      <c r="AL217" s="12"/>
    </row>
    <row r="218" spans="3:38" ht="13.5" thickBot="1" x14ac:dyDescent="0.4">
      <c r="C218" s="12" t="str" cm="1">
        <f t="array" ref="C218">INDEX('List Values'!$B$2:$B$20,(1+ROUNDDOWN((ROW()-ROW($C$125))*1/6,2)))</f>
        <v>Use of Lubricants and Functional Fluids</v>
      </c>
      <c r="D218" s="307" t="s">
        <v>74</v>
      </c>
      <c r="E218" s="307" t="s">
        <v>93</v>
      </c>
      <c r="F218" s="309">
        <f t="shared" si="35"/>
        <v>34764</v>
      </c>
      <c r="G218" s="309">
        <f t="shared" si="35"/>
        <v>521460.00000000006</v>
      </c>
      <c r="H218" s="309">
        <f t="shared" si="35"/>
        <v>6344430</v>
      </c>
      <c r="I218" s="264">
        <f t="shared" si="32"/>
        <v>0</v>
      </c>
      <c r="J218" s="309">
        <f t="shared" si="36"/>
        <v>393.62087712939478</v>
      </c>
      <c r="K218" s="309">
        <f t="shared" si="36"/>
        <v>5904.3131569409206</v>
      </c>
      <c r="L218" s="309">
        <f t="shared" si="36"/>
        <v>71835.810076114547</v>
      </c>
      <c r="M218" s="264">
        <f t="shared" si="33"/>
        <v>0</v>
      </c>
      <c r="N218" s="370">
        <f t="shared" si="37"/>
        <v>389.21394085081107</v>
      </c>
      <c r="O218" s="370">
        <f t="shared" si="37"/>
        <v>5838.2091127621652</v>
      </c>
      <c r="P218" s="370">
        <f t="shared" si="37"/>
        <v>71031.544205273021</v>
      </c>
      <c r="Q218" s="264">
        <f t="shared" si="34"/>
        <v>0</v>
      </c>
      <c r="AE218" s="3"/>
      <c r="AL218" s="12"/>
    </row>
    <row r="219" spans="3:38" ht="13.5" thickBot="1" x14ac:dyDescent="0.4">
      <c r="C219" s="12" t="str" cm="1">
        <f t="array" ref="C219">INDEX('List Values'!$B$2:$B$20,(1+ROUNDDOWN((ROW()-ROW($C$125))*1/6,2)))</f>
        <v>Use of Lubricants and Functional Fluids</v>
      </c>
      <c r="D219" s="307" t="s">
        <v>94</v>
      </c>
      <c r="E219" s="374" t="s">
        <v>92</v>
      </c>
      <c r="F219" s="309">
        <f t="shared" si="35"/>
        <v>38400</v>
      </c>
      <c r="G219" s="309">
        <f t="shared" si="35"/>
        <v>288000</v>
      </c>
      <c r="H219" s="309">
        <f t="shared" si="35"/>
        <v>3504000</v>
      </c>
      <c r="I219" s="264">
        <f t="shared" si="32"/>
        <v>0</v>
      </c>
      <c r="J219" s="309" t="str">
        <f t="shared" si="36"/>
        <v/>
      </c>
      <c r="K219" s="309" t="str">
        <f t="shared" si="36"/>
        <v/>
      </c>
      <c r="L219" s="309" t="str">
        <f t="shared" si="36"/>
        <v/>
      </c>
      <c r="M219" s="264">
        <f t="shared" si="33"/>
        <v>0</v>
      </c>
      <c r="N219" s="370">
        <f t="shared" si="37"/>
        <v>38400</v>
      </c>
      <c r="O219" s="370">
        <f t="shared" si="37"/>
        <v>288000</v>
      </c>
      <c r="P219" s="370">
        <f t="shared" si="37"/>
        <v>3504000</v>
      </c>
      <c r="Q219" s="264">
        <f t="shared" si="34"/>
        <v>0</v>
      </c>
      <c r="AE219" s="3"/>
      <c r="AL219" s="12"/>
    </row>
    <row r="220" spans="3:38" ht="13.5" thickBot="1" x14ac:dyDescent="0.4">
      <c r="C220" s="12" t="str" cm="1">
        <f t="array" ref="C220">INDEX('List Values'!$B$2:$B$20,(1+ROUNDDOWN((ROW()-ROW($C$125))*1/6,2)))</f>
        <v>Use of Lubricants and Functional Fluids</v>
      </c>
      <c r="D220" s="307" t="s">
        <v>94</v>
      </c>
      <c r="E220" s="307" t="s">
        <v>93</v>
      </c>
      <c r="F220" s="309">
        <f t="shared" si="35"/>
        <v>38400</v>
      </c>
      <c r="G220" s="309">
        <f t="shared" si="35"/>
        <v>576000</v>
      </c>
      <c r="H220" s="309">
        <f t="shared" si="35"/>
        <v>7008000</v>
      </c>
      <c r="I220" s="264">
        <f t="shared" si="32"/>
        <v>0</v>
      </c>
      <c r="J220" s="309" t="str">
        <f t="shared" si="36"/>
        <v/>
      </c>
      <c r="K220" s="309" t="str">
        <f t="shared" si="36"/>
        <v/>
      </c>
      <c r="L220" s="309" t="str">
        <f t="shared" si="36"/>
        <v/>
      </c>
      <c r="M220" s="264">
        <f t="shared" si="33"/>
        <v>0</v>
      </c>
      <c r="N220" s="370">
        <f t="shared" si="37"/>
        <v>38400</v>
      </c>
      <c r="O220" s="370">
        <f t="shared" si="37"/>
        <v>576000</v>
      </c>
      <c r="P220" s="370">
        <f t="shared" si="37"/>
        <v>7008000</v>
      </c>
      <c r="Q220" s="264">
        <f t="shared" si="34"/>
        <v>0</v>
      </c>
      <c r="AE220" s="3"/>
      <c r="AL220" s="12"/>
    </row>
    <row r="221" spans="3:38" ht="13.5" thickBot="1" x14ac:dyDescent="0.4">
      <c r="C221" s="12" t="str" cm="1">
        <f t="array" ref="C221">INDEX('List Values'!$B$2:$B$20,(1+ROUNDDOWN((ROW()-ROW($C$125))*1/6,2)))</f>
        <v>Recycling</v>
      </c>
      <c r="D221" s="307" t="s">
        <v>214</v>
      </c>
      <c r="E221" s="374" t="s">
        <v>92</v>
      </c>
      <c r="F221" s="309">
        <f t="shared" si="35"/>
        <v>60.952380952380956</v>
      </c>
      <c r="G221" s="309">
        <f t="shared" si="35"/>
        <v>83.116883116883116</v>
      </c>
      <c r="H221" s="309">
        <f t="shared" si="35"/>
        <v>88.990476190476187</v>
      </c>
      <c r="I221" s="264">
        <f t="shared" ref="I221:I238" si="38">I$123*J101</f>
        <v>0</v>
      </c>
      <c r="J221" s="309">
        <f t="shared" si="36"/>
        <v>1007.6328186009019</v>
      </c>
      <c r="K221" s="309">
        <f t="shared" si="36"/>
        <v>1374.0447526375935</v>
      </c>
      <c r="L221" s="309">
        <f t="shared" si="36"/>
        <v>1471.1439151573168</v>
      </c>
      <c r="M221" s="264">
        <f t="shared" ref="M221:M238" si="39">IFERROR(M$123*N101,"")</f>
        <v>0</v>
      </c>
      <c r="N221" s="370">
        <f t="shared" si="37"/>
        <v>57.475641104854247</v>
      </c>
      <c r="O221" s="370">
        <f t="shared" si="37"/>
        <v>78.375874233892148</v>
      </c>
      <c r="P221" s="370">
        <f t="shared" si="37"/>
        <v>83.914436013087212</v>
      </c>
      <c r="Q221" s="264">
        <f t="shared" ref="Q221:Q238" si="40">Q$123*R101</f>
        <v>0</v>
      </c>
      <c r="AE221" s="3"/>
      <c r="AL221" s="12"/>
    </row>
    <row r="222" spans="3:38" ht="13.5" thickBot="1" x14ac:dyDescent="0.4">
      <c r="C222" s="12" t="str" cm="1">
        <f t="array" ref="C222">INDEX('List Values'!$B$2:$B$20,(1+ROUNDDOWN((ROW()-ROW($C$125))*1/6,2)))</f>
        <v>Recycling</v>
      </c>
      <c r="D222" s="307" t="s">
        <v>214</v>
      </c>
      <c r="E222" s="307" t="s">
        <v>93</v>
      </c>
      <c r="F222" s="309">
        <f t="shared" si="35"/>
        <v>888.8888888888888</v>
      </c>
      <c r="G222" s="309">
        <f t="shared" si="35"/>
        <v>1212.121212121212</v>
      </c>
      <c r="H222" s="309">
        <f t="shared" si="35"/>
        <v>1454.9078226208271</v>
      </c>
      <c r="I222" s="264">
        <f t="shared" si="38"/>
        <v>0</v>
      </c>
      <c r="J222" s="309">
        <f t="shared" si="36"/>
        <v>2015.2656372018039</v>
      </c>
      <c r="K222" s="309">
        <f t="shared" si="36"/>
        <v>2748.0895052751871</v>
      </c>
      <c r="L222" s="309">
        <f t="shared" si="36"/>
        <v>3298.5289577518315</v>
      </c>
      <c r="M222" s="264">
        <f t="shared" si="39"/>
        <v>0</v>
      </c>
      <c r="N222" s="370">
        <f t="shared" si="37"/>
        <v>616.82228578918557</v>
      </c>
      <c r="O222" s="370">
        <f t="shared" si="37"/>
        <v>841.1212988034348</v>
      </c>
      <c r="P222" s="370">
        <f t="shared" si="37"/>
        <v>1009.5970148567386</v>
      </c>
      <c r="Q222" s="264">
        <f t="shared" si="40"/>
        <v>0</v>
      </c>
      <c r="AE222" s="3"/>
      <c r="AL222" s="12"/>
    </row>
    <row r="223" spans="3:38" ht="13.5" thickBot="1" x14ac:dyDescent="0.4">
      <c r="C223" s="12" t="str" cm="1">
        <f t="array" ref="C223">INDEX('List Values'!$B$2:$B$20,(1+ROUNDDOWN((ROW()-ROW($C$125))*1/6,2)))</f>
        <v>Recycling</v>
      </c>
      <c r="D223" s="307" t="s">
        <v>74</v>
      </c>
      <c r="E223" s="374" t="s">
        <v>92</v>
      </c>
      <c r="F223" s="309">
        <f t="shared" si="35"/>
        <v>55.180952380952391</v>
      </c>
      <c r="G223" s="309">
        <f t="shared" si="35"/>
        <v>75.246753246753258</v>
      </c>
      <c r="H223" s="309">
        <f t="shared" si="35"/>
        <v>80.564190476190475</v>
      </c>
      <c r="I223" s="264">
        <f t="shared" si="38"/>
        <v>0</v>
      </c>
      <c r="J223" s="309">
        <f t="shared" si="36"/>
        <v>1096.3384717889701</v>
      </c>
      <c r="K223" s="309">
        <f t="shared" si="36"/>
        <v>1495.0070069849592</v>
      </c>
      <c r="L223" s="309">
        <f t="shared" si="36"/>
        <v>1600.6541688118962</v>
      </c>
      <c r="M223" s="264">
        <f t="shared" si="39"/>
        <v>0</v>
      </c>
      <c r="N223" s="370">
        <f t="shared" si="37"/>
        <v>52.536674358578701</v>
      </c>
      <c r="O223" s="370">
        <f t="shared" si="37"/>
        <v>71.640919579880048</v>
      </c>
      <c r="P223" s="370">
        <f t="shared" si="37"/>
        <v>76.703544563524886</v>
      </c>
      <c r="Q223" s="264">
        <f t="shared" si="40"/>
        <v>0</v>
      </c>
      <c r="AE223" s="3"/>
      <c r="AL223" s="12"/>
    </row>
    <row r="224" spans="3:38" ht="13.5" thickBot="1" x14ac:dyDescent="0.4">
      <c r="C224" s="12" t="str" cm="1">
        <f t="array" ref="C224">INDEX('List Values'!$B$2:$B$20,(1+ROUNDDOWN((ROW()-ROW($C$125))*1/6,2)))</f>
        <v>Recycling</v>
      </c>
      <c r="D224" s="307" t="s">
        <v>74</v>
      </c>
      <c r="E224" s="307" t="s">
        <v>93</v>
      </c>
      <c r="F224" s="309">
        <f t="shared" si="35"/>
        <v>804.72222222222229</v>
      </c>
      <c r="G224" s="309">
        <f t="shared" si="35"/>
        <v>1097.3484848484848</v>
      </c>
      <c r="H224" s="309">
        <f t="shared" si="35"/>
        <v>1317.1462381664178</v>
      </c>
      <c r="I224" s="264">
        <f t="shared" si="38"/>
        <v>0</v>
      </c>
      <c r="J224" s="309">
        <f t="shared" si="36"/>
        <v>2192.6769435779402</v>
      </c>
      <c r="K224" s="309">
        <f t="shared" si="36"/>
        <v>2990.0140139699183</v>
      </c>
      <c r="L224" s="309">
        <f t="shared" si="36"/>
        <v>3588.9106924033549</v>
      </c>
      <c r="M224" s="264">
        <f t="shared" si="39"/>
        <v>0</v>
      </c>
      <c r="N224" s="370">
        <f t="shared" si="37"/>
        <v>588.67563679341788</v>
      </c>
      <c r="O224" s="370">
        <f t="shared" si="37"/>
        <v>802.7395047182971</v>
      </c>
      <c r="P224" s="370">
        <f t="shared" si="37"/>
        <v>963.52738757667066</v>
      </c>
      <c r="Q224" s="264">
        <f t="shared" si="40"/>
        <v>0</v>
      </c>
      <c r="AE224" s="3"/>
      <c r="AL224" s="12"/>
    </row>
    <row r="225" spans="3:38" ht="13.5" thickBot="1" x14ac:dyDescent="0.4">
      <c r="C225" s="12" t="str" cm="1">
        <f t="array" ref="C225">INDEX('List Values'!$B$2:$B$20,(1+ROUNDDOWN((ROW()-ROW($C$125))*1/6,2)))</f>
        <v>Recycling</v>
      </c>
      <c r="D225" s="307" t="s">
        <v>94</v>
      </c>
      <c r="E225" s="374" t="s">
        <v>92</v>
      </c>
      <c r="F225" s="309">
        <f t="shared" ref="F225:H238" si="41">F$123/G105</f>
        <v>888.8888888888888</v>
      </c>
      <c r="G225" s="309">
        <f t="shared" si="41"/>
        <v>1212.121212121212</v>
      </c>
      <c r="H225" s="309">
        <f t="shared" si="41"/>
        <v>1297.7777777777776</v>
      </c>
      <c r="I225" s="264">
        <f t="shared" si="38"/>
        <v>0</v>
      </c>
      <c r="J225" s="309">
        <f t="shared" ref="J225:L238" si="42">IFERROR(J$123/K105,"")</f>
        <v>4023.0116265036013</v>
      </c>
      <c r="K225" s="309">
        <f t="shared" si="42"/>
        <v>5485.9249452321828</v>
      </c>
      <c r="L225" s="309">
        <f t="shared" si="42"/>
        <v>5873.5969746952587</v>
      </c>
      <c r="M225" s="264">
        <f t="shared" si="39"/>
        <v>0</v>
      </c>
      <c r="N225" s="370">
        <f t="shared" ref="N225:P238" si="43">N$123/O105</f>
        <v>728.02987834620728</v>
      </c>
      <c r="O225" s="370">
        <f t="shared" si="43"/>
        <v>992.7680159266464</v>
      </c>
      <c r="P225" s="370">
        <f t="shared" si="43"/>
        <v>1062.9236223854625</v>
      </c>
      <c r="Q225" s="264">
        <f t="shared" si="40"/>
        <v>0</v>
      </c>
      <c r="AE225" s="3"/>
      <c r="AL225" s="12"/>
    </row>
    <row r="226" spans="3:38" ht="13.5" thickBot="1" x14ac:dyDescent="0.4">
      <c r="C226" s="12" t="str" cm="1">
        <f t="array" ref="C226">INDEX('List Values'!$B$2:$B$20,(1+ROUNDDOWN((ROW()-ROW($C$125))*1/6,2)))</f>
        <v>Recycling</v>
      </c>
      <c r="D226" s="307" t="s">
        <v>94</v>
      </c>
      <c r="E226" s="307" t="s">
        <v>93</v>
      </c>
      <c r="F226" s="309">
        <f t="shared" si="41"/>
        <v>888.8888888888888</v>
      </c>
      <c r="G226" s="309">
        <f t="shared" si="41"/>
        <v>1212.121212121212</v>
      </c>
      <c r="H226" s="309">
        <f t="shared" si="41"/>
        <v>1454.9078226208271</v>
      </c>
      <c r="I226" s="264">
        <f t="shared" si="38"/>
        <v>0</v>
      </c>
      <c r="J226" s="309">
        <f t="shared" si="42"/>
        <v>4023.0116265036013</v>
      </c>
      <c r="K226" s="309">
        <f t="shared" si="42"/>
        <v>5485.9249452321828</v>
      </c>
      <c r="L226" s="309">
        <f t="shared" si="42"/>
        <v>6584.7499716314542</v>
      </c>
      <c r="M226" s="264">
        <f t="shared" si="39"/>
        <v>0</v>
      </c>
      <c r="N226" s="370">
        <f t="shared" si="43"/>
        <v>728.02987834620728</v>
      </c>
      <c r="O226" s="370">
        <f t="shared" si="43"/>
        <v>992.7680159266464</v>
      </c>
      <c r="P226" s="370">
        <f t="shared" si="43"/>
        <v>1191.6184107460344</v>
      </c>
      <c r="Q226" s="264">
        <f t="shared" si="40"/>
        <v>0</v>
      </c>
      <c r="AE226" s="3"/>
      <c r="AL226" s="12"/>
    </row>
    <row r="227" spans="3:38" ht="13.5" thickBot="1" x14ac:dyDescent="0.4">
      <c r="C227" s="12" t="str" cm="1">
        <f t="array" ref="C227">INDEX('List Values'!$B$2:$B$20,(1+ROUNDDOWN((ROW()-ROW($C$125))*1/6,2)))</f>
        <v>Fabrication or Use of Final Products and Articles</v>
      </c>
      <c r="D227" s="307" t="s">
        <v>214</v>
      </c>
      <c r="E227" s="374" t="s">
        <v>92</v>
      </c>
      <c r="F227" s="309">
        <f t="shared" si="41"/>
        <v>118.51851851851849</v>
      </c>
      <c r="G227" s="309">
        <f t="shared" si="41"/>
        <v>161.61616161616161</v>
      </c>
      <c r="H227" s="309">
        <f t="shared" si="41"/>
        <v>173.03703703703701</v>
      </c>
      <c r="I227" s="264">
        <f t="shared" si="38"/>
        <v>0</v>
      </c>
      <c r="J227" s="309">
        <f t="shared" si="42"/>
        <v>1007.6328186009019</v>
      </c>
      <c r="K227" s="309">
        <f t="shared" si="42"/>
        <v>1374.0447526375935</v>
      </c>
      <c r="L227" s="309">
        <f t="shared" si="42"/>
        <v>1471.1439151573168</v>
      </c>
      <c r="M227" s="264">
        <f t="shared" si="39"/>
        <v>0</v>
      </c>
      <c r="N227" s="370">
        <f t="shared" si="43"/>
        <v>106.04538212127879</v>
      </c>
      <c r="O227" s="370">
        <f t="shared" si="43"/>
        <v>144.60733925628924</v>
      </c>
      <c r="P227" s="370">
        <f t="shared" si="43"/>
        <v>154.82625789706702</v>
      </c>
      <c r="Q227" s="264">
        <f t="shared" si="40"/>
        <v>0</v>
      </c>
    </row>
    <row r="228" spans="3:38" ht="13.5" thickBot="1" x14ac:dyDescent="0.4">
      <c r="C228" s="12" t="str" cm="1">
        <f t="array" ref="C228">INDEX('List Values'!$B$2:$B$20,(1+ROUNDDOWN((ROW()-ROW($C$125))*1/6,2)))</f>
        <v>Fabrication or Use of Final Products and Articles</v>
      </c>
      <c r="D228" s="307" t="s">
        <v>214</v>
      </c>
      <c r="E228" s="307" t="s">
        <v>93</v>
      </c>
      <c r="F228" s="309">
        <f t="shared" si="41"/>
        <v>1066.6666666666665</v>
      </c>
      <c r="G228" s="309">
        <f t="shared" si="41"/>
        <v>1454.5454545454545</v>
      </c>
      <c r="H228" s="309">
        <f t="shared" si="41"/>
        <v>1557.333333333333</v>
      </c>
      <c r="I228" s="264">
        <f t="shared" si="38"/>
        <v>0</v>
      </c>
      <c r="J228" s="309">
        <f t="shared" si="42"/>
        <v>2015.2656372018039</v>
      </c>
      <c r="K228" s="309">
        <f t="shared" si="42"/>
        <v>2748.0895052751871</v>
      </c>
      <c r="L228" s="309">
        <f t="shared" si="42"/>
        <v>2942.2878303146335</v>
      </c>
      <c r="M228" s="264">
        <f t="shared" si="39"/>
        <v>0</v>
      </c>
      <c r="N228" s="370">
        <f t="shared" si="43"/>
        <v>697.48990819289088</v>
      </c>
      <c r="O228" s="370">
        <f t="shared" si="43"/>
        <v>951.12260208121472</v>
      </c>
      <c r="P228" s="370">
        <f t="shared" si="43"/>
        <v>1018.3352659616206</v>
      </c>
      <c r="Q228" s="264">
        <f t="shared" si="40"/>
        <v>0</v>
      </c>
    </row>
    <row r="229" spans="3:38" ht="13.5" thickBot="1" x14ac:dyDescent="0.4">
      <c r="C229" s="12" t="str" cm="1">
        <f t="array" ref="C229">INDEX('List Values'!$B$2:$B$20,(1+ROUNDDOWN((ROW()-ROW($C$125))*1/6,2)))</f>
        <v>Fabrication or Use of Final Products and Articles</v>
      </c>
      <c r="D229" s="307" t="s">
        <v>74</v>
      </c>
      <c r="E229" s="374" t="s">
        <v>92</v>
      </c>
      <c r="F229" s="309">
        <f t="shared" si="41"/>
        <v>107.29629629629629</v>
      </c>
      <c r="G229" s="309">
        <f t="shared" si="41"/>
        <v>146.31313131313132</v>
      </c>
      <c r="H229" s="309">
        <f t="shared" si="41"/>
        <v>156.65259259259261</v>
      </c>
      <c r="I229" s="264">
        <f t="shared" si="38"/>
        <v>0</v>
      </c>
      <c r="J229" s="309">
        <f t="shared" si="42"/>
        <v>1096.3384717889701</v>
      </c>
      <c r="K229" s="309">
        <f t="shared" si="42"/>
        <v>1495.0070069849592</v>
      </c>
      <c r="L229" s="309">
        <f t="shared" si="42"/>
        <v>1600.6541688118962</v>
      </c>
      <c r="M229" s="264">
        <f t="shared" si="39"/>
        <v>0</v>
      </c>
      <c r="N229" s="370">
        <f t="shared" si="43"/>
        <v>97.731521744945795</v>
      </c>
      <c r="O229" s="370">
        <f t="shared" si="43"/>
        <v>133.27025692492612</v>
      </c>
      <c r="P229" s="370">
        <f t="shared" si="43"/>
        <v>142.68802174762089</v>
      </c>
      <c r="Q229" s="264">
        <f t="shared" si="40"/>
        <v>0</v>
      </c>
    </row>
    <row r="230" spans="3:38" ht="13.5" thickBot="1" x14ac:dyDescent="0.4">
      <c r="C230" s="12" t="str" cm="1">
        <f t="array" ref="C230">INDEX('List Values'!$B$2:$B$20,(1+ROUNDDOWN((ROW()-ROW($C$125))*1/6,2)))</f>
        <v>Fabrication or Use of Final Products and Articles</v>
      </c>
      <c r="D230" s="307" t="s">
        <v>74</v>
      </c>
      <c r="E230" s="307" t="s">
        <v>93</v>
      </c>
      <c r="F230" s="309">
        <f t="shared" si="41"/>
        <v>965.66666666666663</v>
      </c>
      <c r="G230" s="309">
        <f t="shared" si="41"/>
        <v>1316.8181818181818</v>
      </c>
      <c r="H230" s="309">
        <f t="shared" si="41"/>
        <v>1409.8733333333332</v>
      </c>
      <c r="I230" s="264">
        <f t="shared" si="38"/>
        <v>0</v>
      </c>
      <c r="J230" s="309">
        <f t="shared" si="42"/>
        <v>2192.6769435779402</v>
      </c>
      <c r="K230" s="309">
        <f t="shared" si="42"/>
        <v>2990.0140139699183</v>
      </c>
      <c r="L230" s="309">
        <f t="shared" si="42"/>
        <v>3201.3083376237923</v>
      </c>
      <c r="M230" s="264">
        <f t="shared" si="39"/>
        <v>0</v>
      </c>
      <c r="N230" s="370">
        <f t="shared" si="43"/>
        <v>670.41313310991404</v>
      </c>
      <c r="O230" s="370">
        <f t="shared" si="43"/>
        <v>914.19972696806462</v>
      </c>
      <c r="P230" s="370">
        <f t="shared" si="43"/>
        <v>978.80317434047447</v>
      </c>
      <c r="Q230" s="264">
        <f t="shared" si="40"/>
        <v>0</v>
      </c>
    </row>
    <row r="231" spans="3:38" ht="13.5" thickBot="1" x14ac:dyDescent="0.4">
      <c r="C231" s="12" t="str" cm="1">
        <f t="array" ref="C231">INDEX('List Values'!$B$2:$B$20,(1+ROUNDDOWN((ROW()-ROW($C$125))*1/6,2)))</f>
        <v>Fabrication or Use of Final Products and Articles</v>
      </c>
      <c r="D231" s="307" t="s">
        <v>94</v>
      </c>
      <c r="E231" s="374" t="s">
        <v>92</v>
      </c>
      <c r="F231" s="309">
        <f t="shared" si="41"/>
        <v>1066.6666666666665</v>
      </c>
      <c r="G231" s="309">
        <f t="shared" si="41"/>
        <v>1454.5454545454545</v>
      </c>
      <c r="H231" s="309">
        <f t="shared" si="41"/>
        <v>1557.333333333333</v>
      </c>
      <c r="I231" s="264">
        <f t="shared" si="38"/>
        <v>0</v>
      </c>
      <c r="J231" s="309">
        <f t="shared" si="42"/>
        <v>4023.0116265036013</v>
      </c>
      <c r="K231" s="309">
        <f t="shared" si="42"/>
        <v>5485.9249452321828</v>
      </c>
      <c r="L231" s="309">
        <f t="shared" si="42"/>
        <v>5873.5969746952587</v>
      </c>
      <c r="M231" s="264">
        <f t="shared" si="39"/>
        <v>0</v>
      </c>
      <c r="N231" s="370">
        <f t="shared" si="43"/>
        <v>843.12055780856099</v>
      </c>
      <c r="O231" s="370">
        <f t="shared" si="43"/>
        <v>1149.7098515571288</v>
      </c>
      <c r="P231" s="370">
        <f t="shared" si="43"/>
        <v>1230.956014400499</v>
      </c>
      <c r="Q231" s="264">
        <f t="shared" si="40"/>
        <v>0</v>
      </c>
    </row>
    <row r="232" spans="3:38" ht="13.5" thickBot="1" x14ac:dyDescent="0.4">
      <c r="C232" s="12" t="str" cm="1">
        <f t="array" ref="C232">INDEX('List Values'!$B$2:$B$20,(1+ROUNDDOWN((ROW()-ROW($C$125))*1/6,2)))</f>
        <v>Fabrication or Use of Final Products and Articles</v>
      </c>
      <c r="D232" s="307" t="s">
        <v>94</v>
      </c>
      <c r="E232" s="307" t="s">
        <v>93</v>
      </c>
      <c r="F232" s="309">
        <f t="shared" si="41"/>
        <v>1066.6666666666665</v>
      </c>
      <c r="G232" s="309">
        <f t="shared" si="41"/>
        <v>1454.5454545454545</v>
      </c>
      <c r="H232" s="309">
        <f t="shared" si="41"/>
        <v>1557.333333333333</v>
      </c>
      <c r="I232" s="264">
        <f t="shared" si="38"/>
        <v>0</v>
      </c>
      <c r="J232" s="309">
        <f t="shared" si="42"/>
        <v>4023.0116265036013</v>
      </c>
      <c r="K232" s="309">
        <f t="shared" si="42"/>
        <v>5485.9249452321828</v>
      </c>
      <c r="L232" s="309">
        <f t="shared" si="42"/>
        <v>5873.5969746952569</v>
      </c>
      <c r="M232" s="264">
        <f t="shared" si="39"/>
        <v>0</v>
      </c>
      <c r="N232" s="370">
        <f t="shared" si="43"/>
        <v>843.12055780856099</v>
      </c>
      <c r="O232" s="370">
        <f t="shared" si="43"/>
        <v>1149.7098515571288</v>
      </c>
      <c r="P232" s="370">
        <f t="shared" si="43"/>
        <v>1230.956014400499</v>
      </c>
      <c r="Q232" s="264">
        <f t="shared" si="40"/>
        <v>0</v>
      </c>
    </row>
    <row r="233" spans="3:38" ht="13.5" thickBot="1" x14ac:dyDescent="0.4">
      <c r="C233" s="12" t="str" cm="1">
        <f t="array" ref="C233">INDEX('List Values'!$B$2:$B$20,(1+ROUNDDOWN((ROW()-ROW($C$125))*1/6,2)))</f>
        <v>Waste handling, treatment, and disposal</v>
      </c>
      <c r="D233" s="307" t="s">
        <v>214</v>
      </c>
      <c r="E233" s="374" t="s">
        <v>92</v>
      </c>
      <c r="F233" s="309">
        <f t="shared" si="41"/>
        <v>60.952380952380956</v>
      </c>
      <c r="G233" s="309">
        <f t="shared" si="41"/>
        <v>83.116883116883116</v>
      </c>
      <c r="H233" s="309">
        <f t="shared" si="41"/>
        <v>88.990476190476187</v>
      </c>
      <c r="I233" s="264">
        <f t="shared" si="38"/>
        <v>0</v>
      </c>
      <c r="J233" s="309">
        <f t="shared" si="42"/>
        <v>1007.6328186009019</v>
      </c>
      <c r="K233" s="309">
        <f t="shared" si="42"/>
        <v>1374.0447526375935</v>
      </c>
      <c r="L233" s="309">
        <f t="shared" si="42"/>
        <v>1471.1439151573168</v>
      </c>
      <c r="M233" s="264">
        <f t="shared" si="39"/>
        <v>0</v>
      </c>
      <c r="N233" s="370">
        <f t="shared" si="43"/>
        <v>57.475641104854247</v>
      </c>
      <c r="O233" s="370">
        <f t="shared" si="43"/>
        <v>78.375874233892148</v>
      </c>
      <c r="P233" s="370">
        <f t="shared" si="43"/>
        <v>83.914436013087212</v>
      </c>
      <c r="Q233" s="264">
        <f t="shared" si="40"/>
        <v>0</v>
      </c>
    </row>
    <row r="234" spans="3:38" ht="13.5" thickBot="1" x14ac:dyDescent="0.4">
      <c r="C234" s="12" t="str" cm="1">
        <f t="array" ref="C234">INDEX('List Values'!$B$2:$B$20,(1+ROUNDDOWN((ROW()-ROW($C$125))*1/6,2)))</f>
        <v>Waste handling, treatment, and disposal</v>
      </c>
      <c r="D234" s="307" t="s">
        <v>214</v>
      </c>
      <c r="E234" s="307" t="s">
        <v>93</v>
      </c>
      <c r="F234" s="309">
        <f t="shared" si="41"/>
        <v>888.8888888888888</v>
      </c>
      <c r="G234" s="309">
        <f t="shared" si="41"/>
        <v>1212.121212121212</v>
      </c>
      <c r="H234" s="309">
        <f t="shared" si="41"/>
        <v>1297.7777777777776</v>
      </c>
      <c r="I234" s="264">
        <f t="shared" si="38"/>
        <v>0</v>
      </c>
      <c r="J234" s="309">
        <f t="shared" si="42"/>
        <v>2015.2656372018039</v>
      </c>
      <c r="K234" s="309">
        <f t="shared" si="42"/>
        <v>2748.0895052751871</v>
      </c>
      <c r="L234" s="309">
        <f t="shared" si="42"/>
        <v>2942.2878303146335</v>
      </c>
      <c r="M234" s="264">
        <f t="shared" si="39"/>
        <v>0</v>
      </c>
      <c r="N234" s="370">
        <f t="shared" si="43"/>
        <v>616.82228578918557</v>
      </c>
      <c r="O234" s="370">
        <f t="shared" si="43"/>
        <v>841.1212988034348</v>
      </c>
      <c r="P234" s="370">
        <f t="shared" si="43"/>
        <v>900.56053725221091</v>
      </c>
      <c r="Q234" s="264">
        <f t="shared" si="40"/>
        <v>0</v>
      </c>
    </row>
    <row r="235" spans="3:38" ht="13.5" thickBot="1" x14ac:dyDescent="0.4">
      <c r="C235" s="12" t="str" cm="1">
        <f t="array" ref="C235">INDEX('List Values'!$B$2:$B$20,(1+ROUNDDOWN((ROW()-ROW($C$125))*1/6,2)))</f>
        <v>Waste handling, treatment, and disposal</v>
      </c>
      <c r="D235" s="307" t="s">
        <v>74</v>
      </c>
      <c r="E235" s="374" t="s">
        <v>92</v>
      </c>
      <c r="F235" s="309">
        <f t="shared" si="41"/>
        <v>55.180952380952391</v>
      </c>
      <c r="G235" s="309">
        <f t="shared" si="41"/>
        <v>75.246753246753258</v>
      </c>
      <c r="H235" s="309">
        <f t="shared" si="41"/>
        <v>80.564190476190475</v>
      </c>
      <c r="I235" s="264">
        <f t="shared" si="38"/>
        <v>0</v>
      </c>
      <c r="J235" s="309">
        <f t="shared" si="42"/>
        <v>1096.3384717889701</v>
      </c>
      <c r="K235" s="309">
        <f t="shared" si="42"/>
        <v>1495.0070069849592</v>
      </c>
      <c r="L235" s="309">
        <f t="shared" si="42"/>
        <v>1600.6541688118962</v>
      </c>
      <c r="M235" s="264">
        <f t="shared" si="39"/>
        <v>0</v>
      </c>
      <c r="N235" s="370">
        <f t="shared" si="43"/>
        <v>52.536674358578701</v>
      </c>
      <c r="O235" s="370">
        <f t="shared" si="43"/>
        <v>71.640919579880048</v>
      </c>
      <c r="P235" s="370">
        <f t="shared" si="43"/>
        <v>76.703544563524886</v>
      </c>
      <c r="Q235" s="264">
        <f t="shared" si="40"/>
        <v>0</v>
      </c>
    </row>
    <row r="236" spans="3:38" ht="13.5" thickBot="1" x14ac:dyDescent="0.4">
      <c r="C236" s="12" t="str" cm="1">
        <f t="array" ref="C236">INDEX('List Values'!$B$2:$B$20,(1+ROUNDDOWN((ROW()-ROW($C$125))*1/6,2)))</f>
        <v>Waste handling, treatment, and disposal</v>
      </c>
      <c r="D236" s="307" t="s">
        <v>74</v>
      </c>
      <c r="E236" s="307" t="s">
        <v>93</v>
      </c>
      <c r="F236" s="309">
        <f t="shared" si="41"/>
        <v>804.72222222222229</v>
      </c>
      <c r="G236" s="309">
        <f t="shared" si="41"/>
        <v>1097.3484848484848</v>
      </c>
      <c r="H236" s="309">
        <f t="shared" si="41"/>
        <v>1174.8944444444444</v>
      </c>
      <c r="I236" s="264">
        <f t="shared" si="38"/>
        <v>0</v>
      </c>
      <c r="J236" s="309">
        <f t="shared" si="42"/>
        <v>2192.6769435779402</v>
      </c>
      <c r="K236" s="309">
        <f t="shared" si="42"/>
        <v>2990.0140139699183</v>
      </c>
      <c r="L236" s="309">
        <f t="shared" si="42"/>
        <v>3201.3083376237923</v>
      </c>
      <c r="M236" s="264">
        <f t="shared" si="39"/>
        <v>0</v>
      </c>
      <c r="N236" s="370">
        <f t="shared" si="43"/>
        <v>588.67563679341788</v>
      </c>
      <c r="O236" s="370">
        <f t="shared" si="43"/>
        <v>802.7395047182971</v>
      </c>
      <c r="P236" s="370">
        <f t="shared" si="43"/>
        <v>859.46642971839003</v>
      </c>
      <c r="Q236" s="264">
        <f t="shared" si="40"/>
        <v>0</v>
      </c>
    </row>
    <row r="237" spans="3:38" ht="13.5" thickBot="1" x14ac:dyDescent="0.4">
      <c r="C237" s="12" t="str" cm="1">
        <f t="array" ref="C237">INDEX('List Values'!$B$2:$B$20,(1+ROUNDDOWN((ROW()-ROW($C$125))*1/6,2)))</f>
        <v>Waste handling, treatment, and disposal</v>
      </c>
      <c r="D237" s="307" t="s">
        <v>94</v>
      </c>
      <c r="E237" s="374" t="s">
        <v>92</v>
      </c>
      <c r="F237" s="309">
        <f t="shared" si="41"/>
        <v>888.8888888888888</v>
      </c>
      <c r="G237" s="309">
        <f t="shared" si="41"/>
        <v>1212.121212121212</v>
      </c>
      <c r="H237" s="309">
        <f t="shared" si="41"/>
        <v>1297.7777777777776</v>
      </c>
      <c r="I237" s="264">
        <f t="shared" si="38"/>
        <v>0</v>
      </c>
      <c r="J237" s="309">
        <f t="shared" si="42"/>
        <v>4023.0116265036013</v>
      </c>
      <c r="K237" s="309">
        <f t="shared" si="42"/>
        <v>5485.9249452321828</v>
      </c>
      <c r="L237" s="309">
        <f t="shared" si="42"/>
        <v>5873.5969746952587</v>
      </c>
      <c r="M237" s="264">
        <f t="shared" si="39"/>
        <v>0</v>
      </c>
      <c r="N237" s="370">
        <f t="shared" si="43"/>
        <v>728.02987834620728</v>
      </c>
      <c r="O237" s="370">
        <f t="shared" si="43"/>
        <v>992.7680159266464</v>
      </c>
      <c r="P237" s="370">
        <f t="shared" si="43"/>
        <v>1062.9236223854625</v>
      </c>
      <c r="Q237" s="264">
        <f t="shared" si="40"/>
        <v>0</v>
      </c>
    </row>
    <row r="238" spans="3:38" x14ac:dyDescent="0.35">
      <c r="C238" s="12" t="str" cm="1">
        <f t="array" ref="C238">INDEX('List Values'!$B$2:$B$20,(1+ROUNDDOWN((ROW()-ROW($C$125))*1/6,2)))</f>
        <v>Waste handling, treatment, and disposal</v>
      </c>
      <c r="D238" s="307" t="s">
        <v>94</v>
      </c>
      <c r="E238" s="307" t="s">
        <v>93</v>
      </c>
      <c r="F238" s="309">
        <f t="shared" si="41"/>
        <v>888.8888888888888</v>
      </c>
      <c r="G238" s="309">
        <f t="shared" si="41"/>
        <v>1212.121212121212</v>
      </c>
      <c r="H238" s="309">
        <f t="shared" si="41"/>
        <v>1297.7777777777776</v>
      </c>
      <c r="I238" s="264">
        <f t="shared" si="38"/>
        <v>0</v>
      </c>
      <c r="J238" s="309">
        <f t="shared" si="42"/>
        <v>4023.0116265036013</v>
      </c>
      <c r="K238" s="309">
        <f t="shared" si="42"/>
        <v>5485.9249452321828</v>
      </c>
      <c r="L238" s="309">
        <f t="shared" si="42"/>
        <v>5873.5969746952569</v>
      </c>
      <c r="M238" s="264">
        <f t="shared" si="39"/>
        <v>0</v>
      </c>
      <c r="N238" s="370">
        <f t="shared" si="43"/>
        <v>728.02987834620728</v>
      </c>
      <c r="O238" s="370">
        <f t="shared" si="43"/>
        <v>992.7680159266464</v>
      </c>
      <c r="P238" s="370">
        <f t="shared" si="43"/>
        <v>1062.9236223854625</v>
      </c>
      <c r="Q238" s="264">
        <f t="shared" si="40"/>
        <v>0</v>
      </c>
    </row>
  </sheetData>
  <sheetProtection sheet="1" objects="1" scenarios="1" formatCells="0" formatColumns="0" formatRows="0"/>
  <autoFilter ref="C124:Q238" xr:uid="{F916B0BD-3A26-46B1-9811-A8C9CF09E75F}"/>
  <dataConsolidate link="1"/>
  <mergeCells count="6">
    <mergeCell ref="F121:I121"/>
    <mergeCell ref="J121:M121"/>
    <mergeCell ref="N121:Q121"/>
    <mergeCell ref="O3:R3"/>
    <mergeCell ref="G3:J3"/>
    <mergeCell ref="K3:N3"/>
  </mergeCells>
  <conditionalFormatting sqref="F125:H238 N125:Q238">
    <cfRule type="cellIs" dxfId="58" priority="1000" operator="greaterThanOrEqual">
      <formula>F$122</formula>
    </cfRule>
  </conditionalFormatting>
  <conditionalFormatting sqref="F125:Q238">
    <cfRule type="cellIs" dxfId="57" priority="7" stopIfTrue="1" operator="equal">
      <formula>0</formula>
    </cfRule>
    <cfRule type="containsBlanks" dxfId="56" priority="15" stopIfTrue="1">
      <formula>LEN(TRIM(F125))=0</formula>
    </cfRule>
    <cfRule type="cellIs" dxfId="55" priority="32" operator="lessThan">
      <formula>0.1</formula>
    </cfRule>
    <cfRule type="cellIs" dxfId="54" priority="33" operator="lessThan">
      <formula>10</formula>
    </cfRule>
    <cfRule type="cellIs" dxfId="53" priority="963" operator="greaterThanOrEqual">
      <formula>10</formula>
    </cfRule>
  </conditionalFormatting>
  <conditionalFormatting sqref="G5:R118">
    <cfRule type="cellIs" dxfId="52" priority="1" operator="equal">
      <formula>0</formula>
    </cfRule>
    <cfRule type="cellIs" dxfId="51" priority="2" operator="greaterThan">
      <formula>10000</formula>
    </cfRule>
    <cfRule type="cellIs" dxfId="50" priority="3" operator="between">
      <formula>10</formula>
      <formula>9999.999</formula>
    </cfRule>
    <cfRule type="cellIs" dxfId="49" priority="4" operator="between">
      <formula>1</formula>
      <formula>9.999</formula>
    </cfRule>
    <cfRule type="cellIs" dxfId="48" priority="5" operator="between">
      <formula>0.1</formula>
      <formula>0.999</formula>
    </cfRule>
    <cfRule type="cellIs" dxfId="47" priority="6" operator="lessThan">
      <formula>0.1</formula>
    </cfRule>
  </conditionalFormatting>
  <conditionalFormatting sqref="J125:L238">
    <cfRule type="cellIs" dxfId="46" priority="1005" operator="greaterThanOrEqual">
      <formula>J$122</formula>
    </cfRule>
    <cfRule type="cellIs" dxfId="45" priority="1006" operator="lessThan">
      <formula>J$122</formula>
    </cfRule>
    <cfRule type="cellIs" dxfId="44" priority="1007" operator="greaterThanOrEqual">
      <formula>#REF!</formula>
    </cfRule>
    <cfRule type="cellIs" dxfId="43" priority="1008" operator="lessThan">
      <formula>#REF!</formula>
    </cfRule>
  </conditionalFormatting>
  <conditionalFormatting sqref="M125:M238">
    <cfRule type="cellIs" dxfId="42" priority="996" operator="greaterThan">
      <formula>O$122</formula>
    </cfRule>
    <cfRule type="cellIs" dxfId="41" priority="997" operator="lessThanOrEqual">
      <formula>O$122</formula>
    </cfRule>
  </conditionalFormatting>
  <conditionalFormatting sqref="N125:Q238 F125:H238">
    <cfRule type="cellIs" dxfId="40" priority="978" operator="lessThan">
      <formula>F$122</formula>
    </cfRule>
  </conditionalFormatting>
  <conditionalFormatting sqref="Q125:Q238 I125:I238 M125:M238">
    <cfRule type="cellIs" dxfId="39" priority="982" operator="lessThanOrEqual">
      <formula>I$122</formula>
    </cfRule>
  </conditionalFormatting>
  <conditionalFormatting sqref="Q125:Q238 M125:M238 I125:I238">
    <cfRule type="cellIs" dxfId="38" priority="1004" operator="greaterThan">
      <formula>I$122</formula>
    </cfRule>
  </conditionalFormatting>
  <conditionalFormatting sqref="Q125:Q238">
    <cfRule type="cellIs" dxfId="37" priority="26" operator="greaterThan">
      <formula>#REF!</formula>
    </cfRule>
    <cfRule type="cellIs" dxfId="36" priority="31" operator="lessThanOrEqual">
      <formula>#REF!</formula>
    </cfRule>
  </conditionalFormatting>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ffa91fb-a0ff-4ac5-b2db-65c790d184a4">
      <Value>1291</Value>
      <Value>1198</Value>
      <Value>1765</Value>
    </TaxCatchAll>
    <_Source xmlns="http://schemas.microsoft.com/sharepoint/v3/fields" xsi:nil="true"/>
    <Language xmlns="http://schemas.microsoft.com/sharepoint/v3">English</Language>
    <_ip_UnifiedCompliancePolicyUIAction xmlns="http://schemas.microsoft.com/sharepoint/v3" xsi:nil="true"/>
    <j747ac98061d40f0aa7bd47e1db5675d xmlns="4ffa91fb-a0ff-4ac5-b2db-65c790d184a4">
      <Terms xmlns="http://schemas.microsoft.com/office/infopath/2007/PartnerControls"/>
    </j747ac98061d40f0aa7bd47e1db5675d>
    <External_x0020_Contributor xmlns="4ffa91fb-a0ff-4ac5-b2db-65c790d184a4" xsi:nil="true"/>
    <TaxKeywordTaxHTField xmlns="4ffa91fb-a0ff-4ac5-b2db-65c790d184a4">
      <Terms xmlns="http://schemas.microsoft.com/office/infopath/2007/PartnerControls">
        <TermInfo xmlns="http://schemas.microsoft.com/office/infopath/2007/PartnerControls">
          <TermName xmlns="http://schemas.microsoft.com/office/infopath/2007/PartnerControls">risk calculator</TermName>
          <TermId xmlns="http://schemas.microsoft.com/office/infopath/2007/PartnerControls">8af20125-90c4-4af3-92eb-7f5682895c4d</TermId>
        </TermInfo>
        <TermInfo xmlns="http://schemas.microsoft.com/office/infopath/2007/PartnerControls">
          <TermName xmlns="http://schemas.microsoft.com/office/infopath/2007/PartnerControls">occupational exposures</TermName>
          <TermId xmlns="http://schemas.microsoft.com/office/infopath/2007/PartnerControls">18774c37-cb29-4db0-967a-47bce933212b</TermId>
        </TermInfo>
        <TermInfo xmlns="http://schemas.microsoft.com/office/infopath/2007/PartnerControls">
          <TermName xmlns="http://schemas.microsoft.com/office/infopath/2007/PartnerControls">BBP</TermName>
          <TermId xmlns="http://schemas.microsoft.com/office/infopath/2007/PartnerControls">a3f980b0-e8f6-47a2-b4b1-8a9fd108f5ff</TermId>
        </TermInfo>
      </Terms>
    </TaxKeywordTaxHTField>
    <Record xmlns="4ffa91fb-a0ff-4ac5-b2db-65c790d184a4">Shared</Record>
    <_ip_UnifiedCompliancePolicyProperties xmlns="http://schemas.microsoft.com/sharepoint/v3" xsi:nil="true"/>
    <Rights xmlns="4ffa91fb-a0ff-4ac5-b2db-65c790d184a4" xsi:nil="true"/>
    <Document_x0020_Creation_x0020_Date xmlns="4ffa91fb-a0ff-4ac5-b2db-65c790d184a4">2024-10-25T18:44:02+00:00</Document_x0020_Creation_x0020_Date>
    <EPA_x0020_Office xmlns="4ffa91fb-a0ff-4ac5-b2db-65c790d184a4" xsi:nil="true"/>
    <CategoryDescription xmlns="http://schemas.microsoft.com/sharepoint.v3" xsi:nil="true"/>
    <Identifier xmlns="4ffa91fb-a0ff-4ac5-b2db-65c790d184a4" xsi:nil="true"/>
    <_Coverage xmlns="http://schemas.microsoft.com/sharepoint/v3/fields" xsi:nil="true"/>
    <Creator xmlns="4ffa91fb-a0ff-4ac5-b2db-65c790d184a4">
      <UserInfo>
        <DisplayName/>
        <AccountId xsi:nil="true"/>
        <AccountType/>
      </UserInfo>
    </Creator>
    <EPA_x0020_Related_x0020_Documents xmlns="4ffa91fb-a0ff-4ac5-b2db-65c790d184a4" xsi:nil="true"/>
    <EPA_x0020_Contributor xmlns="4ffa91fb-a0ff-4ac5-b2db-65c790d184a4">
      <UserInfo>
        <DisplayName/>
        <AccountId xsi:nil="true"/>
        <AccountType/>
      </UserInfo>
    </EPA_x0020_Contributor>
    <e3f09c3df709400db2417a7161762d62 xmlns="4ffa91fb-a0ff-4ac5-b2db-65c790d184a4">
      <Terms xmlns="http://schemas.microsoft.com/office/infopath/2007/PartnerControls"/>
    </e3f09c3df709400db2417a7161762d62>
    <lcf76f155ced4ddcb4097134ff3c332f xmlns="ead8da0f-3542-4e50-96c8-f1f698624e86">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haredContentType xmlns="Microsoft.SharePoint.Taxonomy.ContentTypeSync" SourceId="29f62856-1543-49d4-a736-4569d363f533" ContentTypeId="0x0101" PreviousValue="false"/>
</file>

<file path=customXml/item4.xml><?xml version="1.0" encoding="utf-8"?>
<ct:contentTypeSchema xmlns:ct="http://schemas.microsoft.com/office/2006/metadata/contentType" xmlns:ma="http://schemas.microsoft.com/office/2006/metadata/properties/metaAttributes" ct:_="" ma:_="" ma:contentTypeName="Document" ma:contentTypeID="0x010100D723352F79007E408EFF44D6142FFCE2" ma:contentTypeVersion="21" ma:contentTypeDescription="Create a new document." ma:contentTypeScope="" ma:versionID="6ac47ccbc9efb37c530411a1abf678bb">
  <xsd:schema xmlns:xsd="http://www.w3.org/2001/XMLSchema" xmlns:xs="http://www.w3.org/2001/XMLSchema" xmlns:p="http://schemas.microsoft.com/office/2006/metadata/properties" xmlns:ns1="http://schemas.microsoft.com/sharepoint/v3" xmlns:ns2="4ffa91fb-a0ff-4ac5-b2db-65c790d184a4" xmlns:ns3="http://schemas.microsoft.com/sharepoint.v3" xmlns:ns4="http://schemas.microsoft.com/sharepoint/v3/fields" xmlns:ns5="fecc2597-e8fd-4279-ac06-bd7c891938be" xmlns:ns6="ead8da0f-3542-4e50-96c8-f1f698624e86" targetNamespace="http://schemas.microsoft.com/office/2006/metadata/properties" ma:root="true" ma:fieldsID="d7d0fad56e7f41310fc88016d86f57c2" ns1:_="" ns2:_="" ns3:_="" ns4:_="" ns5:_="" ns6:_="">
    <xsd:import namespace="http://schemas.microsoft.com/sharepoint/v3"/>
    <xsd:import namespace="4ffa91fb-a0ff-4ac5-b2db-65c790d184a4"/>
    <xsd:import namespace="http://schemas.microsoft.com/sharepoint.v3"/>
    <xsd:import namespace="http://schemas.microsoft.com/sharepoint/v3/fields"/>
    <xsd:import namespace="fecc2597-e8fd-4279-ac06-bd7c891938be"/>
    <xsd:import namespace="ead8da0f-3542-4e50-96c8-f1f698624e86"/>
    <xsd:element name="properties">
      <xsd:complexType>
        <xsd:sequence>
          <xsd:element name="documentManagement">
            <xsd:complexType>
              <xsd:all>
                <xsd:element ref="ns2:Document_x0020_Creation_x0020_Date" minOccurs="0"/>
                <xsd:element ref="ns2:Creator" minOccurs="0"/>
                <xsd:element ref="ns2:EPA_x0020_Office" minOccurs="0"/>
                <xsd:element ref="ns2:Record" minOccurs="0"/>
                <xsd:element ref="ns3:CategoryDescription" minOccurs="0"/>
                <xsd:element ref="ns2:Identifier" minOccurs="0"/>
                <xsd:element ref="ns2:EPA_x0020_Contributor" minOccurs="0"/>
                <xsd:element ref="ns2:External_x0020_Contributor" minOccurs="0"/>
                <xsd:element ref="ns4:_Coverage" minOccurs="0"/>
                <xsd:element ref="ns2:EPA_x0020_Related_x0020_Documents" minOccurs="0"/>
                <xsd:element ref="ns4:_Source" minOccurs="0"/>
                <xsd:element ref="ns2:Rights" minOccurs="0"/>
                <xsd:element ref="ns1:Language" minOccurs="0"/>
                <xsd:element ref="ns2:j747ac98061d40f0aa7bd47e1db5675d" minOccurs="0"/>
                <xsd:element ref="ns2:TaxKeywordTaxHTField" minOccurs="0"/>
                <xsd:element ref="ns2:TaxCatchAllLabel" minOccurs="0"/>
                <xsd:element ref="ns2:TaxCatchAll" minOccurs="0"/>
                <xsd:element ref="ns2:e3f09c3df709400db2417a7161762d62" minOccurs="0"/>
                <xsd:element ref="ns5:SharedWithUsers" minOccurs="0"/>
                <xsd:element ref="ns5:SharedWithDetails" minOccurs="0"/>
                <xsd:element ref="ns6:MediaServiceMetadata" minOccurs="0"/>
                <xsd:element ref="ns6:MediaServiceFastMetadata" minOccurs="0"/>
                <xsd:element ref="ns6:MediaServiceAutoTags" minOccurs="0"/>
                <xsd:element ref="ns6:MediaServiceOCR" minOccurs="0"/>
                <xsd:element ref="ns6:MediaServiceGenerationTime" minOccurs="0"/>
                <xsd:element ref="ns6:MediaServiceEventHashCode" minOccurs="0"/>
                <xsd:element ref="ns1:_ip_UnifiedCompliancePolicyProperties" minOccurs="0"/>
                <xsd:element ref="ns1:_ip_UnifiedCompliancePolicyUIAction" minOccurs="0"/>
                <xsd:element ref="ns6:lcf76f155ced4ddcb4097134ff3c332f" minOccurs="0"/>
                <xsd:element ref="ns6:MediaServiceObjectDetectorVersions" minOccurs="0"/>
                <xsd:element ref="ns6:MediaServiceSearchProperties" minOccurs="0"/>
                <xsd:element ref="ns6:MediaServiceDateTaken" minOccurs="0"/>
                <xsd:element ref="ns6:MediaServiceLocation" minOccurs="0"/>
                <xsd:element ref="ns6: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Language" ma:index="17" nillable="true" ma:displayName="Language" ma:default="English" ma:description="Select the document language from the drop down." ma:format="Dropdown" ma:internalName="Language" ma:readOnly="false">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element>
    <xsd:element name="_ip_UnifiedCompliancePolicyProperties" ma:index="37" nillable="true" ma:displayName="Unified Compliance Policy Properties" ma:hidden="true" ma:internalName="_ip_UnifiedCompliancePolicyProperties">
      <xsd:simpleType>
        <xsd:restriction base="dms:Note"/>
      </xsd:simpleType>
    </xsd:element>
    <xsd:element name="_ip_UnifiedCompliancePolicyUIAction" ma:index="38"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4ffa91fb-a0ff-4ac5-b2db-65c790d184a4" elementFormDefault="qualified">
    <xsd:import namespace="http://schemas.microsoft.com/office/2006/documentManagement/types"/>
    <xsd:import namespace="http://schemas.microsoft.com/office/infopath/2007/PartnerControls"/>
    <xsd:element name="Document_x0020_Creation_x0020_Date" ma:index="2" nillable="true" ma:displayName="Document Date" ma:default="[today]" ma:description="Enter the date this document was last modified. The upload date has been entered by default." ma:format="DateOnly" ma:internalName="Document_x0020_Creation_x0020_Date" ma:readOnly="false">
      <xsd:simpleType>
        <xsd:restriction base="dms:DateTime"/>
      </xsd:simpleType>
    </xsd:element>
    <xsd:element name="Creator" ma:index="3" nillable="true" ma:displayName="Creator" ma:description="Enter the person primarily responsible for the document. The name of the person uploading the document has been entered by default." ma:list="UserInfo" ma:SharePointGroup="0" ma:internalName="Crea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PA_x0020_Office" ma:index="4" nillable="true" ma:displayName="EPA Office" ma:description="Enter the EPA organization primarily responsible for the document. The office of the person uploading the document has been entered by default." ma:internalName="EPA_x0020_Office" ma:readOnly="false">
      <xsd:simpleType>
        <xsd:restriction base="dms:Text">
          <xsd:maxLength value="255"/>
        </xsd:restriction>
      </xsd:simpleType>
    </xsd:element>
    <xsd:element name="Record" ma:index="5" nillable="true" ma:displayName="Record" ma:default="Shared" ma:description="For documents that provide evidence of EPA decisions and actions, select &quot;Shared&quot; (open access) or &quot;Private&quot; (restricted access)." ma:format="Dropdown" ma:internalName="Record" ma:readOnly="false">
      <xsd:simpleType>
        <xsd:restriction base="dms:Choice">
          <xsd:enumeration value="None"/>
          <xsd:enumeration value="Shared"/>
          <xsd:enumeration value="Private"/>
        </xsd:restriction>
      </xsd:simpleType>
    </xsd:element>
    <xsd:element name="Identifier" ma:index="9" nillable="true" ma:displayName="Identifier" ma:description="Enter all EPA identification numbers applicable to this document, one on each line." ma:internalName="Identifier" ma:readOnly="false">
      <xsd:simpleType>
        <xsd:restriction base="dms:Note">
          <xsd:maxLength value="255"/>
        </xsd:restriction>
      </xsd:simpleType>
    </xsd:element>
    <xsd:element name="EPA_x0020_Contributor" ma:index="11" nillable="true" ma:displayName="EPA Contributor" ma:description="Enter an EPA person who contributed to the creation of the document but is not the primary author." ma:list="UserInfo" ma:SharePointGroup="0" ma:internalName="EPA_x0020_Contributor" ma:readOnly="false"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xternal_x0020_Contributor" ma:index="12" nillable="true" ma:displayName="External Contributor" ma:description="Enter a non-EPA person who contributed to the creation of the document but is not the primary author." ma:internalName="External_x0020_Contributor" ma:readOnly="false">
      <xsd:simpleType>
        <xsd:restriction base="dms:Note">
          <xsd:maxLength value="255"/>
        </xsd:restriction>
      </xsd:simpleType>
    </xsd:element>
    <xsd:element name="EPA_x0020_Related_x0020_Documents" ma:index="14" nillable="true" ma:displayName="Other Related Documents" ma:description="Enter any related document." ma:internalName="EPA_x0020_Related_x0020_Documents" ma:readOnly="false">
      <xsd:simpleType>
        <xsd:restriction base="dms:Note">
          <xsd:maxLength value="255"/>
        </xsd:restriction>
      </xsd:simpleType>
    </xsd:element>
    <xsd:element name="Rights" ma:index="16" nillable="true" ma:displayName="Rights" ma:description="Enter information about intellectual property rights held over the document (e.g. copyright, patent, trademark)." ma:internalName="Rights" ma:readOnly="false">
      <xsd:simpleType>
        <xsd:restriction base="dms:Note">
          <xsd:maxLength value="255"/>
        </xsd:restriction>
      </xsd:simpleType>
    </xsd:element>
    <xsd:element name="j747ac98061d40f0aa7bd47e1db5675d" ma:index="19" nillable="true" ma:taxonomy="true" ma:internalName="j747ac98061d40f0aa7bd47e1db5675d" ma:taxonomyFieldName="Document_x0020_Type" ma:displayName="Document Type" ma:readOnly="false" ma:default="" ma:fieldId="{3747ac98-061d-40f0-aa7b-d47e1db5675d}" ma:sspId="29f62856-1543-49d4-a736-4569d363f533" ma:termSetId="e06cd6a9-a175-4da0-81cb-8dba7aa394ab" ma:anchorId="00000000-0000-0000-0000-000000000000" ma:open="false" ma:isKeyword="false">
      <xsd:complexType>
        <xsd:sequence>
          <xsd:element ref="pc:Terms" minOccurs="0" maxOccurs="1"/>
        </xsd:sequence>
      </xsd:complexType>
    </xsd:element>
    <xsd:element name="TaxKeywordTaxHTField" ma:index="21" nillable="true" ma:taxonomy="true" ma:internalName="TaxKeywordTaxHTField" ma:taxonomyFieldName="TaxKeyword" ma:displayName="Enterprise Keywords" ma:readOnly="false" ma:fieldId="{23f27201-bee3-471e-b2e7-b64fd8b7ca38}" ma:taxonomyMulti="true" ma:sspId="29f62856-1543-49d4-a736-4569d363f533" ma:termSetId="00000000-0000-0000-0000-000000000000" ma:anchorId="00000000-0000-0000-0000-000000000000" ma:open="true" ma:isKeyword="true">
      <xsd:complexType>
        <xsd:sequence>
          <xsd:element ref="pc:Terms" minOccurs="0" maxOccurs="1"/>
        </xsd:sequence>
      </xsd:complexType>
    </xsd:element>
    <xsd:element name="TaxCatchAllLabel" ma:index="23" nillable="true" ma:displayName="Taxonomy Catch All Column1" ma:hidden="true" ma:list="{160cad11-562a-4490-8456-b2fd6f157897}" ma:internalName="TaxCatchAllLabel" ma:readOnly="true" ma:showField="CatchAllDataLabel"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TaxCatchAll" ma:index="24" nillable="true" ma:displayName="Taxonomy Catch All Column" ma:hidden="true" ma:list="{160cad11-562a-4490-8456-b2fd6f157897}" ma:internalName="TaxCatchAll" ma:showField="CatchAllData" ma:web="fecc2597-e8fd-4279-ac06-bd7c891938be">
      <xsd:complexType>
        <xsd:complexContent>
          <xsd:extension base="dms:MultiChoiceLookup">
            <xsd:sequence>
              <xsd:element name="Value" type="dms:Lookup" maxOccurs="unbounded" minOccurs="0" nillable="true"/>
            </xsd:sequence>
          </xsd:extension>
        </xsd:complexContent>
      </xsd:complexType>
    </xsd:element>
    <xsd:element name="e3f09c3df709400db2417a7161762d62" ma:index="28" nillable="true" ma:taxonomy="true" ma:internalName="e3f09c3df709400db2417a7161762d62" ma:taxonomyFieldName="EPA_x0020_Subject" ma:displayName="EPA Subject" ma:readOnly="false" ma:default="" ma:fieldId="{e3f09c3d-f709-400d-b241-7a7161762d62}" ma:taxonomyMulti="true" ma:sspId="29f62856-1543-49d4-a736-4569d363f533" ma:termSetId="7a3d4ae0-7e62-45a2-a406-c6a8a6a8eee3"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CategoryDescription" ma:index="6" nillable="true" ma:displayName="Description" ma:description="Enter a brief description." ma:internalName="CategoryDescription"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Coverage" ma:index="13" nillable="true" ma:displayName="Coverage" ma:description="Enter the geographic location, jurisdiction, or time period for which the document is relevant." ma:internalName="_Coverage" ma:readOnly="false">
      <xsd:simpleType>
        <xsd:restriction base="dms:Text">
          <xsd:maxLength value="255"/>
        </xsd:restriction>
      </xsd:simpleType>
    </xsd:element>
    <xsd:element name="_Source" ma:index="15" nillable="true" ma:displayName="Source" ma:description="Enter a source from which the document is derived." ma:internalName="_Source" ma:readOnly="fals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fecc2597-e8fd-4279-ac06-bd7c891938be" elementFormDefault="qualified">
    <xsd:import namespace="http://schemas.microsoft.com/office/2006/documentManagement/types"/>
    <xsd:import namespace="http://schemas.microsoft.com/office/infopath/2007/PartnerControls"/>
    <xsd:element name="SharedWithUsers" ma:index="29"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ead8da0f-3542-4e50-96c8-f1f698624e86" elementFormDefault="qualified">
    <xsd:import namespace="http://schemas.microsoft.com/office/2006/documentManagement/types"/>
    <xsd:import namespace="http://schemas.microsoft.com/office/infopath/2007/PartnerControls"/>
    <xsd:element name="MediaServiceMetadata" ma:index="31" nillable="true" ma:displayName="MediaServiceMetadata" ma:hidden="true" ma:internalName="MediaServiceMetadata" ma:readOnly="true">
      <xsd:simpleType>
        <xsd:restriction base="dms:Note"/>
      </xsd:simpleType>
    </xsd:element>
    <xsd:element name="MediaServiceFastMetadata" ma:index="32" nillable="true" ma:displayName="MediaServiceFastMetadata" ma:hidden="true" ma:internalName="MediaServiceFastMetadata" ma:readOnly="true">
      <xsd:simpleType>
        <xsd:restriction base="dms:Note"/>
      </xsd:simpleType>
    </xsd:element>
    <xsd:element name="MediaServiceAutoTags" ma:index="33" nillable="true" ma:displayName="Tags" ma:internalName="MediaServiceAutoTags" ma:readOnly="true">
      <xsd:simpleType>
        <xsd:restriction base="dms:Text"/>
      </xsd:simpleType>
    </xsd:element>
    <xsd:element name="MediaServiceOCR" ma:index="34" nillable="true" ma:displayName="Extracted Text" ma:internalName="MediaServiceOCR" ma:readOnly="true">
      <xsd:simpleType>
        <xsd:restriction base="dms:Note">
          <xsd:maxLength value="255"/>
        </xsd:restriction>
      </xsd:simpleType>
    </xsd:element>
    <xsd:element name="MediaServiceGenerationTime" ma:index="35" nillable="true" ma:displayName="MediaServiceGenerationTime" ma:hidden="true" ma:internalName="MediaServiceGenerationTime" ma:readOnly="true">
      <xsd:simpleType>
        <xsd:restriction base="dms:Text"/>
      </xsd:simpleType>
    </xsd:element>
    <xsd:element name="MediaServiceEventHashCode" ma:index="36" nillable="true" ma:displayName="MediaServiceEventHashCode" ma:hidden="true" ma:internalName="MediaServiceEventHashCode" ma:readOnly="true">
      <xsd:simpleType>
        <xsd:restriction base="dms:Text"/>
      </xsd:simpleType>
    </xsd:element>
    <xsd:element name="lcf76f155ced4ddcb4097134ff3c332f" ma:index="40" nillable="true" ma:taxonomy="true" ma:internalName="lcf76f155ced4ddcb4097134ff3c332f" ma:taxonomyFieldName="MediaServiceImageTags" ma:displayName="Image Tags" ma:readOnly="false" ma:fieldId="{5cf76f15-5ced-4ddc-b409-7134ff3c332f}" ma:taxonomyMulti="true" ma:sspId="29f62856-1543-49d4-a736-4569d363f533"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41" nillable="true" ma:displayName="MediaServiceObjectDetectorVersions" ma:hidden="true" ma:indexed="true" ma:internalName="MediaServiceObjectDetectorVersions" ma:readOnly="true">
      <xsd:simpleType>
        <xsd:restriction base="dms:Text"/>
      </xsd:simpleType>
    </xsd:element>
    <xsd:element name="MediaServiceSearchProperties" ma:index="42" nillable="true" ma:displayName="MediaServiceSearchProperties" ma:hidden="true" ma:internalName="MediaServiceSearchProperties" ma:readOnly="true">
      <xsd:simpleType>
        <xsd:restriction base="dms:Note"/>
      </xsd:simpleType>
    </xsd:element>
    <xsd:element name="MediaServiceDateTaken" ma:index="43" nillable="true" ma:displayName="MediaServiceDateTaken" ma:description="" ma:hidden="true" ma:indexed="true" ma:internalName="MediaServiceDateTaken" ma:readOnly="true">
      <xsd:simpleType>
        <xsd:restriction base="dms:Text"/>
      </xsd:simpleType>
    </xsd:element>
    <xsd:element name="MediaServiceLocation" ma:index="44" nillable="true" ma:displayName="Location" ma:description="" ma:indexed="true" ma:internalName="MediaServiceLocation" ma:readOnly="true">
      <xsd:simpleType>
        <xsd:restriction base="dms:Text"/>
      </xsd:simpleType>
    </xsd:element>
    <xsd:element name="MediaLengthInSeconds" ma:index="4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5"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A412F8B4-5788-4A50-8FDB-D7CA985C318F}">
  <ds:schemaRefs>
    <ds:schemaRef ds:uri="http://schemas.microsoft.com/sharepoint.v3"/>
    <ds:schemaRef ds:uri="http://schemas.microsoft.com/sharepoint/v3"/>
    <ds:schemaRef ds:uri="http://purl.org/dc/terms/"/>
    <ds:schemaRef ds:uri="http://schemas.microsoft.com/office/2006/metadata/properties"/>
    <ds:schemaRef ds:uri="http://schemas.microsoft.com/sharepoint/v3/fields"/>
    <ds:schemaRef ds:uri="http://schemas.microsoft.com/office/infopath/2007/PartnerControls"/>
    <ds:schemaRef ds:uri="http://schemas.openxmlformats.org/package/2006/metadata/core-properties"/>
    <ds:schemaRef ds:uri="http://purl.org/dc/elements/1.1/"/>
    <ds:schemaRef ds:uri="http://schemas.microsoft.com/office/2006/documentManagement/types"/>
    <ds:schemaRef ds:uri="http://purl.org/dc/dcmitype/"/>
    <ds:schemaRef ds:uri="ead8da0f-3542-4e50-96c8-f1f698624e86"/>
    <ds:schemaRef ds:uri="fecc2597-e8fd-4279-ac06-bd7c891938be"/>
    <ds:schemaRef ds:uri="4ffa91fb-a0ff-4ac5-b2db-65c790d184a4"/>
    <ds:schemaRef ds:uri="http://www.w3.org/XML/1998/namespace"/>
  </ds:schemaRefs>
</ds:datastoreItem>
</file>

<file path=customXml/itemProps2.xml><?xml version="1.0" encoding="utf-8"?>
<ds:datastoreItem xmlns:ds="http://schemas.openxmlformats.org/officeDocument/2006/customXml" ds:itemID="{C62E1E3B-D6A7-4F6E-8266-F45DD79BF199}">
  <ds:schemaRefs>
    <ds:schemaRef ds:uri="http://schemas.microsoft.com/sharepoint/v3/contenttype/forms"/>
  </ds:schemaRefs>
</ds:datastoreItem>
</file>

<file path=customXml/itemProps3.xml><?xml version="1.0" encoding="utf-8"?>
<ds:datastoreItem xmlns:ds="http://schemas.openxmlformats.org/officeDocument/2006/customXml" ds:itemID="{44DF613A-CA83-4E2B-8344-6A4E08C4EEB0}">
  <ds:schemaRefs>
    <ds:schemaRef ds:uri="Microsoft.SharePoint.Taxonomy.ContentTypeSync"/>
  </ds:schemaRefs>
</ds:datastoreItem>
</file>

<file path=customXml/itemProps4.xml><?xml version="1.0" encoding="utf-8"?>
<ds:datastoreItem xmlns:ds="http://schemas.openxmlformats.org/officeDocument/2006/customXml" ds:itemID="{4502B8D3-0A21-46EB-8FDF-805D25A3279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4ffa91fb-a0ff-4ac5-b2db-65c790d184a4"/>
    <ds:schemaRef ds:uri="http://schemas.microsoft.com/sharepoint.v3"/>
    <ds:schemaRef ds:uri="http://schemas.microsoft.com/sharepoint/v3/fields"/>
    <ds:schemaRef ds:uri="fecc2597-e8fd-4279-ac06-bd7c891938be"/>
    <ds:schemaRef ds:uri="ead8da0f-3542-4e50-96c8-f1f698624e8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22</vt:i4>
      </vt:variant>
    </vt:vector>
  </HeadingPairs>
  <TitlesOfParts>
    <vt:vector size="35" baseType="lpstr">
      <vt:lpstr>Cover Page</vt:lpstr>
      <vt:lpstr>Read Me</vt:lpstr>
      <vt:lpstr>Calculation Summary</vt:lpstr>
      <vt:lpstr>Dashboard</vt:lpstr>
      <vt:lpstr>RR</vt:lpstr>
      <vt:lpstr>Aggregate RR</vt:lpstr>
      <vt:lpstr>Inhalation Exposure</vt:lpstr>
      <vt:lpstr>Dermal Exposure</vt:lpstr>
      <vt:lpstr>Tables for RE</vt:lpstr>
      <vt:lpstr>Tables for Report</vt:lpstr>
      <vt:lpstr>Hazard Values</vt:lpstr>
      <vt:lpstr>List Values</vt:lpstr>
      <vt:lpstr>Exposure Factors</vt:lpstr>
      <vt:lpstr>AH1_cm2</vt:lpstr>
      <vt:lpstr>AH1_cm2_F</vt:lpstr>
      <vt:lpstr>AH2_cm2</vt:lpstr>
      <vt:lpstr>AH2_cm2_F</vt:lpstr>
      <vt:lpstr>AT</vt:lpstr>
      <vt:lpstr>AT_AC</vt:lpstr>
      <vt:lpstr>AT_ADC_high</vt:lpstr>
      <vt:lpstr>AT_ADC_mid</vt:lpstr>
      <vt:lpstr>AT_LADC</vt:lpstr>
      <vt:lpstr>BW_default</vt:lpstr>
      <vt:lpstr>BW_F</vt:lpstr>
      <vt:lpstr>ED_10</vt:lpstr>
      <vt:lpstr>ED_8</vt:lpstr>
      <vt:lpstr>EF</vt:lpstr>
      <vt:lpstr>EFID</vt:lpstr>
      <vt:lpstr>ID</vt:lpstr>
      <vt:lpstr>LT</vt:lpstr>
      <vt:lpstr>Mol_Vol</vt:lpstr>
      <vt:lpstr>MW</vt:lpstr>
      <vt:lpstr>WorkBreathRate</vt:lpstr>
      <vt:lpstr>WY_high</vt:lpstr>
      <vt:lpstr>WY_mid</vt:lpstr>
    </vt:vector>
  </TitlesOfParts>
  <Manager/>
  <Company>Microsoft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Final Risk Evaluation for Benzyl Butyl Phthalate (BBP)</dc:title>
  <dc:subject>Risk Calculator for Occupational Exposures</dc:subject>
  <dc:creator>US EPA</dc:creator>
  <cp:keywords> risk calculator ; BBP ; occupational exposures</cp:keywords>
  <dc:description/>
  <cp:lastModifiedBy>Healy, Sheila</cp:lastModifiedBy>
  <cp:revision/>
  <dcterms:created xsi:type="dcterms:W3CDTF">2014-03-17T14:32:48Z</dcterms:created>
  <dcterms:modified xsi:type="dcterms:W3CDTF">2025-12-20T14:35:33Z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0x010100D723352F79007E408EFF44D6142FFCE2</vt:lpwstr>
  </property>
  <property fmtid="{D5CDD505-2E9C-101B-9397-08002B2CF9AE}" pid="3" name="TaxKeyword">
    <vt:lpwstr>1198;#risk calculator|8af20125-90c4-4af3-92eb-7f5682895c4d;#1291;#occupational exposures|18774c37-cb29-4db0-967a-47bce933212b;#1765;#BBP|a3f980b0-e8f6-47a2-b4b1-8a9fd108f5ff</vt:lpwstr>
  </property>
  <property fmtid="{D5CDD505-2E9C-101B-9397-08002B2CF9AE}" pid="4" name="EPA Subject">
    <vt:lpwstr/>
  </property>
  <property fmtid="{D5CDD505-2E9C-101B-9397-08002B2CF9AE}" pid="5" name="Document Type">
    <vt:lpwstr/>
  </property>
  <property fmtid="{D5CDD505-2E9C-101B-9397-08002B2CF9AE}" pid="6" name="MediaServiceImageTags">
    <vt:lpwstr/>
  </property>
  <property fmtid="{D5CDD505-2E9C-101B-9397-08002B2CF9AE}" pid="7" name="Document_x0020_Type">
    <vt:lpwstr/>
  </property>
  <property fmtid="{D5CDD505-2E9C-101B-9397-08002B2CF9AE}" pid="8" name="EPA_x0020_Subject">
    <vt:lpwstr/>
  </property>
</Properties>
</file>