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codeName="ThisWorkbook" defaultThemeVersion="124226"/>
  <mc:AlternateContent xmlns:mc="http://schemas.openxmlformats.org/markup-compatibility/2006">
    <mc:Choice Requires="x15">
      <x15ac:absPath xmlns:x15ac="http://schemas.microsoft.com/office/spreadsheetml/2010/11/ac" url="https://usepa-my.sharepoint.com/personal/hall_franklyn_epa_gov/Documents/Phthalates/DEHP/"/>
    </mc:Choice>
  </mc:AlternateContent>
  <xr:revisionPtr revIDLastSave="73" documentId="8_{CD7D4288-CC39-43B5-90DC-11659A14C3FA}" xr6:coauthVersionLast="47" xr6:coauthVersionMax="47" xr10:uidLastSave="{0D73C4E9-CD98-4209-86EF-3D9FCCD6478E}"/>
  <bookViews>
    <workbookView xWindow="28680" yWindow="-120" windowWidth="29040" windowHeight="15720" activeTab="13" xr2:uid="{8C06EDE7-37C3-471C-AAA4-8D649C6B3BB6}"/>
  </bookViews>
  <sheets>
    <sheet name="Cover Page" sheetId="44" r:id="rId1"/>
    <sheet name="Read Me" sheetId="43" r:id="rId2"/>
    <sheet name="Calculation Summary" sheetId="45" r:id="rId3"/>
    <sheet name="Dashboard" sheetId="31" r:id="rId4"/>
    <sheet name="Aggregate RR" sheetId="47" r:id="rId5"/>
    <sheet name="RR" sheetId="40" r:id="rId6"/>
    <sheet name="Inhalation Exposure" sheetId="37" r:id="rId7"/>
    <sheet name="Dermal Exposure" sheetId="41" r:id="rId8"/>
    <sheet name="Tables for RE" sheetId="49" r:id="rId9"/>
    <sheet name="Tables for Report" sheetId="48" r:id="rId10"/>
    <sheet name="Hazard Values" sheetId="39" r:id="rId11"/>
    <sheet name="App F Calcs" sheetId="50" r:id="rId12"/>
    <sheet name="List Values" sheetId="35" r:id="rId13"/>
    <sheet name="Exposure Factors" sheetId="38" r:id="rId14"/>
  </sheets>
  <definedNames>
    <definedName name="_8_hr">8</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localSheetId="2" hidden="1">100</definedName>
    <definedName name="_AtRisk_SimSetting_ConvergenceTestingPeriod" hidden="1">10</definedName>
    <definedName name="_AtRisk_SimSetting_ConvergenceTolerance" localSheetId="2" hidden="1">0.03</definedName>
    <definedName name="_AtRisk_SimSetting_ConvergenceTolerance" hidden="1">0.01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1</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2</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0</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15</definedName>
    <definedName name="_AtRisk_SimSetting_ReportOptionReportsFileType" hidden="1">1</definedName>
    <definedName name="_AtRisk_SimSetting_ReportOptionSelectiveQR" hidden="1">FALSE</definedName>
    <definedName name="_AtRisk_SimSetting_ReportsList" hidden="1">15</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4" hidden="1">'Aggregate RR'!$A$17:$Y$49</definedName>
    <definedName name="_xlnm._FilterDatabase" localSheetId="12" hidden="1">'List Values'!$B$1:$B$18</definedName>
    <definedName name="_xlnm._FilterDatabase" localSheetId="8" hidden="1">'Tables for RE'!$C$105:$Q$195</definedName>
    <definedName name="AH1_cm2">'Exposure Factors'!$C$5</definedName>
    <definedName name="AH1_cm2_F">'Exposure Factors'!$D$5</definedName>
    <definedName name="AH2_cm2">'Exposure Factors'!$C$6</definedName>
    <definedName name="AH2_cm2_F">'Exposure Factors'!$D$6</definedName>
    <definedName name="AT">'List Values'!$H$8</definedName>
    <definedName name="AT_AC">'List Values'!$J$43</definedName>
    <definedName name="AT_ADC_high">'List Values'!$H$17</definedName>
    <definedName name="AT_ADC_mid">'List Values'!$H$16</definedName>
    <definedName name="AT_LADC">'List Values'!$H$18</definedName>
    <definedName name="BW_default">'Exposure Factors'!$C$4</definedName>
    <definedName name="BW_F">'Exposure Factors'!$D$4</definedName>
    <definedName name="ED_10">'List Values'!$H$7</definedName>
    <definedName name="ED_8">'List Values'!$H$6</definedName>
    <definedName name="EF">'List Values'!$H$10</definedName>
    <definedName name="EFID">'List Values'!$H$11</definedName>
    <definedName name="ID">'List Values'!$H$12</definedName>
    <definedName name="LT">'List Values'!$H$15</definedName>
    <definedName name="Mol_Vol">'List Values'!#REF!</definedName>
    <definedName name="MW">'List Values'!#REF!</definedName>
    <definedName name="Pal_Workbook_GUID" hidden="1">"QFFA8IQU6YFGRFCXE7L4LIWR"</definedName>
    <definedName name="RiskAfterRecalcMacro" hidden="1">"'PERC_Dry Cleaner Model_4.9.2019.xlsm'!RK4Solver.RK4Solver"</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localSheetId="2" hidden="1">8</definedName>
    <definedName name="RiskHasSettings" hidden="1">8</definedName>
    <definedName name="RiskMinimizeOnStart" hidden="1">FALSE</definedName>
    <definedName name="RiskMonitorConvergence" hidden="1">FALSE</definedName>
    <definedName name="RiskMultipleCPUSupportEnabled" localSheetId="2" hidden="1">FALSE</definedName>
    <definedName name="RiskMultipleCPUSupportEnabled" hidden="1">FALSE</definedName>
    <definedName name="RiskNumIterations" localSheetId="2" hidden="1">100000</definedName>
    <definedName name="RiskNumIterations" hidden="1">100000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localSheetId="2" hidden="1">FALSE</definedName>
    <definedName name="RiskUseMultipleCPUs" hidden="1">FALSE</definedName>
    <definedName name="solver_adj" localSheetId="4" hidden="1">'Aggregate RR'!#REF!</definedName>
    <definedName name="solver_adj" localSheetId="5" hidden="1">RR!#REF!</definedName>
    <definedName name="solver_cvg" localSheetId="4" hidden="1">0.0001</definedName>
    <definedName name="solver_cvg" localSheetId="5" hidden="1">0.0001</definedName>
    <definedName name="solver_drv" localSheetId="4" hidden="1">1</definedName>
    <definedName name="solver_drv" localSheetId="5" hidden="1">1</definedName>
    <definedName name="solver_eng" localSheetId="4" hidden="1">1</definedName>
    <definedName name="solver_eng" localSheetId="5" hidden="1">1</definedName>
    <definedName name="solver_est" localSheetId="4" hidden="1">1</definedName>
    <definedName name="solver_est" localSheetId="5" hidden="1">1</definedName>
    <definedName name="solver_itr" localSheetId="4" hidden="1">2147483647</definedName>
    <definedName name="solver_itr" localSheetId="5" hidden="1">2147483647</definedName>
    <definedName name="solver_mip" localSheetId="4" hidden="1">2147483647</definedName>
    <definedName name="solver_mip" localSheetId="5" hidden="1">2147483647</definedName>
    <definedName name="solver_mni" localSheetId="4" hidden="1">30</definedName>
    <definedName name="solver_mni" localSheetId="5" hidden="1">30</definedName>
    <definedName name="solver_mrt" localSheetId="4" hidden="1">0.075</definedName>
    <definedName name="solver_mrt" localSheetId="5" hidden="1">0.075</definedName>
    <definedName name="solver_msl" localSheetId="4" hidden="1">2</definedName>
    <definedName name="solver_msl" localSheetId="5" hidden="1">2</definedName>
    <definedName name="solver_neg" localSheetId="4" hidden="1">1</definedName>
    <definedName name="solver_neg" localSheetId="5" hidden="1">1</definedName>
    <definedName name="solver_nod" localSheetId="4" hidden="1">2147483647</definedName>
    <definedName name="solver_nod" localSheetId="5" hidden="1">2147483647</definedName>
    <definedName name="solver_num" localSheetId="4" hidden="1">0</definedName>
    <definedName name="solver_num" localSheetId="5" hidden="1">0</definedName>
    <definedName name="solver_nwt" localSheetId="4" hidden="1">1</definedName>
    <definedName name="solver_nwt" localSheetId="5" hidden="1">1</definedName>
    <definedName name="solver_opt" localSheetId="4" hidden="1">'Aggregate RR'!#REF!</definedName>
    <definedName name="solver_opt" localSheetId="5" hidden="1">RR!#REF!</definedName>
    <definedName name="solver_pre" localSheetId="4" hidden="1">0.000001</definedName>
    <definedName name="solver_pre" localSheetId="5" hidden="1">0.000001</definedName>
    <definedName name="solver_rbv" localSheetId="4" hidden="1">1</definedName>
    <definedName name="solver_rbv" localSheetId="5" hidden="1">1</definedName>
    <definedName name="solver_rlx" localSheetId="4" hidden="1">2</definedName>
    <definedName name="solver_rlx" localSheetId="5" hidden="1">2</definedName>
    <definedName name="solver_rsd" localSheetId="4" hidden="1">0</definedName>
    <definedName name="solver_rsd" localSheetId="5" hidden="1">0</definedName>
    <definedName name="solver_scl" localSheetId="4" hidden="1">1</definedName>
    <definedName name="solver_scl" localSheetId="5" hidden="1">1</definedName>
    <definedName name="solver_sho" localSheetId="4" hidden="1">2</definedName>
    <definedName name="solver_sho" localSheetId="5" hidden="1">2</definedName>
    <definedName name="solver_ssz" localSheetId="4" hidden="1">100</definedName>
    <definedName name="solver_ssz" localSheetId="5" hidden="1">100</definedName>
    <definedName name="solver_tim" localSheetId="4" hidden="1">2147483647</definedName>
    <definedName name="solver_tim" localSheetId="5" hidden="1">2147483647</definedName>
    <definedName name="solver_tol" localSheetId="4" hidden="1">0.01</definedName>
    <definedName name="solver_tol" localSheetId="5" hidden="1">0.01</definedName>
    <definedName name="solver_typ" localSheetId="4" hidden="1">3</definedName>
    <definedName name="solver_typ" localSheetId="5" hidden="1">3</definedName>
    <definedName name="solver_val" localSheetId="4" hidden="1">1</definedName>
    <definedName name="solver_val" localSheetId="5" hidden="1">1</definedName>
    <definedName name="solver_ver" localSheetId="4" hidden="1">3</definedName>
    <definedName name="solver_ver" localSheetId="5" hidden="1">3</definedName>
    <definedName name="WorkBreathRate">'Exposure Factors'!$C$10</definedName>
    <definedName name="WY_high">'List Values'!$H$14</definedName>
    <definedName name="WY_mid">'List Values'!$H$13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8" i="37" l="1"/>
  <c r="H48" i="37"/>
  <c r="G49" i="37"/>
  <c r="K49" i="37" s="1"/>
  <c r="H49" i="37"/>
  <c r="H47" i="37"/>
  <c r="L47" i="37" s="1"/>
  <c r="F90" i="49" s="1"/>
  <c r="F191" i="49" s="1"/>
  <c r="G47" i="37"/>
  <c r="K47" i="37" s="1"/>
  <c r="H31" i="37"/>
  <c r="L31" i="37" s="1"/>
  <c r="R31" i="37" s="1"/>
  <c r="H27" i="37"/>
  <c r="H30" i="37" s="1"/>
  <c r="H28" i="37"/>
  <c r="L28" i="37" s="1"/>
  <c r="G27" i="37"/>
  <c r="G30" i="37" s="1"/>
  <c r="G28" i="37"/>
  <c r="G31" i="37" s="1"/>
  <c r="K31" i="37" s="1"/>
  <c r="M31" i="37" s="1"/>
  <c r="H26" i="37"/>
  <c r="L26" i="37" s="1"/>
  <c r="G26" i="37"/>
  <c r="G29" i="37" s="1"/>
  <c r="K29" i="37" s="1"/>
  <c r="M29" i="37" s="1"/>
  <c r="G53" i="49" s="1"/>
  <c r="G154" i="49" s="1"/>
  <c r="D10" i="50"/>
  <c r="E10" i="50"/>
  <c r="C10" i="50"/>
  <c r="B10" i="50"/>
  <c r="F10" i="50" s="1"/>
  <c r="G10" i="50" s="1"/>
  <c r="D8" i="50"/>
  <c r="C8" i="50"/>
  <c r="E8" i="50"/>
  <c r="B8" i="50"/>
  <c r="F8" i="50" s="1"/>
  <c r="G8" i="50" s="1"/>
  <c r="E6" i="50"/>
  <c r="F6" i="50" s="1"/>
  <c r="D6" i="50"/>
  <c r="C6" i="50"/>
  <c r="B6" i="50"/>
  <c r="D25" i="41"/>
  <c r="D26" i="41"/>
  <c r="D27" i="41"/>
  <c r="E25" i="41"/>
  <c r="M25" i="41" s="1"/>
  <c r="E26" i="41"/>
  <c r="E27" i="41"/>
  <c r="J25" i="41"/>
  <c r="J27" i="41"/>
  <c r="K25" i="41"/>
  <c r="K27" i="41"/>
  <c r="M27" i="41"/>
  <c r="K28" i="37"/>
  <c r="F51" i="49" s="1"/>
  <c r="F152" i="49" s="1"/>
  <c r="J19" i="41"/>
  <c r="K4" i="41"/>
  <c r="K6" i="41"/>
  <c r="K7" i="41"/>
  <c r="K9" i="41"/>
  <c r="K10" i="41"/>
  <c r="K12" i="41"/>
  <c r="K13" i="41"/>
  <c r="K15" i="41"/>
  <c r="K16" i="41"/>
  <c r="K18" i="41"/>
  <c r="K19" i="41"/>
  <c r="K21" i="41"/>
  <c r="K22" i="41"/>
  <c r="K24" i="41"/>
  <c r="K28" i="41"/>
  <c r="K30" i="41"/>
  <c r="K31" i="41"/>
  <c r="K33" i="41"/>
  <c r="K34" i="41"/>
  <c r="K36" i="41"/>
  <c r="K37" i="41"/>
  <c r="K39" i="41"/>
  <c r="K40" i="41"/>
  <c r="K42" i="41"/>
  <c r="K43" i="41"/>
  <c r="K45" i="41"/>
  <c r="K46" i="41"/>
  <c r="K48" i="41"/>
  <c r="K49" i="41"/>
  <c r="K51" i="41"/>
  <c r="K52" i="41"/>
  <c r="K54" i="41"/>
  <c r="J54" i="41"/>
  <c r="J52" i="41"/>
  <c r="J51" i="41"/>
  <c r="J49" i="41"/>
  <c r="J48" i="41"/>
  <c r="J46" i="41"/>
  <c r="J45" i="41"/>
  <c r="J43" i="41"/>
  <c r="J42" i="41"/>
  <c r="J40" i="41"/>
  <c r="J39" i="41"/>
  <c r="J37" i="41"/>
  <c r="J36" i="41"/>
  <c r="J34" i="41"/>
  <c r="J33" i="41"/>
  <c r="J31" i="41"/>
  <c r="J30" i="41"/>
  <c r="P30" i="41" s="1"/>
  <c r="M57" i="49" s="1"/>
  <c r="J28" i="41"/>
  <c r="J24" i="41"/>
  <c r="J22" i="41"/>
  <c r="J21" i="41"/>
  <c r="J18" i="41"/>
  <c r="J16" i="41"/>
  <c r="J15" i="41"/>
  <c r="J13" i="41"/>
  <c r="J12" i="41"/>
  <c r="J10" i="41"/>
  <c r="J9" i="41"/>
  <c r="J7" i="41"/>
  <c r="J6" i="41"/>
  <c r="J4" i="41"/>
  <c r="O25" i="41"/>
  <c r="Q27" i="41"/>
  <c r="M52" i="49" s="1"/>
  <c r="M153" i="49" s="1"/>
  <c r="L40" i="37"/>
  <c r="P40" i="37" s="1"/>
  <c r="H76" i="49" s="1"/>
  <c r="H177" i="49" s="1"/>
  <c r="K40" i="37"/>
  <c r="M40" i="37" s="1"/>
  <c r="C100" i="49" a="1"/>
  <c r="C100" i="49" s="1"/>
  <c r="J100" i="49" s="1"/>
  <c r="C99" i="49" a="1"/>
  <c r="C99" i="49" s="1"/>
  <c r="C98" i="49" a="1"/>
  <c r="C98" i="49" s="1"/>
  <c r="C97" i="49" a="1"/>
  <c r="C97" i="49" s="1"/>
  <c r="C96" i="49" a="1"/>
  <c r="C96" i="49" s="1"/>
  <c r="C95" i="49" a="1"/>
  <c r="C95" i="49" s="1"/>
  <c r="L95" i="49" s="1"/>
  <c r="C201" i="49" a="1"/>
  <c r="C201" i="49" s="1"/>
  <c r="C200" i="49" a="1"/>
  <c r="C200" i="49" s="1"/>
  <c r="C199" i="49" a="1"/>
  <c r="C199" i="49" s="1"/>
  <c r="C198" i="49" a="1"/>
  <c r="C198" i="49" s="1"/>
  <c r="C197" i="49" a="1"/>
  <c r="C197" i="49" s="1"/>
  <c r="C196" i="49" a="1"/>
  <c r="C196" i="49" s="1"/>
  <c r="E28" i="41"/>
  <c r="E29" i="41"/>
  <c r="E30" i="41"/>
  <c r="O30" i="41" s="1"/>
  <c r="D28" i="41"/>
  <c r="N28" i="41" s="1"/>
  <c r="D29" i="41"/>
  <c r="D30" i="41"/>
  <c r="D5" i="41"/>
  <c r="E5" i="41"/>
  <c r="D6" i="41"/>
  <c r="P6" i="41" s="1"/>
  <c r="E6" i="41"/>
  <c r="M6" i="41" s="1"/>
  <c r="D7" i="41"/>
  <c r="L7" i="41" s="1"/>
  <c r="E7" i="41"/>
  <c r="D8" i="41"/>
  <c r="E8" i="41"/>
  <c r="D9" i="41"/>
  <c r="E9" i="41"/>
  <c r="O9" i="41" s="1"/>
  <c r="D10" i="41"/>
  <c r="P10" i="41" s="1"/>
  <c r="E10" i="41"/>
  <c r="D11" i="41"/>
  <c r="E11" i="41"/>
  <c r="D12" i="41"/>
  <c r="N12" i="41" s="1"/>
  <c r="E12" i="41"/>
  <c r="Q12" i="41" s="1"/>
  <c r="D13" i="41"/>
  <c r="L13" i="41" s="1"/>
  <c r="P10" i="48" s="1"/>
  <c r="O20" i="48" s="1"/>
  <c r="E13" i="41"/>
  <c r="D14" i="41"/>
  <c r="E14" i="41"/>
  <c r="D15" i="41"/>
  <c r="L15" i="41" s="1"/>
  <c r="E15" i="41"/>
  <c r="O15" i="41" s="1"/>
  <c r="D16" i="41"/>
  <c r="N16" i="41" s="1"/>
  <c r="L29" i="49" s="1"/>
  <c r="E16" i="41"/>
  <c r="D17" i="41"/>
  <c r="E17" i="41"/>
  <c r="D18" i="41"/>
  <c r="P18" i="41" s="1"/>
  <c r="M33" i="49" s="1"/>
  <c r="E18" i="41"/>
  <c r="O18" i="41" s="1"/>
  <c r="D19" i="41"/>
  <c r="P19" i="41" s="1"/>
  <c r="E19" i="41"/>
  <c r="O19" i="41" s="1"/>
  <c r="D20" i="41"/>
  <c r="E20" i="41"/>
  <c r="D21" i="41"/>
  <c r="E21" i="41"/>
  <c r="D22" i="41"/>
  <c r="N22" i="41" s="1"/>
  <c r="E22" i="41"/>
  <c r="O22" i="41" s="1"/>
  <c r="D23" i="41"/>
  <c r="E23" i="41"/>
  <c r="D24" i="41"/>
  <c r="P24" i="41" s="1"/>
  <c r="E24" i="41"/>
  <c r="D31" i="41"/>
  <c r="N31" i="41" s="1"/>
  <c r="E31" i="41"/>
  <c r="M31" i="41" s="1"/>
  <c r="K60" i="49" s="1"/>
  <c r="D32" i="41"/>
  <c r="E32" i="41"/>
  <c r="D33" i="41"/>
  <c r="P33" i="41" s="1"/>
  <c r="M63" i="49" s="1"/>
  <c r="M164" i="49" s="1"/>
  <c r="E33" i="41"/>
  <c r="D34" i="41"/>
  <c r="N34" i="41" s="1"/>
  <c r="E34" i="41"/>
  <c r="O34" i="41" s="1"/>
  <c r="D35" i="41"/>
  <c r="E35" i="41"/>
  <c r="D36" i="41"/>
  <c r="N36" i="41" s="1"/>
  <c r="E36" i="41"/>
  <c r="O36" i="41" s="1"/>
  <c r="L70" i="49" s="1"/>
  <c r="L171" i="49" s="1"/>
  <c r="D37" i="41"/>
  <c r="E37" i="41"/>
  <c r="D38" i="41"/>
  <c r="E38" i="41"/>
  <c r="D39" i="41"/>
  <c r="N39" i="41" s="1"/>
  <c r="L75" i="49" s="1"/>
  <c r="E39" i="41"/>
  <c r="M39" i="41" s="1"/>
  <c r="K76" i="49" s="1"/>
  <c r="K177" i="49" s="1"/>
  <c r="D40" i="41"/>
  <c r="P40" i="41" s="1"/>
  <c r="M77" i="49" s="1"/>
  <c r="M178" i="49" s="1"/>
  <c r="E40" i="41"/>
  <c r="D41" i="41"/>
  <c r="E41" i="41"/>
  <c r="D42" i="41"/>
  <c r="E42" i="41"/>
  <c r="O42" i="41" s="1"/>
  <c r="L82" i="49" s="1"/>
  <c r="L183" i="49" s="1"/>
  <c r="D43" i="41"/>
  <c r="N43" i="41" s="1"/>
  <c r="L83" i="49" s="1"/>
  <c r="L184" i="49" s="1"/>
  <c r="E43" i="41"/>
  <c r="D44" i="41"/>
  <c r="E44" i="41"/>
  <c r="D45" i="41"/>
  <c r="P45" i="41" s="1"/>
  <c r="E45" i="41"/>
  <c r="Q45" i="41" s="1"/>
  <c r="M88" i="49" s="1"/>
  <c r="M189" i="49" s="1"/>
  <c r="D46" i="41"/>
  <c r="P46" i="41" s="1"/>
  <c r="M89" i="49" s="1"/>
  <c r="M190" i="49" s="1"/>
  <c r="E46" i="41"/>
  <c r="M46" i="41" s="1"/>
  <c r="K90" i="49" s="1"/>
  <c r="K191" i="49" s="1"/>
  <c r="D47" i="41"/>
  <c r="E47" i="41"/>
  <c r="D48" i="41"/>
  <c r="L48" i="41" s="1"/>
  <c r="K93" i="49" s="1"/>
  <c r="K194" i="49" s="1"/>
  <c r="E48" i="41"/>
  <c r="O48" i="41" s="1"/>
  <c r="D49" i="41"/>
  <c r="E49" i="41"/>
  <c r="Q49" i="41" s="1"/>
  <c r="D50" i="41"/>
  <c r="E50" i="41"/>
  <c r="D51" i="41"/>
  <c r="E51" i="41"/>
  <c r="D52" i="41"/>
  <c r="N52" i="41" s="1"/>
  <c r="E52" i="41"/>
  <c r="O52" i="41" s="1"/>
  <c r="D53" i="41"/>
  <c r="E53" i="41"/>
  <c r="D54" i="41"/>
  <c r="P54" i="41" s="1"/>
  <c r="E54" i="41"/>
  <c r="M54" i="41" s="1"/>
  <c r="E4" i="41"/>
  <c r="M4" i="41" s="1"/>
  <c r="D4" i="41"/>
  <c r="C11" i="49" a="1"/>
  <c r="C11" i="49"/>
  <c r="C5" i="49" a="1"/>
  <c r="C5" i="49"/>
  <c r="J95" i="49"/>
  <c r="L28" i="41"/>
  <c r="P28" i="41"/>
  <c r="H12" i="37"/>
  <c r="G12" i="37"/>
  <c r="K5" i="37"/>
  <c r="F5" i="49" s="1"/>
  <c r="F106" i="49" s="1"/>
  <c r="H11" i="37"/>
  <c r="G11" i="37"/>
  <c r="K11" i="37" s="1"/>
  <c r="K14" i="37"/>
  <c r="M14" i="37" s="1"/>
  <c r="O10" i="48"/>
  <c r="Q9" i="41"/>
  <c r="M16" i="49" s="1"/>
  <c r="M117" i="49" s="1"/>
  <c r="P12" i="41"/>
  <c r="O6" i="41"/>
  <c r="P103" i="49"/>
  <c r="O103" i="49"/>
  <c r="N103" i="49"/>
  <c r="L103" i="49"/>
  <c r="K103" i="49"/>
  <c r="J103" i="49"/>
  <c r="H103" i="49"/>
  <c r="G103" i="49"/>
  <c r="F103" i="49"/>
  <c r="R10" i="40"/>
  <c r="I10" i="40"/>
  <c r="S10" i="31"/>
  <c r="C10" i="31"/>
  <c r="L16" i="41"/>
  <c r="N37" i="41"/>
  <c r="L71" i="49" s="1"/>
  <c r="L172" i="49" s="1"/>
  <c r="L43" i="41"/>
  <c r="N46" i="41"/>
  <c r="N49" i="41"/>
  <c r="N51" i="41"/>
  <c r="K7" i="37"/>
  <c r="M7" i="37" s="1"/>
  <c r="G9" i="49" s="1"/>
  <c r="G110" i="49" s="1"/>
  <c r="K8" i="37"/>
  <c r="F11" i="49" s="1"/>
  <c r="F112" i="49" s="1"/>
  <c r="K10" i="37"/>
  <c r="O10" i="37" s="1"/>
  <c r="K13" i="37"/>
  <c r="Q13" i="37" s="1"/>
  <c r="K16" i="37"/>
  <c r="F27" i="49" s="1"/>
  <c r="F128" i="49" s="1"/>
  <c r="K17" i="37"/>
  <c r="M17" i="37" s="1"/>
  <c r="G29" i="49" s="1"/>
  <c r="K19" i="37"/>
  <c r="O19" i="37" s="1"/>
  <c r="K20" i="37"/>
  <c r="M20" i="37" s="1"/>
  <c r="Q20" i="37"/>
  <c r="K22" i="37"/>
  <c r="M22" i="37" s="1"/>
  <c r="G39" i="49" s="1"/>
  <c r="G140" i="49" s="1"/>
  <c r="K23" i="37"/>
  <c r="O23" i="37"/>
  <c r="H41" i="49" s="1"/>
  <c r="H142" i="49" s="1"/>
  <c r="K25" i="37"/>
  <c r="M25" i="37" s="1"/>
  <c r="K32" i="37"/>
  <c r="O32" i="37" s="1"/>
  <c r="K34" i="37"/>
  <c r="Q34" i="37" s="1"/>
  <c r="I63" i="49" s="1"/>
  <c r="I164" i="49" s="1"/>
  <c r="K35" i="37"/>
  <c r="O35" i="37" s="1"/>
  <c r="K37" i="37"/>
  <c r="K38" i="37"/>
  <c r="M38" i="37" s="1"/>
  <c r="G71" i="49" s="1"/>
  <c r="G172" i="49" s="1"/>
  <c r="K41" i="37"/>
  <c r="M41" i="37" s="1"/>
  <c r="G77" i="49" s="1"/>
  <c r="G178" i="49" s="1"/>
  <c r="K43" i="37"/>
  <c r="Q43" i="37" s="1"/>
  <c r="K44" i="37"/>
  <c r="O44" i="37" s="1"/>
  <c r="H83" i="49" s="1"/>
  <c r="H184" i="49" s="1"/>
  <c r="K46" i="37"/>
  <c r="O46" i="37" s="1"/>
  <c r="K50" i="37"/>
  <c r="O50" i="37" s="1"/>
  <c r="H95" i="49" s="1"/>
  <c r="H196" i="49" s="1"/>
  <c r="K52" i="37"/>
  <c r="K53" i="37"/>
  <c r="K55" i="37"/>
  <c r="Q55" i="37" s="1"/>
  <c r="L8" i="37"/>
  <c r="N8" i="37" s="1"/>
  <c r="L10" i="37"/>
  <c r="L11" i="37"/>
  <c r="R11" i="37" s="1"/>
  <c r="L13" i="37"/>
  <c r="P13" i="37" s="1"/>
  <c r="L14" i="37"/>
  <c r="N14" i="37" s="1"/>
  <c r="G24" i="49" s="1"/>
  <c r="G125" i="49" s="1"/>
  <c r="L16" i="37"/>
  <c r="P16" i="37" s="1"/>
  <c r="L17" i="37"/>
  <c r="P17" i="37" s="1"/>
  <c r="H30" i="49" s="1"/>
  <c r="H131" i="49" s="1"/>
  <c r="L19" i="37"/>
  <c r="R19" i="37" s="1"/>
  <c r="L20" i="37"/>
  <c r="P20" i="37" s="1"/>
  <c r="L22" i="37"/>
  <c r="P22" i="37" s="1"/>
  <c r="L23" i="37"/>
  <c r="R23" i="37" s="1"/>
  <c r="L25" i="37"/>
  <c r="R25" i="37" s="1"/>
  <c r="L32" i="37"/>
  <c r="R32" i="37" s="1"/>
  <c r="I60" i="49" s="1"/>
  <c r="I161" i="49" s="1"/>
  <c r="L34" i="37"/>
  <c r="F64" i="49" s="1"/>
  <c r="F165" i="49" s="1"/>
  <c r="L35" i="37"/>
  <c r="N35" i="37" s="1"/>
  <c r="L37" i="37"/>
  <c r="F70" i="49" s="1"/>
  <c r="F171" i="49" s="1"/>
  <c r="L38" i="37"/>
  <c r="P38" i="37" s="1"/>
  <c r="H72" i="49" s="1"/>
  <c r="L41" i="37"/>
  <c r="F78" i="49" s="1"/>
  <c r="F179" i="49" s="1"/>
  <c r="L43" i="37"/>
  <c r="R43" i="37" s="1"/>
  <c r="I82" i="49" s="1"/>
  <c r="L44" i="37"/>
  <c r="P44" i="37" s="1"/>
  <c r="H84" i="49" s="1"/>
  <c r="H185" i="49" s="1"/>
  <c r="L46" i="37"/>
  <c r="R46" i="37" s="1"/>
  <c r="I88" i="49" s="1"/>
  <c r="I189" i="49" s="1"/>
  <c r="L49" i="37"/>
  <c r="P49" i="37" s="1"/>
  <c r="H94" i="49" s="1"/>
  <c r="L50" i="37"/>
  <c r="R50" i="37" s="1"/>
  <c r="P50" i="37"/>
  <c r="H96" i="49" s="1"/>
  <c r="L52" i="37"/>
  <c r="N52" i="37" s="1"/>
  <c r="G100" i="49" s="1"/>
  <c r="G201" i="49" s="1"/>
  <c r="L53" i="37"/>
  <c r="N53" i="37" s="1"/>
  <c r="L55" i="37"/>
  <c r="N55" i="37" s="1"/>
  <c r="L5" i="37"/>
  <c r="R5" i="37" s="1"/>
  <c r="I6" i="49" s="1"/>
  <c r="L7" i="37"/>
  <c r="M13" i="37"/>
  <c r="G21" i="49" s="1"/>
  <c r="O12" i="48"/>
  <c r="Q54" i="41"/>
  <c r="O49" i="41"/>
  <c r="O43" i="41"/>
  <c r="Q40" i="41"/>
  <c r="M78" i="49" s="1"/>
  <c r="M179" i="49" s="1"/>
  <c r="O37" i="41"/>
  <c r="Q37" i="41"/>
  <c r="M72" i="49" s="1"/>
  <c r="M173" i="49" s="1"/>
  <c r="Q36" i="41"/>
  <c r="M70" i="49" s="1"/>
  <c r="M171" i="49" s="1"/>
  <c r="O15" i="48"/>
  <c r="Q33" i="41"/>
  <c r="M64" i="49" s="1"/>
  <c r="M165" i="49" s="1"/>
  <c r="O13" i="48"/>
  <c r="Q24" i="41"/>
  <c r="M46" i="49" s="1"/>
  <c r="M147" i="49" s="1"/>
  <c r="Q21" i="41"/>
  <c r="Q13" i="41"/>
  <c r="R13" i="48" s="1"/>
  <c r="N22" i="48" s="1"/>
  <c r="O10" i="41"/>
  <c r="L18" i="49" s="1"/>
  <c r="Q10" i="41"/>
  <c r="M18" i="49" s="1"/>
  <c r="M119" i="49" s="1"/>
  <c r="Q7" i="41"/>
  <c r="O4" i="41"/>
  <c r="M12" i="31"/>
  <c r="T11" i="40"/>
  <c r="V20" i="40" s="1"/>
  <c r="M13" i="31"/>
  <c r="P19" i="31" s="1"/>
  <c r="T10" i="40"/>
  <c r="V19" i="40" s="1"/>
  <c r="Q52" i="37"/>
  <c r="Q25" i="37"/>
  <c r="I45" i="49" s="1"/>
  <c r="I146" i="49" s="1"/>
  <c r="N10" i="41"/>
  <c r="P16" i="41"/>
  <c r="M29" i="49" s="1"/>
  <c r="M130" i="49" s="1"/>
  <c r="M19" i="41"/>
  <c r="O13" i="47" s="1"/>
  <c r="M33" i="41"/>
  <c r="M7" i="41"/>
  <c r="M40" i="41"/>
  <c r="N7" i="41"/>
  <c r="O21" i="41"/>
  <c r="N21" i="41"/>
  <c r="L39" i="49" s="1"/>
  <c r="N4" i="41"/>
  <c r="P39" i="41"/>
  <c r="P31" i="41"/>
  <c r="M59" i="49" s="1"/>
  <c r="M160" i="49" s="1"/>
  <c r="O13" i="41"/>
  <c r="P51" i="41"/>
  <c r="M99" i="49" s="1"/>
  <c r="P37" i="41"/>
  <c r="M71" i="49" s="1"/>
  <c r="M172" i="49" s="1"/>
  <c r="P36" i="41"/>
  <c r="M69" i="49" s="1"/>
  <c r="M170" i="49" s="1"/>
  <c r="O24" i="41"/>
  <c r="P43" i="41"/>
  <c r="M83" i="49" s="1"/>
  <c r="M184" i="49" s="1"/>
  <c r="P49" i="41"/>
  <c r="M95" i="49" s="1"/>
  <c r="P34" i="41"/>
  <c r="M65" i="49" s="1"/>
  <c r="M166" i="49" s="1"/>
  <c r="O51" i="41"/>
  <c r="N48" i="41"/>
  <c r="L93" i="49" s="1"/>
  <c r="O39" i="41"/>
  <c r="L76" i="49" s="1"/>
  <c r="L177" i="49" s="1"/>
  <c r="L21" i="41"/>
  <c r="O33" i="41"/>
  <c r="L64" i="49" s="1"/>
  <c r="L165" i="49" s="1"/>
  <c r="L10" i="41"/>
  <c r="M37" i="41"/>
  <c r="K72" i="49" s="1"/>
  <c r="L49" i="41"/>
  <c r="K95" i="49" s="1"/>
  <c r="K196" i="49" s="1"/>
  <c r="M52" i="41"/>
  <c r="M24" i="41"/>
  <c r="M13" i="41"/>
  <c r="O54" i="41"/>
  <c r="O40" i="41"/>
  <c r="L78" i="49" s="1"/>
  <c r="L179" i="49" s="1"/>
  <c r="O7" i="41"/>
  <c r="L12" i="49" s="1"/>
  <c r="L113" i="49" s="1"/>
  <c r="M36" i="41"/>
  <c r="M22" i="41"/>
  <c r="P13" i="48" s="1"/>
  <c r="L31" i="41"/>
  <c r="K59" i="49" s="1"/>
  <c r="M21" i="41"/>
  <c r="M10" i="41"/>
  <c r="L52" i="41"/>
  <c r="M34" i="41"/>
  <c r="L51" i="41"/>
  <c r="L37" i="41"/>
  <c r="L36" i="41"/>
  <c r="K69" i="49" s="1"/>
  <c r="L22" i="41"/>
  <c r="Q14" i="37"/>
  <c r="I23" i="49" s="1"/>
  <c r="I124" i="49" s="1"/>
  <c r="R52" i="37"/>
  <c r="M35" i="37"/>
  <c r="O22" i="37"/>
  <c r="H39" i="49" s="1"/>
  <c r="H140" i="49" s="1"/>
  <c r="O7" i="37"/>
  <c r="R8" i="37"/>
  <c r="I12" i="49" s="1"/>
  <c r="Q22" i="37"/>
  <c r="I39" i="49" s="1"/>
  <c r="I140" i="49" s="1"/>
  <c r="Q23" i="37"/>
  <c r="M8" i="37"/>
  <c r="G11" i="49" s="1"/>
  <c r="G112" i="49" s="1"/>
  <c r="Q10" i="37"/>
  <c r="O14" i="37"/>
  <c r="Q40" i="37"/>
  <c r="N50" i="37"/>
  <c r="G96" i="49" s="1"/>
  <c r="G197" i="49" s="1"/>
  <c r="M37" i="37"/>
  <c r="G69" i="49" s="1"/>
  <c r="G170" i="49" s="1"/>
  <c r="N37" i="37"/>
  <c r="G70" i="49" s="1"/>
  <c r="G171" i="49" s="1"/>
  <c r="M23" i="37"/>
  <c r="O25" i="37"/>
  <c r="H45" i="49" s="1"/>
  <c r="H146" i="49" s="1"/>
  <c r="O52" i="37"/>
  <c r="H99" i="49" s="1"/>
  <c r="M52" i="37"/>
  <c r="G99" i="49" s="1"/>
  <c r="N25" i="37"/>
  <c r="G46" i="49" s="1"/>
  <c r="G147" i="49" s="1"/>
  <c r="Q46" i="37"/>
  <c r="M46" i="37"/>
  <c r="N40" i="37"/>
  <c r="G76" i="49" s="1"/>
  <c r="R40" i="37"/>
  <c r="I76" i="49" s="1"/>
  <c r="I177" i="49" s="1"/>
  <c r="N38" i="37"/>
  <c r="G72" i="49" s="1"/>
  <c r="G173" i="49" s="1"/>
  <c r="N16" i="37"/>
  <c r="P8" i="37"/>
  <c r="P10" i="37"/>
  <c r="P23" i="37"/>
  <c r="M43" i="37"/>
  <c r="N23" i="37"/>
  <c r="O13" i="37"/>
  <c r="O40" i="37"/>
  <c r="O55" i="37"/>
  <c r="K99" i="49"/>
  <c r="K200" i="49" s="1"/>
  <c r="I99" i="49"/>
  <c r="I200" i="49" s="1"/>
  <c r="L100" i="49"/>
  <c r="L201" i="49" s="1"/>
  <c r="L99" i="49"/>
  <c r="C194" i="49" a="1"/>
  <c r="C194" i="49" s="1"/>
  <c r="C195" i="49" a="1"/>
  <c r="C195" i="49" s="1"/>
  <c r="C112" i="49" a="1"/>
  <c r="C112" i="49" s="1"/>
  <c r="C113" i="49" a="1"/>
  <c r="C113" i="49"/>
  <c r="C114" i="49" a="1"/>
  <c r="C114" i="49"/>
  <c r="C115" i="49" a="1"/>
  <c r="C115" i="49" s="1"/>
  <c r="C116" i="49" a="1"/>
  <c r="C116" i="49"/>
  <c r="C117" i="49" a="1"/>
  <c r="C117" i="49" s="1"/>
  <c r="C118" i="49" a="1"/>
  <c r="C118" i="49" s="1"/>
  <c r="C119" i="49" a="1"/>
  <c r="C119" i="49"/>
  <c r="C120" i="49" a="1"/>
  <c r="C120" i="49" s="1"/>
  <c r="C121" i="49" a="1"/>
  <c r="C121" i="49" s="1"/>
  <c r="C122" i="49" a="1"/>
  <c r="C122" i="49"/>
  <c r="C123" i="49" a="1"/>
  <c r="C123" i="49" s="1"/>
  <c r="C124" i="49" a="1"/>
  <c r="C124" i="49"/>
  <c r="C125" i="49" a="1"/>
  <c r="C125" i="49"/>
  <c r="C126" i="49" a="1"/>
  <c r="C126" i="49" s="1"/>
  <c r="C127" i="49" a="1"/>
  <c r="C127" i="49" s="1"/>
  <c r="C128" i="49" a="1"/>
  <c r="C128" i="49" s="1"/>
  <c r="C129" i="49" a="1"/>
  <c r="C129" i="49" s="1"/>
  <c r="C130" i="49" a="1"/>
  <c r="C130" i="49" s="1"/>
  <c r="C131" i="49" a="1"/>
  <c r="C131" i="49"/>
  <c r="C132" i="49" a="1"/>
  <c r="C132" i="49" s="1"/>
  <c r="C133" i="49" a="1"/>
  <c r="C133" i="49"/>
  <c r="C134" i="49" a="1"/>
  <c r="C134" i="49" s="1"/>
  <c r="C135" i="49" a="1"/>
  <c r="C135" i="49" s="1"/>
  <c r="C136" i="49" a="1"/>
  <c r="C136" i="49"/>
  <c r="C137" i="49" a="1"/>
  <c r="C137" i="49"/>
  <c r="C138" i="49" a="1"/>
  <c r="C138" i="49" s="1"/>
  <c r="C139" i="49" a="1"/>
  <c r="C139" i="49" s="1"/>
  <c r="C140" i="49" a="1"/>
  <c r="C140" i="49"/>
  <c r="C141" i="49" a="1"/>
  <c r="C141" i="49" s="1"/>
  <c r="C142" i="49" a="1"/>
  <c r="C142" i="49"/>
  <c r="C143" i="49" a="1"/>
  <c r="C143" i="49"/>
  <c r="C144" i="49" a="1"/>
  <c r="C144" i="49" s="1"/>
  <c r="C145" i="49" a="1"/>
  <c r="C145" i="49"/>
  <c r="C146" i="49" a="1"/>
  <c r="C146" i="49"/>
  <c r="C147" i="49" a="1"/>
  <c r="C147" i="49" s="1"/>
  <c r="C148" i="49" a="1"/>
  <c r="C148" i="49" s="1"/>
  <c r="C149" i="49" a="1"/>
  <c r="C149" i="49"/>
  <c r="C150" i="49" a="1"/>
  <c r="C150" i="49"/>
  <c r="C151" i="49" a="1"/>
  <c r="C151" i="49" s="1"/>
  <c r="C152" i="49" a="1"/>
  <c r="C152" i="49"/>
  <c r="C153" i="49" a="1"/>
  <c r="C153" i="49" s="1"/>
  <c r="C154" i="49" a="1"/>
  <c r="C154" i="49" s="1"/>
  <c r="C155" i="49" a="1"/>
  <c r="C155" i="49"/>
  <c r="C156" i="49" a="1"/>
  <c r="C156" i="49" s="1"/>
  <c r="C157" i="49" a="1"/>
  <c r="C157" i="49" s="1"/>
  <c r="C158" i="49" a="1"/>
  <c r="C158" i="49"/>
  <c r="C159" i="49" a="1"/>
  <c r="C159" i="49" s="1"/>
  <c r="C160" i="49" a="1"/>
  <c r="C160" i="49"/>
  <c r="C161" i="49" a="1"/>
  <c r="C161" i="49" s="1"/>
  <c r="C162" i="49" a="1"/>
  <c r="C162" i="49"/>
  <c r="C163" i="49" a="1"/>
  <c r="C163" i="49"/>
  <c r="C164" i="49" a="1"/>
  <c r="C164" i="49" s="1"/>
  <c r="C165" i="49" a="1"/>
  <c r="C165" i="49" s="1"/>
  <c r="C166" i="49" a="1"/>
  <c r="C166" i="49" s="1"/>
  <c r="C167" i="49" a="1"/>
  <c r="C167" i="49" s="1"/>
  <c r="C168" i="49" a="1"/>
  <c r="C168" i="49"/>
  <c r="C169" i="49" a="1"/>
  <c r="C169" i="49" s="1"/>
  <c r="C170" i="49" a="1"/>
  <c r="C170" i="49" s="1"/>
  <c r="C171" i="49" a="1"/>
  <c r="C171" i="49" s="1"/>
  <c r="C172" i="49" a="1"/>
  <c r="C172" i="49" s="1"/>
  <c r="C173" i="49" a="1"/>
  <c r="C173" i="49"/>
  <c r="C174" i="49" a="1"/>
  <c r="C174" i="49" s="1"/>
  <c r="C175" i="49" a="1"/>
  <c r="C175" i="49"/>
  <c r="C176" i="49" a="1"/>
  <c r="C176" i="49"/>
  <c r="C177" i="49" a="1"/>
  <c r="C177" i="49" s="1"/>
  <c r="C178" i="49" a="1"/>
  <c r="C178" i="49" s="1"/>
  <c r="C179" i="49" a="1"/>
  <c r="C179" i="49" s="1"/>
  <c r="C180" i="49" a="1"/>
  <c r="C180" i="49" s="1"/>
  <c r="C181" i="49" a="1"/>
  <c r="C181" i="49"/>
  <c r="C182" i="49" a="1"/>
  <c r="C182" i="49" s="1"/>
  <c r="C183" i="49" a="1"/>
  <c r="C183" i="49" s="1"/>
  <c r="C184" i="49" a="1"/>
  <c r="C184" i="49"/>
  <c r="C185" i="49" a="1"/>
  <c r="C185" i="49" s="1"/>
  <c r="C186" i="49" a="1"/>
  <c r="C186" i="49" s="1"/>
  <c r="C187" i="49" a="1"/>
  <c r="C187" i="49" s="1"/>
  <c r="C188" i="49" a="1"/>
  <c r="C188" i="49"/>
  <c r="C189" i="49" a="1"/>
  <c r="C189" i="49" s="1"/>
  <c r="C190" i="49" a="1"/>
  <c r="C190" i="49"/>
  <c r="C191" i="49" a="1"/>
  <c r="C191" i="49" s="1"/>
  <c r="C192" i="49" a="1"/>
  <c r="C192" i="49" s="1"/>
  <c r="C193" i="49" a="1"/>
  <c r="C193" i="49" s="1"/>
  <c r="Q104" i="49"/>
  <c r="P104" i="49"/>
  <c r="O104" i="49"/>
  <c r="N104" i="49"/>
  <c r="M104" i="49"/>
  <c r="L104" i="49"/>
  <c r="K104" i="49"/>
  <c r="J104" i="49"/>
  <c r="I104" i="49"/>
  <c r="H104" i="49"/>
  <c r="G104" i="49"/>
  <c r="F104" i="49"/>
  <c r="C111" i="49" a="1"/>
  <c r="C111" i="49"/>
  <c r="C107" i="49" a="1"/>
  <c r="C107" i="49" s="1"/>
  <c r="C108" i="49" a="1"/>
  <c r="C108" i="49"/>
  <c r="C109" i="49" a="1"/>
  <c r="C109" i="49" s="1"/>
  <c r="C110" i="49" a="1"/>
  <c r="C110" i="49"/>
  <c r="C106" i="49" a="1"/>
  <c r="C106" i="49" s="1"/>
  <c r="C84" i="49" a="1"/>
  <c r="C84" i="49"/>
  <c r="C85" i="49" a="1"/>
  <c r="C85" i="49" s="1"/>
  <c r="C86" i="49" a="1"/>
  <c r="C86" i="49" s="1"/>
  <c r="C87" i="49" a="1"/>
  <c r="C87" i="49"/>
  <c r="C88" i="49" a="1"/>
  <c r="C88" i="49" s="1"/>
  <c r="C89" i="49" a="1"/>
  <c r="C89" i="49" s="1"/>
  <c r="C90" i="49" a="1"/>
  <c r="C90" i="49" s="1"/>
  <c r="C91" i="49" a="1"/>
  <c r="C91" i="49"/>
  <c r="C92" i="49" a="1"/>
  <c r="C92" i="49" s="1"/>
  <c r="C93" i="49" a="1"/>
  <c r="C93" i="49"/>
  <c r="C94" i="49" a="1"/>
  <c r="C94" i="49" s="1"/>
  <c r="C70" i="49" a="1"/>
  <c r="C70" i="49" s="1"/>
  <c r="C71" i="49" a="1"/>
  <c r="C71" i="49"/>
  <c r="C72" i="49" a="1"/>
  <c r="C72" i="49"/>
  <c r="C73" i="49" a="1"/>
  <c r="C73" i="49"/>
  <c r="C74" i="49" a="1"/>
  <c r="C74" i="49" s="1"/>
  <c r="C75" i="49" a="1"/>
  <c r="C75" i="49"/>
  <c r="C76" i="49" a="1"/>
  <c r="C76" i="49" s="1"/>
  <c r="C77" i="49" a="1"/>
  <c r="C77" i="49"/>
  <c r="C78" i="49" a="1"/>
  <c r="C78" i="49" s="1"/>
  <c r="C79" i="49" a="1"/>
  <c r="C79" i="49" s="1"/>
  <c r="C80" i="49" a="1"/>
  <c r="C80" i="49"/>
  <c r="C81" i="49" a="1"/>
  <c r="C81" i="49" s="1"/>
  <c r="C82" i="49" a="1"/>
  <c r="C82" i="49" s="1"/>
  <c r="C83" i="49" a="1"/>
  <c r="C83" i="49" s="1"/>
  <c r="C57" i="49" a="1"/>
  <c r="C57" i="49"/>
  <c r="C58" i="49" a="1"/>
  <c r="C58" i="49"/>
  <c r="C59" i="49" a="1"/>
  <c r="C59" i="49" s="1"/>
  <c r="C60" i="49" a="1"/>
  <c r="C60" i="49"/>
  <c r="C61" i="49" a="1"/>
  <c r="C61" i="49" s="1"/>
  <c r="C62" i="49" a="1"/>
  <c r="C62" i="49" s="1"/>
  <c r="C63" i="49" a="1"/>
  <c r="C63" i="49"/>
  <c r="C64" i="49" a="1"/>
  <c r="C64" i="49" s="1"/>
  <c r="C65" i="49" a="1"/>
  <c r="C65" i="49"/>
  <c r="C66" i="49" a="1"/>
  <c r="C66" i="49" s="1"/>
  <c r="G66" i="49" s="1"/>
  <c r="G167" i="49" s="1"/>
  <c r="C67" i="49" a="1"/>
  <c r="C67" i="49" s="1"/>
  <c r="C68" i="49" a="1"/>
  <c r="C68" i="49"/>
  <c r="C69" i="49" a="1"/>
  <c r="C69" i="49" s="1"/>
  <c r="C24" i="49" a="1"/>
  <c r="C24" i="49"/>
  <c r="C25" i="49" a="1"/>
  <c r="C25" i="49"/>
  <c r="C26" i="49" a="1"/>
  <c r="C26" i="49"/>
  <c r="C27" i="49" a="1"/>
  <c r="C27" i="49" s="1"/>
  <c r="J27" i="49" s="1"/>
  <c r="C28" i="49" a="1"/>
  <c r="C28" i="49" s="1"/>
  <c r="C29" i="49" a="1"/>
  <c r="C29" i="49" s="1"/>
  <c r="C30" i="49" a="1"/>
  <c r="C30" i="49"/>
  <c r="C31" i="49" a="1"/>
  <c r="C31" i="49" s="1"/>
  <c r="C32" i="49" a="1"/>
  <c r="C32" i="49"/>
  <c r="C33" i="49" a="1"/>
  <c r="C33" i="49" s="1"/>
  <c r="C34" i="49" a="1"/>
  <c r="C34" i="49"/>
  <c r="C35" i="49" a="1"/>
  <c r="C35" i="49" s="1"/>
  <c r="C36" i="49" a="1"/>
  <c r="C36" i="49" s="1"/>
  <c r="H36" i="49" s="1"/>
  <c r="C37" i="49" a="1"/>
  <c r="C37" i="49"/>
  <c r="C38" i="49" a="1"/>
  <c r="C38" i="49"/>
  <c r="C39" i="49" a="1"/>
  <c r="C39" i="49" s="1"/>
  <c r="C40" i="49" a="1"/>
  <c r="C40" i="49" s="1"/>
  <c r="C41" i="49" a="1"/>
  <c r="C41" i="49"/>
  <c r="C42" i="49" a="1"/>
  <c r="C42" i="49" s="1"/>
  <c r="F42" i="49" s="1"/>
  <c r="F143" i="49" s="1"/>
  <c r="C43" i="49" a="1"/>
  <c r="C43" i="49"/>
  <c r="C44" i="49" a="1"/>
  <c r="C44" i="49" s="1"/>
  <c r="C45" i="49" a="1"/>
  <c r="C45" i="49" s="1"/>
  <c r="C46" i="49" a="1"/>
  <c r="C46" i="49" s="1"/>
  <c r="C47" i="49" a="1"/>
  <c r="C47" i="49"/>
  <c r="C48" i="49" a="1"/>
  <c r="C48" i="49" s="1"/>
  <c r="C49" i="49" a="1"/>
  <c r="C49" i="49" s="1"/>
  <c r="C50" i="49" a="1"/>
  <c r="C50" i="49"/>
  <c r="C51" i="49" a="1"/>
  <c r="C51" i="49" s="1"/>
  <c r="C52" i="49" a="1"/>
  <c r="C52" i="49"/>
  <c r="C53" i="49" a="1"/>
  <c r="C53" i="49" s="1"/>
  <c r="C54" i="49" a="1"/>
  <c r="C54" i="49"/>
  <c r="C55" i="49" a="1"/>
  <c r="C55" i="49" s="1"/>
  <c r="C56" i="49" a="1"/>
  <c r="C56" i="49"/>
  <c r="C6" i="49" a="1"/>
  <c r="C6" i="49" s="1"/>
  <c r="J6" i="49" s="1"/>
  <c r="J107" i="49" s="1"/>
  <c r="C7" i="49" a="1"/>
  <c r="C7" i="49"/>
  <c r="C8" i="49" a="1"/>
  <c r="C8" i="49"/>
  <c r="C9" i="49" a="1"/>
  <c r="C9" i="49" s="1"/>
  <c r="H9" i="49" s="1"/>
  <c r="H110" i="49" s="1"/>
  <c r="C10" i="49" a="1"/>
  <c r="C10" i="49"/>
  <c r="F10" i="49" s="1"/>
  <c r="F111" i="49" s="1"/>
  <c r="C12" i="49" a="1"/>
  <c r="C12" i="49" s="1"/>
  <c r="C13" i="49" a="1"/>
  <c r="C13" i="49" s="1"/>
  <c r="C14" i="49" a="1"/>
  <c r="C14" i="49" s="1"/>
  <c r="C15" i="49" a="1"/>
  <c r="C15" i="49" s="1"/>
  <c r="C16" i="49" a="1"/>
  <c r="C16" i="49" s="1"/>
  <c r="C17" i="49" a="1"/>
  <c r="C17" i="49"/>
  <c r="C18" i="49" a="1"/>
  <c r="C18" i="49" s="1"/>
  <c r="C19" i="49" a="1"/>
  <c r="C19" i="49" s="1"/>
  <c r="C20" i="49" a="1"/>
  <c r="C20" i="49"/>
  <c r="C21" i="49" a="1"/>
  <c r="C21" i="49"/>
  <c r="J21" i="49" s="1"/>
  <c r="J122" i="49" s="1"/>
  <c r="C22" i="49" a="1"/>
  <c r="C22" i="49" s="1"/>
  <c r="C23" i="49" a="1"/>
  <c r="C23" i="49" s="1"/>
  <c r="J70" i="49"/>
  <c r="J171" i="49"/>
  <c r="K70" i="49"/>
  <c r="J18" i="49"/>
  <c r="J58" i="49"/>
  <c r="J51" i="49"/>
  <c r="J57" i="49"/>
  <c r="J158" i="49" s="1"/>
  <c r="J76" i="49"/>
  <c r="J177" i="49" s="1"/>
  <c r="F76" i="49"/>
  <c r="F177" i="49" s="1"/>
  <c r="F36" i="49"/>
  <c r="F137" i="49" s="1"/>
  <c r="J84" i="49"/>
  <c r="J185" i="49" s="1"/>
  <c r="J45" i="49"/>
  <c r="J146" i="49"/>
  <c r="J42" i="49"/>
  <c r="J143" i="49"/>
  <c r="I75" i="49"/>
  <c r="I176" i="49" s="1"/>
  <c r="J75" i="49"/>
  <c r="J176" i="49" s="1"/>
  <c r="F75" i="49"/>
  <c r="F176" i="49" s="1"/>
  <c r="L41" i="49"/>
  <c r="L142" i="49" s="1"/>
  <c r="J33" i="49"/>
  <c r="J63" i="49"/>
  <c r="F63" i="49"/>
  <c r="N63" i="49" s="1"/>
  <c r="N164" i="49" s="1"/>
  <c r="J82" i="49"/>
  <c r="K10" i="49"/>
  <c r="K111" i="49" s="1"/>
  <c r="L10" i="49"/>
  <c r="L111" i="49" s="1"/>
  <c r="J64" i="49"/>
  <c r="J165" i="49"/>
  <c r="J24" i="49"/>
  <c r="K24" i="49"/>
  <c r="K125" i="49" s="1"/>
  <c r="M24" i="49"/>
  <c r="M125" i="49"/>
  <c r="J81" i="49"/>
  <c r="J182" i="49" s="1"/>
  <c r="G81" i="49"/>
  <c r="G182" i="49" s="1"/>
  <c r="J90" i="49"/>
  <c r="J29" i="49"/>
  <c r="K29" i="49"/>
  <c r="K130" i="49" s="1"/>
  <c r="J77" i="49"/>
  <c r="F77" i="49"/>
  <c r="F178" i="49" s="1"/>
  <c r="J83" i="49"/>
  <c r="K83" i="49"/>
  <c r="K184" i="49" s="1"/>
  <c r="H21" i="49"/>
  <c r="H122" i="49" s="1"/>
  <c r="J47" i="49"/>
  <c r="J148" i="49"/>
  <c r="J39" i="49"/>
  <c r="J140" i="49" s="1"/>
  <c r="K39" i="49"/>
  <c r="F39" i="49"/>
  <c r="F140" i="49" s="1"/>
  <c r="F69" i="49"/>
  <c r="J72" i="49"/>
  <c r="L72" i="49"/>
  <c r="L173" i="49" s="1"/>
  <c r="J89" i="49"/>
  <c r="J190" i="49" s="1"/>
  <c r="L89" i="49"/>
  <c r="K53" i="49"/>
  <c r="J78" i="49"/>
  <c r="K78" i="49"/>
  <c r="K179" i="49" s="1"/>
  <c r="J52" i="49"/>
  <c r="J153" i="49" s="1"/>
  <c r="K52" i="49"/>
  <c r="K153" i="49" s="1"/>
  <c r="J94" i="49"/>
  <c r="J195" i="49" s="1"/>
  <c r="L94" i="49"/>
  <c r="F94" i="49"/>
  <c r="F195" i="49" s="1"/>
  <c r="J12" i="49"/>
  <c r="K12" i="49"/>
  <c r="M12" i="49"/>
  <c r="M113" i="49" s="1"/>
  <c r="F12" i="49"/>
  <c r="F113" i="49" s="1"/>
  <c r="G12" i="49"/>
  <c r="G113" i="49" s="1"/>
  <c r="H12" i="49"/>
  <c r="H113" i="49" s="1"/>
  <c r="J54" i="49"/>
  <c r="J155" i="49"/>
  <c r="K46" i="49"/>
  <c r="K147" i="49" s="1"/>
  <c r="F46" i="49"/>
  <c r="J30" i="49"/>
  <c r="J131" i="49" s="1"/>
  <c r="J60" i="49"/>
  <c r="J161" i="49"/>
  <c r="J71" i="49"/>
  <c r="J172" i="49"/>
  <c r="K71" i="49"/>
  <c r="F71" i="49"/>
  <c r="F172" i="49" s="1"/>
  <c r="J88" i="49"/>
  <c r="J189" i="49"/>
  <c r="F88" i="49"/>
  <c r="F189" i="49" s="1"/>
  <c r="L5" i="49"/>
  <c r="L106" i="49" s="1"/>
  <c r="L33" i="31"/>
  <c r="N15" i="39"/>
  <c r="D33" i="31"/>
  <c r="N12" i="48"/>
  <c r="O28" i="48" s="1"/>
  <c r="O29" i="48"/>
  <c r="E68" i="31"/>
  <c r="K10" i="31"/>
  <c r="D4" i="48"/>
  <c r="E12" i="48" s="1"/>
  <c r="F30" i="48" s="1"/>
  <c r="M11" i="31"/>
  <c r="O19" i="31" s="1"/>
  <c r="N10" i="31"/>
  <c r="O23" i="31" s="1"/>
  <c r="H46" i="47"/>
  <c r="H42" i="47"/>
  <c r="R25" i="40"/>
  <c r="H25" i="40"/>
  <c r="T33" i="31"/>
  <c r="T71" i="31"/>
  <c r="L69" i="31"/>
  <c r="L68" i="31"/>
  <c r="E67" i="31"/>
  <c r="J19" i="40"/>
  <c r="J20" i="40"/>
  <c r="J21" i="40"/>
  <c r="J22" i="40"/>
  <c r="J23" i="40"/>
  <c r="J24" i="40"/>
  <c r="L6" i="47"/>
  <c r="K15" i="47"/>
  <c r="K49" i="47"/>
  <c r="K48" i="47"/>
  <c r="K47" i="47"/>
  <c r="K45" i="47"/>
  <c r="K44" i="47"/>
  <c r="K43" i="47"/>
  <c r="K41" i="47"/>
  <c r="K40" i="47"/>
  <c r="K39" i="47"/>
  <c r="K37" i="47"/>
  <c r="K36" i="47"/>
  <c r="K35" i="47"/>
  <c r="K33" i="47"/>
  <c r="K32" i="47"/>
  <c r="K31" i="47"/>
  <c r="K29" i="47"/>
  <c r="K28" i="47"/>
  <c r="K27" i="47"/>
  <c r="K25" i="47"/>
  <c r="K24" i="47"/>
  <c r="K23" i="47"/>
  <c r="K21" i="47"/>
  <c r="K20" i="47"/>
  <c r="K19" i="47"/>
  <c r="X18" i="40"/>
  <c r="W18" i="40"/>
  <c r="V18" i="40"/>
  <c r="P18" i="40"/>
  <c r="O18" i="40"/>
  <c r="N18" i="40"/>
  <c r="M18" i="40"/>
  <c r="L18" i="40"/>
  <c r="Q17" i="47"/>
  <c r="P17" i="47"/>
  <c r="O17" i="47"/>
  <c r="N17" i="47"/>
  <c r="M17" i="47"/>
  <c r="U16" i="40"/>
  <c r="K16" i="40"/>
  <c r="L12" i="47"/>
  <c r="N12" i="47" s="1"/>
  <c r="D18" i="31"/>
  <c r="F18" i="31"/>
  <c r="T24" i="40"/>
  <c r="T23" i="40"/>
  <c r="T22" i="40"/>
  <c r="T21" i="40"/>
  <c r="T20" i="40"/>
  <c r="T19" i="40"/>
  <c r="N29" i="31"/>
  <c r="N28" i="31"/>
  <c r="N24" i="31"/>
  <c r="N23" i="31"/>
  <c r="N19" i="31"/>
  <c r="N18" i="31"/>
  <c r="N13" i="47"/>
  <c r="N15" i="48"/>
  <c r="N28" i="48" s="1"/>
  <c r="N13" i="48"/>
  <c r="N18" i="48" s="1"/>
  <c r="N29" i="48"/>
  <c r="D4" i="47"/>
  <c r="N6" i="47" s="1"/>
  <c r="H17" i="35"/>
  <c r="H18" i="35"/>
  <c r="H16" i="35"/>
  <c r="J38" i="47"/>
  <c r="H38" i="47"/>
  <c r="J34" i="47"/>
  <c r="H34" i="47"/>
  <c r="J30" i="47"/>
  <c r="H30" i="47"/>
  <c r="J26" i="47"/>
  <c r="H26" i="47"/>
  <c r="H22" i="47"/>
  <c r="F42" i="47"/>
  <c r="E42" i="47"/>
  <c r="D42" i="47"/>
  <c r="F34" i="47"/>
  <c r="E34" i="47"/>
  <c r="D34" i="47"/>
  <c r="F26" i="47"/>
  <c r="E26" i="47"/>
  <c r="D26" i="47"/>
  <c r="J22" i="47"/>
  <c r="J18" i="47"/>
  <c r="H18" i="47"/>
  <c r="F18" i="47"/>
  <c r="E18" i="47"/>
  <c r="D18" i="47"/>
  <c r="R21" i="40"/>
  <c r="H21" i="40"/>
  <c r="F21" i="40"/>
  <c r="E21" i="40"/>
  <c r="D21" i="40"/>
  <c r="V29" i="31"/>
  <c r="V24" i="31"/>
  <c r="V19" i="31"/>
  <c r="F24" i="31"/>
  <c r="V23" i="31"/>
  <c r="T23" i="31"/>
  <c r="S23" i="31"/>
  <c r="L23" i="31"/>
  <c r="K23" i="31"/>
  <c r="F23" i="31"/>
  <c r="D23" i="31"/>
  <c r="C23" i="31"/>
  <c r="Q22" i="31"/>
  <c r="Z21" i="31"/>
  <c r="Y21" i="31"/>
  <c r="I21" i="31"/>
  <c r="D4" i="31"/>
  <c r="Z31" i="31"/>
  <c r="T70" i="31"/>
  <c r="Y31" i="31"/>
  <c r="T69" i="31"/>
  <c r="Z26" i="31"/>
  <c r="Y26" i="31"/>
  <c r="Z16" i="31"/>
  <c r="Y16" i="31"/>
  <c r="D4" i="40"/>
  <c r="K10" i="40" s="1"/>
  <c r="O19" i="40" s="1"/>
  <c r="S18" i="31"/>
  <c r="T18" i="31"/>
  <c r="V18" i="31"/>
  <c r="S28" i="31"/>
  <c r="T28" i="31"/>
  <c r="V28" i="31"/>
  <c r="S33" i="31"/>
  <c r="R23" i="40"/>
  <c r="R19" i="40"/>
  <c r="H23" i="40"/>
  <c r="H19" i="40"/>
  <c r="F25" i="40"/>
  <c r="E25" i="40"/>
  <c r="D25" i="40"/>
  <c r="F23" i="40"/>
  <c r="E23" i="40"/>
  <c r="D23" i="40"/>
  <c r="E19" i="40"/>
  <c r="F19" i="40"/>
  <c r="D19" i="40"/>
  <c r="F29" i="31"/>
  <c r="F28" i="31"/>
  <c r="F19" i="31"/>
  <c r="K33" i="31"/>
  <c r="C33" i="31"/>
  <c r="L28" i="31"/>
  <c r="K18" i="31"/>
  <c r="K28" i="31"/>
  <c r="C28" i="31"/>
  <c r="C18" i="31"/>
  <c r="L18" i="31"/>
  <c r="D28" i="31"/>
  <c r="D5" i="38"/>
  <c r="C5" i="38"/>
  <c r="D4" i="38"/>
  <c r="O19" i="48"/>
  <c r="N10" i="48"/>
  <c r="O18" i="48" s="1"/>
  <c r="N31" i="35"/>
  <c r="N32" i="35"/>
  <c r="N33" i="35"/>
  <c r="N61" i="35"/>
  <c r="N62" i="35"/>
  <c r="N63" i="35"/>
  <c r="N53" i="35"/>
  <c r="N54" i="35"/>
  <c r="N55" i="35"/>
  <c r="N56" i="35"/>
  <c r="N57" i="35"/>
  <c r="N58" i="35"/>
  <c r="N59" i="35"/>
  <c r="N60" i="35"/>
  <c r="N3" i="35"/>
  <c r="N4" i="35"/>
  <c r="N5" i="35"/>
  <c r="N6" i="35"/>
  <c r="N7" i="35"/>
  <c r="N8" i="35"/>
  <c r="N10" i="35"/>
  <c r="N11" i="35"/>
  <c r="N12" i="35"/>
  <c r="N13" i="35"/>
  <c r="N14" i="35"/>
  <c r="N15" i="35"/>
  <c r="N16" i="35"/>
  <c r="N17" i="35"/>
  <c r="N18" i="35"/>
  <c r="N19" i="35"/>
  <c r="N20" i="35"/>
  <c r="N21" i="35"/>
  <c r="N22" i="35"/>
  <c r="N23" i="35"/>
  <c r="N24" i="35"/>
  <c r="N25" i="35"/>
  <c r="N26" i="35"/>
  <c r="N27" i="35"/>
  <c r="N28" i="35"/>
  <c r="N29" i="35"/>
  <c r="N30" i="35"/>
  <c r="N34" i="35"/>
  <c r="N35" i="35"/>
  <c r="N36" i="35"/>
  <c r="N37" i="35"/>
  <c r="N38" i="35"/>
  <c r="N39" i="35"/>
  <c r="N40" i="35"/>
  <c r="N41" i="35"/>
  <c r="N42" i="35"/>
  <c r="N43" i="35"/>
  <c r="N44" i="35"/>
  <c r="N45" i="35"/>
  <c r="N46" i="35"/>
  <c r="N47" i="35"/>
  <c r="N48" i="35"/>
  <c r="N49" i="35"/>
  <c r="N50" i="35"/>
  <c r="N51" i="35"/>
  <c r="N52" i="35"/>
  <c r="N2" i="35"/>
  <c r="Q32" i="31"/>
  <c r="Q27" i="31"/>
  <c r="Q17" i="31"/>
  <c r="P8" i="39"/>
  <c r="P7" i="39"/>
  <c r="P6" i="39"/>
  <c r="I31" i="31"/>
  <c r="I26" i="31"/>
  <c r="I16" i="31"/>
  <c r="O11" i="37" l="1"/>
  <c r="Q11" i="37"/>
  <c r="I17" i="49" s="1"/>
  <c r="I118" i="49" s="1"/>
  <c r="M11" i="37"/>
  <c r="Q13" i="48"/>
  <c r="N21" i="48" s="1"/>
  <c r="L42" i="49"/>
  <c r="L143" i="49" s="1"/>
  <c r="M42" i="41"/>
  <c r="K82" i="49" s="1"/>
  <c r="N5" i="37"/>
  <c r="G6" i="49" s="1"/>
  <c r="G107" i="49" s="1"/>
  <c r="F60" i="49"/>
  <c r="F161" i="49" s="1"/>
  <c r="F33" i="49"/>
  <c r="F134" i="49" s="1"/>
  <c r="Q16" i="37"/>
  <c r="J12" i="48" s="1"/>
  <c r="F35" i="48" s="1"/>
  <c r="M49" i="41"/>
  <c r="K96" i="49" s="1"/>
  <c r="O96" i="49" s="1"/>
  <c r="O197" i="49" s="1"/>
  <c r="P15" i="48"/>
  <c r="N30" i="48" s="1"/>
  <c r="Q15" i="48"/>
  <c r="N31" i="48" s="1"/>
  <c r="Q34" i="41"/>
  <c r="M66" i="49" s="1"/>
  <c r="M167" i="49" s="1"/>
  <c r="P72" i="49"/>
  <c r="P173" i="49" s="1"/>
  <c r="Q6" i="41"/>
  <c r="M10" i="49" s="1"/>
  <c r="M111" i="49" s="1"/>
  <c r="R41" i="37"/>
  <c r="I78" i="49" s="1"/>
  <c r="R35" i="37"/>
  <c r="M48" i="41"/>
  <c r="K94" i="49" s="1"/>
  <c r="K195" i="49" s="1"/>
  <c r="Q4" i="41"/>
  <c r="M6" i="49" s="1"/>
  <c r="P37" i="37"/>
  <c r="H70" i="49" s="1"/>
  <c r="P70" i="49" s="1"/>
  <c r="P171" i="49" s="1"/>
  <c r="Q15" i="41"/>
  <c r="R15" i="48" s="1"/>
  <c r="N32" i="48" s="1"/>
  <c r="Q30" i="41"/>
  <c r="M58" i="49" s="1"/>
  <c r="M159" i="49" s="1"/>
  <c r="N12" i="31"/>
  <c r="P23" i="31" s="1"/>
  <c r="N19" i="37"/>
  <c r="F30" i="49"/>
  <c r="N30" i="49" s="1"/>
  <c r="N131" i="49" s="1"/>
  <c r="N43" i="37"/>
  <c r="G82" i="49" s="1"/>
  <c r="G183" i="49" s="1"/>
  <c r="P32" i="37"/>
  <c r="H60" i="49" s="1"/>
  <c r="H161" i="49" s="1"/>
  <c r="L12" i="41"/>
  <c r="K21" i="49" s="1"/>
  <c r="M28" i="37"/>
  <c r="G51" i="49" s="1"/>
  <c r="G152" i="49" s="1"/>
  <c r="M15" i="41"/>
  <c r="K28" i="49" s="1"/>
  <c r="K129" i="49" s="1"/>
  <c r="P43" i="37"/>
  <c r="H82" i="49" s="1"/>
  <c r="O43" i="37"/>
  <c r="H81" i="49" s="1"/>
  <c r="H182" i="49" s="1"/>
  <c r="N32" i="37"/>
  <c r="G60" i="49" s="1"/>
  <c r="G161" i="49" s="1"/>
  <c r="L39" i="41"/>
  <c r="K75" i="49" s="1"/>
  <c r="K176" i="49" s="1"/>
  <c r="O41" i="37"/>
  <c r="H77" i="49" s="1"/>
  <c r="H178" i="49" s="1"/>
  <c r="M43" i="41"/>
  <c r="K26" i="37"/>
  <c r="Q42" i="41"/>
  <c r="M82" i="49" s="1"/>
  <c r="P19" i="37"/>
  <c r="H34" i="49" s="1"/>
  <c r="M10" i="37"/>
  <c r="G15" i="49" s="1"/>
  <c r="R37" i="37"/>
  <c r="I70" i="49" s="1"/>
  <c r="I171" i="49" s="1"/>
  <c r="M55" i="37"/>
  <c r="L33" i="41"/>
  <c r="K63" i="49" s="1"/>
  <c r="P48" i="41"/>
  <c r="Q22" i="41"/>
  <c r="P94" i="49"/>
  <c r="P195" i="49" s="1"/>
  <c r="M16" i="41"/>
  <c r="F82" i="49"/>
  <c r="F183" i="49" s="1"/>
  <c r="L40" i="41"/>
  <c r="K77" i="49" s="1"/>
  <c r="Q35" i="37"/>
  <c r="I65" i="49" s="1"/>
  <c r="Q65" i="49" s="1"/>
  <c r="Q166" i="49" s="1"/>
  <c r="O16" i="37"/>
  <c r="H27" i="49" s="1"/>
  <c r="H128" i="49" s="1"/>
  <c r="P4" i="41"/>
  <c r="L27" i="41"/>
  <c r="K51" i="49" s="1"/>
  <c r="K152" i="49" s="1"/>
  <c r="P9" i="41"/>
  <c r="M15" i="49" s="1"/>
  <c r="M116" i="49" s="1"/>
  <c r="P18" i="31"/>
  <c r="R49" i="37"/>
  <c r="I94" i="49" s="1"/>
  <c r="Q19" i="37"/>
  <c r="I33" i="49" s="1"/>
  <c r="I134" i="49" s="1"/>
  <c r="M19" i="37"/>
  <c r="G33" i="49" s="1"/>
  <c r="G134" i="49" s="1"/>
  <c r="R17" i="37"/>
  <c r="I30" i="49" s="1"/>
  <c r="I131" i="49" s="1"/>
  <c r="Q47" i="37"/>
  <c r="I89" i="49" s="1"/>
  <c r="I190" i="49" s="1"/>
  <c r="M47" i="37"/>
  <c r="G89" i="49" s="1"/>
  <c r="G190" i="49" s="1"/>
  <c r="F89" i="49"/>
  <c r="F190" i="49" s="1"/>
  <c r="F24" i="49"/>
  <c r="F125" i="49" s="1"/>
  <c r="O49" i="37"/>
  <c r="H93" i="49" s="1"/>
  <c r="H194" i="49" s="1"/>
  <c r="M49" i="37"/>
  <c r="G93" i="49" s="1"/>
  <c r="G194" i="49" s="1"/>
  <c r="F93" i="49"/>
  <c r="F194" i="49" s="1"/>
  <c r="Q49" i="37"/>
  <c r="I93" i="49" s="1"/>
  <c r="I194" i="49" s="1"/>
  <c r="N28" i="37"/>
  <c r="G52" i="49" s="1"/>
  <c r="G153" i="49" s="1"/>
  <c r="P28" i="37"/>
  <c r="H52" i="49" s="1"/>
  <c r="H153" i="49" s="1"/>
  <c r="F52" i="49"/>
  <c r="F153" i="49" s="1"/>
  <c r="R28" i="37"/>
  <c r="I52" i="49" s="1"/>
  <c r="I153" i="49" s="1"/>
  <c r="P13" i="47"/>
  <c r="V11" i="40"/>
  <c r="U24" i="40" s="1"/>
  <c r="L36" i="49"/>
  <c r="P36" i="49" s="1"/>
  <c r="P137" i="49" s="1"/>
  <c r="I10" i="48"/>
  <c r="G10" i="48"/>
  <c r="F20" i="48" s="1"/>
  <c r="G15" i="48"/>
  <c r="V15" i="48" s="1"/>
  <c r="V26" i="48" s="1"/>
  <c r="G13" i="48"/>
  <c r="E20" i="48" s="1"/>
  <c r="F12" i="48"/>
  <c r="F31" i="48" s="1"/>
  <c r="J15" i="48"/>
  <c r="E35" i="48" s="1"/>
  <c r="E14" i="48"/>
  <c r="E24" i="48" s="1"/>
  <c r="R44" i="37"/>
  <c r="I84" i="49" s="1"/>
  <c r="E15" i="48"/>
  <c r="E30" i="48" s="1"/>
  <c r="P5" i="37"/>
  <c r="H6" i="49" s="1"/>
  <c r="H107" i="49" s="1"/>
  <c r="F83" i="49"/>
  <c r="F184" i="49" s="1"/>
  <c r="U11" i="40"/>
  <c r="P52" i="37"/>
  <c r="Q52" i="41"/>
  <c r="M12" i="41"/>
  <c r="F14" i="48"/>
  <c r="E25" i="48" s="1"/>
  <c r="F15" i="48"/>
  <c r="E31" i="48" s="1"/>
  <c r="I15" i="48"/>
  <c r="E34" i="48" s="1"/>
  <c r="G12" i="48"/>
  <c r="V12" i="48" s="1"/>
  <c r="W26" i="48" s="1"/>
  <c r="O76" i="49"/>
  <c r="O177" i="49" s="1"/>
  <c r="R38" i="37"/>
  <c r="I72" i="49" s="1"/>
  <c r="Q72" i="49" s="1"/>
  <c r="Q173" i="49" s="1"/>
  <c r="H15" i="48"/>
  <c r="E33" i="48" s="1"/>
  <c r="F11" i="48"/>
  <c r="F25" i="48" s="1"/>
  <c r="N44" i="37"/>
  <c r="P82" i="49"/>
  <c r="P183" i="49" s="1"/>
  <c r="F10" i="48"/>
  <c r="F19" i="48" s="1"/>
  <c r="R14" i="37"/>
  <c r="I24" i="49" s="1"/>
  <c r="I125" i="49" s="1"/>
  <c r="L46" i="41"/>
  <c r="K89" i="49" s="1"/>
  <c r="K190" i="49" s="1"/>
  <c r="N33" i="41"/>
  <c r="L63" i="49" s="1"/>
  <c r="L164" i="49" s="1"/>
  <c r="Q18" i="41"/>
  <c r="M34" i="49" s="1"/>
  <c r="M135" i="49" s="1"/>
  <c r="H12" i="48"/>
  <c r="F33" i="48" s="1"/>
  <c r="E10" i="48"/>
  <c r="F18" i="48" s="1"/>
  <c r="F72" i="49"/>
  <c r="F173" i="49" s="1"/>
  <c r="F18" i="49"/>
  <c r="N18" i="49" s="1"/>
  <c r="N119" i="49" s="1"/>
  <c r="L200" i="49"/>
  <c r="N17" i="37"/>
  <c r="G30" i="49" s="1"/>
  <c r="G131" i="49" s="1"/>
  <c r="Q41" i="37"/>
  <c r="I77" i="49" s="1"/>
  <c r="I178" i="49" s="1"/>
  <c r="L19" i="41"/>
  <c r="O12" i="47" s="1"/>
  <c r="Q19" i="41"/>
  <c r="W11" i="40" s="1"/>
  <c r="V26" i="40" s="1"/>
  <c r="Q39" i="41"/>
  <c r="M76" i="49" s="1"/>
  <c r="M177" i="49" s="1"/>
  <c r="P14" i="37"/>
  <c r="H24" i="49" s="1"/>
  <c r="H125" i="49" s="1"/>
  <c r="M18" i="41"/>
  <c r="K34" i="49" s="1"/>
  <c r="K135" i="49" s="1"/>
  <c r="L54" i="41"/>
  <c r="H29" i="37"/>
  <c r="L29" i="37" s="1"/>
  <c r="F54" i="49" s="1"/>
  <c r="F155" i="49" s="1"/>
  <c r="P47" i="37"/>
  <c r="H90" i="49" s="1"/>
  <c r="H191" i="49" s="1"/>
  <c r="P25" i="37"/>
  <c r="H46" i="49" s="1"/>
  <c r="H147" i="49" s="1"/>
  <c r="M9" i="41"/>
  <c r="K16" i="49" s="1"/>
  <c r="K117" i="49" s="1"/>
  <c r="H13" i="48"/>
  <c r="E21" i="48" s="1"/>
  <c r="O5" i="37"/>
  <c r="H5" i="49" s="1"/>
  <c r="H106" i="49" s="1"/>
  <c r="R16" i="37"/>
  <c r="I28" i="49" s="1"/>
  <c r="N22" i="37"/>
  <c r="G40" i="49" s="1"/>
  <c r="J10" i="48"/>
  <c r="F23" i="48" s="1"/>
  <c r="E13" i="48"/>
  <c r="E18" i="48" s="1"/>
  <c r="E11" i="48"/>
  <c r="F24" i="48" s="1"/>
  <c r="Q5" i="37"/>
  <c r="I5" i="49" s="1"/>
  <c r="I106" i="49" s="1"/>
  <c r="F22" i="49"/>
  <c r="F123" i="49" s="1"/>
  <c r="O20" i="37"/>
  <c r="H35" i="49" s="1"/>
  <c r="R13" i="37"/>
  <c r="H10" i="48"/>
  <c r="F21" i="48" s="1"/>
  <c r="F13" i="48"/>
  <c r="E19" i="48" s="1"/>
  <c r="M16" i="37"/>
  <c r="G27" i="49" s="1"/>
  <c r="G128" i="49" s="1"/>
  <c r="Q7" i="37"/>
  <c r="I9" i="49" s="1"/>
  <c r="I110" i="49" s="1"/>
  <c r="P52" i="41"/>
  <c r="M5" i="37"/>
  <c r="N18" i="41"/>
  <c r="L33" i="49" s="1"/>
  <c r="L134" i="49" s="1"/>
  <c r="O31" i="41"/>
  <c r="L60" i="49" s="1"/>
  <c r="L161" i="49" s="1"/>
  <c r="L25" i="41"/>
  <c r="K47" i="49" s="1"/>
  <c r="K148" i="49" s="1"/>
  <c r="N13" i="41"/>
  <c r="Q10" i="48" s="1"/>
  <c r="O21" i="48" s="1"/>
  <c r="F95" i="49"/>
  <c r="F196" i="49" s="1"/>
  <c r="O12" i="41"/>
  <c r="L22" i="49" s="1"/>
  <c r="L123" i="49" s="1"/>
  <c r="O28" i="37"/>
  <c r="H51" i="49" s="1"/>
  <c r="H152" i="49" s="1"/>
  <c r="P15" i="41"/>
  <c r="R12" i="48" s="1"/>
  <c r="O32" i="48" s="1"/>
  <c r="N19" i="41"/>
  <c r="M44" i="37"/>
  <c r="G83" i="49" s="1"/>
  <c r="G184" i="49" s="1"/>
  <c r="O47" i="37"/>
  <c r="H89" i="49" s="1"/>
  <c r="H190" i="49" s="1"/>
  <c r="N42" i="41"/>
  <c r="L81" i="49" s="1"/>
  <c r="L182" i="49" s="1"/>
  <c r="Q28" i="37"/>
  <c r="I51" i="49" s="1"/>
  <c r="I152" i="49" s="1"/>
  <c r="N49" i="37"/>
  <c r="G94" i="49" s="1"/>
  <c r="G195" i="49" s="1"/>
  <c r="N47" i="37"/>
  <c r="G90" i="49" s="1"/>
  <c r="G191" i="49" s="1"/>
  <c r="R47" i="37"/>
  <c r="I90" i="49" s="1"/>
  <c r="I191" i="49" s="1"/>
  <c r="F57" i="49"/>
  <c r="F158" i="49" s="1"/>
  <c r="Q31" i="37"/>
  <c r="I57" i="49" s="1"/>
  <c r="O31" i="37"/>
  <c r="H57" i="49" s="1"/>
  <c r="H158" i="49" s="1"/>
  <c r="O70" i="49"/>
  <c r="O171" i="49" s="1"/>
  <c r="Q29" i="37"/>
  <c r="F53" i="49"/>
  <c r="F154" i="49" s="1"/>
  <c r="O29" i="37"/>
  <c r="H53" i="49" s="1"/>
  <c r="H154" i="49" s="1"/>
  <c r="R26" i="37"/>
  <c r="I48" i="49" s="1"/>
  <c r="F48" i="49"/>
  <c r="F149" i="49" s="1"/>
  <c r="Q19" i="31"/>
  <c r="N11" i="40"/>
  <c r="K26" i="40" s="1"/>
  <c r="M11" i="40"/>
  <c r="O24" i="40" s="1"/>
  <c r="U19" i="40"/>
  <c r="K11" i="40"/>
  <c r="P20" i="40" s="1"/>
  <c r="W19" i="40"/>
  <c r="X19" i="40"/>
  <c r="U20" i="40"/>
  <c r="L10" i="40"/>
  <c r="O21" i="40" s="1"/>
  <c r="X20" i="40"/>
  <c r="W22" i="40"/>
  <c r="W20" i="40"/>
  <c r="E11" i="31"/>
  <c r="G19" i="31" s="1"/>
  <c r="I19" i="31" s="1"/>
  <c r="G12" i="31"/>
  <c r="H28" i="31" s="1"/>
  <c r="F12" i="31"/>
  <c r="H23" i="31" s="1"/>
  <c r="E12" i="31"/>
  <c r="U12" i="31" s="1"/>
  <c r="X18" i="31" s="1"/>
  <c r="E13" i="31"/>
  <c r="U13" i="31" s="1"/>
  <c r="X19" i="31" s="1"/>
  <c r="H11" i="31"/>
  <c r="G34" i="31" s="1"/>
  <c r="G13" i="31"/>
  <c r="H29" i="31" s="1"/>
  <c r="F13" i="31"/>
  <c r="E10" i="31"/>
  <c r="G18" i="31" s="1"/>
  <c r="I18" i="31" s="1"/>
  <c r="P76" i="49"/>
  <c r="P177" i="49" s="1"/>
  <c r="N78" i="49"/>
  <c r="N179" i="49" s="1"/>
  <c r="N42" i="49"/>
  <c r="N143" i="49" s="1"/>
  <c r="N75" i="49"/>
  <c r="N176" i="49" s="1"/>
  <c r="Q63" i="49"/>
  <c r="Q164" i="49" s="1"/>
  <c r="Q33" i="49"/>
  <c r="Q134" i="49" s="1"/>
  <c r="K19" i="40"/>
  <c r="O39" i="49"/>
  <c r="O140" i="49" s="1"/>
  <c r="O60" i="49"/>
  <c r="O161" i="49" s="1"/>
  <c r="N12" i="49"/>
  <c r="N113" i="49" s="1"/>
  <c r="N82" i="49"/>
  <c r="N183" i="49" s="1"/>
  <c r="N27" i="49"/>
  <c r="N128" i="49" s="1"/>
  <c r="Q70" i="49"/>
  <c r="Q171" i="49" s="1"/>
  <c r="N71" i="49"/>
  <c r="N172" i="49" s="1"/>
  <c r="H195" i="49"/>
  <c r="O72" i="49"/>
  <c r="O173" i="49" s="1"/>
  <c r="N90" i="49"/>
  <c r="N191" i="49" s="1"/>
  <c r="P19" i="40"/>
  <c r="N19" i="40"/>
  <c r="Q99" i="49"/>
  <c r="Q200" i="49" s="1"/>
  <c r="O12" i="49"/>
  <c r="O113" i="49" s="1"/>
  <c r="H173" i="49"/>
  <c r="O69" i="49"/>
  <c r="O170" i="49" s="1"/>
  <c r="O53" i="49"/>
  <c r="O154" i="49" s="1"/>
  <c r="F164" i="49"/>
  <c r="O71" i="49"/>
  <c r="O172" i="49" s="1"/>
  <c r="N76" i="49"/>
  <c r="N177" i="49" s="1"/>
  <c r="G177" i="49"/>
  <c r="G130" i="49"/>
  <c r="O29" i="49"/>
  <c r="O130" i="49" s="1"/>
  <c r="L19" i="40"/>
  <c r="N51" i="49"/>
  <c r="N152" i="49" s="1"/>
  <c r="N60" i="49"/>
  <c r="N161" i="49" s="1"/>
  <c r="N88" i="49"/>
  <c r="N189" i="49" s="1"/>
  <c r="O21" i="49"/>
  <c r="O122" i="49" s="1"/>
  <c r="F29" i="49"/>
  <c r="N70" i="49"/>
  <c r="N171" i="49" s="1"/>
  <c r="N33" i="49"/>
  <c r="N134" i="49" s="1"/>
  <c r="M19" i="40"/>
  <c r="N64" i="49"/>
  <c r="N165" i="49" s="1"/>
  <c r="N77" i="49"/>
  <c r="N178" i="49" s="1"/>
  <c r="N39" i="49"/>
  <c r="N140" i="49" s="1"/>
  <c r="P81" i="49"/>
  <c r="P182" i="49" s="1"/>
  <c r="N20" i="48"/>
  <c r="P39" i="49"/>
  <c r="P140" i="49" s="1"/>
  <c r="L140" i="49"/>
  <c r="K178" i="49"/>
  <c r="O77" i="49"/>
  <c r="O178" i="49" s="1"/>
  <c r="N94" i="49"/>
  <c r="N195" i="49" s="1"/>
  <c r="N19" i="48"/>
  <c r="P12" i="49"/>
  <c r="P113" i="49" s="1"/>
  <c r="Q12" i="49"/>
  <c r="Q113" i="49" s="1"/>
  <c r="K154" i="49"/>
  <c r="J178" i="49"/>
  <c r="P95" i="49"/>
  <c r="P196" i="49" s="1"/>
  <c r="N54" i="41"/>
  <c r="O16" i="41"/>
  <c r="L30" i="49" s="1"/>
  <c r="Q16" i="41"/>
  <c r="M30" i="49" s="1"/>
  <c r="L4" i="41"/>
  <c r="K5" i="49" s="1"/>
  <c r="K106" i="49" s="1"/>
  <c r="N27" i="41"/>
  <c r="O27" i="41"/>
  <c r="O99" i="49"/>
  <c r="O200" i="49" s="1"/>
  <c r="P13" i="41"/>
  <c r="M23" i="49" s="1"/>
  <c r="Q23" i="49" s="1"/>
  <c r="Q124" i="49" s="1"/>
  <c r="P21" i="41"/>
  <c r="M39" i="49" s="1"/>
  <c r="Q78" i="49"/>
  <c r="Q179" i="49" s="1"/>
  <c r="P41" i="49"/>
  <c r="P142" i="49" s="1"/>
  <c r="O46" i="49"/>
  <c r="O147" i="49" s="1"/>
  <c r="K172" i="49"/>
  <c r="K161" i="49"/>
  <c r="K173" i="49"/>
  <c r="K183" i="49"/>
  <c r="K197" i="49"/>
  <c r="Q25" i="41"/>
  <c r="P11" i="31" s="1"/>
  <c r="L96" i="49"/>
  <c r="P96" i="49" s="1"/>
  <c r="P197" i="49" s="1"/>
  <c r="V22" i="40"/>
  <c r="O24" i="49"/>
  <c r="O125" i="49" s="1"/>
  <c r="Q31" i="41"/>
  <c r="M60" i="49" s="1"/>
  <c r="Q43" i="41"/>
  <c r="M84" i="49" s="1"/>
  <c r="M185" i="49" s="1"/>
  <c r="P7" i="41"/>
  <c r="Q12" i="47" s="1"/>
  <c r="W10" i="40"/>
  <c r="L30" i="41"/>
  <c r="N30" i="41"/>
  <c r="L57" i="49" s="1"/>
  <c r="P83" i="49"/>
  <c r="P184" i="49" s="1"/>
  <c r="Q88" i="49"/>
  <c r="Q189" i="49" s="1"/>
  <c r="K113" i="49"/>
  <c r="Q20" i="47"/>
  <c r="L20" i="47"/>
  <c r="O21" i="47"/>
  <c r="N21" i="47"/>
  <c r="P21" i="47"/>
  <c r="N18" i="47"/>
  <c r="M19" i="47"/>
  <c r="L19" i="47"/>
  <c r="P20" i="47"/>
  <c r="O20" i="47"/>
  <c r="M18" i="47"/>
  <c r="Q18" i="47"/>
  <c r="L18" i="47"/>
  <c r="Q19" i="47"/>
  <c r="N19" i="47"/>
  <c r="I107" i="49"/>
  <c r="Q6" i="49"/>
  <c r="Q107" i="49" s="1"/>
  <c r="N20" i="47"/>
  <c r="X24" i="40"/>
  <c r="V24" i="40"/>
  <c r="L190" i="49"/>
  <c r="M21" i="47"/>
  <c r="Q23" i="31"/>
  <c r="O6" i="47"/>
  <c r="H13" i="31"/>
  <c r="H12" i="31"/>
  <c r="W24" i="40"/>
  <c r="M20" i="47"/>
  <c r="P18" i="47"/>
  <c r="Q21" i="47"/>
  <c r="L21" i="47"/>
  <c r="O18" i="47"/>
  <c r="N7" i="47"/>
  <c r="N24" i="47" s="1"/>
  <c r="O19" i="47"/>
  <c r="P19" i="47"/>
  <c r="J17" i="41"/>
  <c r="J5" i="41"/>
  <c r="K14" i="41"/>
  <c r="K29" i="41"/>
  <c r="K41" i="41"/>
  <c r="K53" i="41"/>
  <c r="J44" i="41"/>
  <c r="J85" i="49" s="1"/>
  <c r="J186" i="49" s="1"/>
  <c r="J32" i="41"/>
  <c r="J61" i="49" s="1"/>
  <c r="J162" i="49" s="1"/>
  <c r="J14" i="41"/>
  <c r="J26" i="41"/>
  <c r="J49" i="49" s="1"/>
  <c r="J150" i="49" s="1"/>
  <c r="K5" i="41"/>
  <c r="K17" i="41"/>
  <c r="K32" i="41"/>
  <c r="K44" i="41"/>
  <c r="J53" i="41"/>
  <c r="J41" i="41"/>
  <c r="J29" i="41"/>
  <c r="K21" i="37"/>
  <c r="L24" i="37"/>
  <c r="L54" i="37"/>
  <c r="K27" i="37"/>
  <c r="F49" i="49" s="1"/>
  <c r="J11" i="41"/>
  <c r="K8" i="41"/>
  <c r="K20" i="41"/>
  <c r="K35" i="41"/>
  <c r="K47" i="41"/>
  <c r="J50" i="41"/>
  <c r="J38" i="41"/>
  <c r="J23" i="41"/>
  <c r="L18" i="37"/>
  <c r="L27" i="37"/>
  <c r="J8" i="41"/>
  <c r="K15" i="37"/>
  <c r="K54" i="37"/>
  <c r="L48" i="37"/>
  <c r="F92" i="49" s="1"/>
  <c r="K26" i="41"/>
  <c r="K11" i="41"/>
  <c r="K23" i="41"/>
  <c r="K38" i="41"/>
  <c r="K50" i="41"/>
  <c r="J47" i="41"/>
  <c r="J35" i="41"/>
  <c r="J20" i="41"/>
  <c r="K24" i="37"/>
  <c r="L33" i="37"/>
  <c r="L42" i="37"/>
  <c r="L21" i="37"/>
  <c r="L6" i="37"/>
  <c r="K6" i="37"/>
  <c r="F7" i="49" s="1"/>
  <c r="K18" i="37"/>
  <c r="K33" i="37"/>
  <c r="K45" i="37"/>
  <c r="F85" i="49" s="1"/>
  <c r="L39" i="37"/>
  <c r="L9" i="37"/>
  <c r="K30" i="37"/>
  <c r="K9" i="37"/>
  <c r="K48" i="37"/>
  <c r="K39" i="37"/>
  <c r="K42" i="37"/>
  <c r="L36" i="37"/>
  <c r="L51" i="37"/>
  <c r="L12" i="37"/>
  <c r="L30" i="37"/>
  <c r="K36" i="37"/>
  <c r="L45" i="37"/>
  <c r="L15" i="37"/>
  <c r="K51" i="37"/>
  <c r="P7" i="47"/>
  <c r="I195" i="49"/>
  <c r="M10" i="31"/>
  <c r="F170" i="49"/>
  <c r="F147" i="49"/>
  <c r="N46" i="49"/>
  <c r="N147" i="49" s="1"/>
  <c r="M21" i="49"/>
  <c r="M122" i="49" s="1"/>
  <c r="I66" i="49"/>
  <c r="J16" i="49"/>
  <c r="H16" i="49"/>
  <c r="L16" i="49"/>
  <c r="L117" i="49" s="1"/>
  <c r="J40" i="49"/>
  <c r="J141" i="49" s="1"/>
  <c r="H40" i="49"/>
  <c r="K40" i="49"/>
  <c r="K141" i="49" s="1"/>
  <c r="L40" i="49"/>
  <c r="L141" i="49" s="1"/>
  <c r="M40" i="49"/>
  <c r="M141" i="49" s="1"/>
  <c r="J15" i="49"/>
  <c r="H15" i="49"/>
  <c r="J48" i="49"/>
  <c r="K48" i="49"/>
  <c r="K149" i="49" s="1"/>
  <c r="L48" i="49"/>
  <c r="L149" i="49" s="1"/>
  <c r="J69" i="49"/>
  <c r="J170" i="49" s="1"/>
  <c r="L69" i="49"/>
  <c r="L170" i="49" s="1"/>
  <c r="H87" i="49"/>
  <c r="G87" i="49"/>
  <c r="G188" i="49" s="1"/>
  <c r="I87" i="49"/>
  <c r="I188" i="49" s="1"/>
  <c r="M87" i="49"/>
  <c r="M188" i="49" s="1"/>
  <c r="F87" i="49"/>
  <c r="J87" i="49"/>
  <c r="K23" i="49"/>
  <c r="K124" i="49" s="1"/>
  <c r="G23" i="49"/>
  <c r="L23" i="49"/>
  <c r="L124" i="49" s="1"/>
  <c r="F23" i="49"/>
  <c r="H23" i="49"/>
  <c r="H124" i="49" s="1"/>
  <c r="J14" i="49"/>
  <c r="H183" i="49"/>
  <c r="F15" i="49"/>
  <c r="I22" i="49"/>
  <c r="H22" i="49"/>
  <c r="J22" i="49"/>
  <c r="J123" i="49" s="1"/>
  <c r="K22" i="49"/>
  <c r="K123" i="49" s="1"/>
  <c r="M22" i="49"/>
  <c r="M123" i="49" s="1"/>
  <c r="H59" i="49"/>
  <c r="J59" i="49"/>
  <c r="J160" i="49" s="1"/>
  <c r="L59" i="49"/>
  <c r="L160" i="49" s="1"/>
  <c r="F59" i="49"/>
  <c r="I21" i="49"/>
  <c r="L21" i="49"/>
  <c r="F21" i="49"/>
  <c r="J46" i="49"/>
  <c r="J147" i="49" s="1"/>
  <c r="I46" i="49"/>
  <c r="L46" i="49"/>
  <c r="F28" i="49"/>
  <c r="G28" i="49"/>
  <c r="O28" i="49" s="1"/>
  <c r="O129" i="49" s="1"/>
  <c r="L28" i="49"/>
  <c r="L129" i="49" s="1"/>
  <c r="H28" i="49"/>
  <c r="J28" i="49"/>
  <c r="J129" i="49" s="1"/>
  <c r="L66" i="49"/>
  <c r="L167" i="49" s="1"/>
  <c r="F66" i="49"/>
  <c r="J66" i="49"/>
  <c r="J167" i="49" s="1"/>
  <c r="K66" i="49"/>
  <c r="M53" i="49"/>
  <c r="M154" i="49" s="1"/>
  <c r="I53" i="49"/>
  <c r="J53" i="49"/>
  <c r="L53" i="49"/>
  <c r="H65" i="49"/>
  <c r="G65" i="49"/>
  <c r="G166" i="49" s="1"/>
  <c r="J65" i="49"/>
  <c r="J166" i="49" s="1"/>
  <c r="L65" i="49"/>
  <c r="L166" i="49" s="1"/>
  <c r="F65" i="49"/>
  <c r="I15" i="49"/>
  <c r="J9" i="49"/>
  <c r="J110" i="49" s="1"/>
  <c r="M9" i="49"/>
  <c r="F9" i="49"/>
  <c r="J35" i="49"/>
  <c r="J136" i="49" s="1"/>
  <c r="F35" i="49"/>
  <c r="I35" i="49"/>
  <c r="M35" i="49"/>
  <c r="M136" i="49" s="1"/>
  <c r="J26" i="49"/>
  <c r="J127" i="49" s="1"/>
  <c r="L34" i="49"/>
  <c r="L135" i="49" s="1"/>
  <c r="F34" i="49"/>
  <c r="I34" i="49"/>
  <c r="J34" i="49"/>
  <c r="J135" i="49" s="1"/>
  <c r="G34" i="49"/>
  <c r="J74" i="49"/>
  <c r="J175" i="49" s="1"/>
  <c r="L35" i="49"/>
  <c r="L136" i="49" s="1"/>
  <c r="F16" i="49"/>
  <c r="F40" i="49"/>
  <c r="J23" i="49"/>
  <c r="J124" i="49" s="1"/>
  <c r="G35" i="49"/>
  <c r="J17" i="49"/>
  <c r="F17" i="49"/>
  <c r="G17" i="49"/>
  <c r="H17" i="49"/>
  <c r="L17" i="49"/>
  <c r="L118" i="49" s="1"/>
  <c r="K17" i="49"/>
  <c r="K118" i="49" s="1"/>
  <c r="M17" i="49"/>
  <c r="J41" i="49"/>
  <c r="F41" i="49"/>
  <c r="I41" i="49"/>
  <c r="G41" i="49"/>
  <c r="K41" i="49"/>
  <c r="K142" i="49" s="1"/>
  <c r="F81" i="49"/>
  <c r="I81" i="49"/>
  <c r="M45" i="49"/>
  <c r="J194" i="49"/>
  <c r="G57" i="49"/>
  <c r="G158" i="49" s="1"/>
  <c r="K57" i="49"/>
  <c r="K158" i="49" s="1"/>
  <c r="K171" i="49"/>
  <c r="K122" i="49"/>
  <c r="K140" i="49"/>
  <c r="K170" i="49"/>
  <c r="K164" i="49"/>
  <c r="K160" i="49"/>
  <c r="P99" i="49"/>
  <c r="P200" i="49" s="1"/>
  <c r="P7" i="37"/>
  <c r="H10" i="49" s="1"/>
  <c r="P10" i="49" s="1"/>
  <c r="P111" i="49" s="1"/>
  <c r="N7" i="37"/>
  <c r="G10" i="49" s="1"/>
  <c r="R7" i="37"/>
  <c r="I10" i="49" s="1"/>
  <c r="K6" i="49"/>
  <c r="K107" i="49" s="1"/>
  <c r="H42" i="49"/>
  <c r="L137" i="49"/>
  <c r="J93" i="49"/>
  <c r="M27" i="49"/>
  <c r="M128" i="49" s="1"/>
  <c r="H197" i="49"/>
  <c r="H33" i="49"/>
  <c r="K64" i="49"/>
  <c r="K165" i="49" s="1"/>
  <c r="F84" i="49"/>
  <c r="J10" i="49"/>
  <c r="N10" i="49" s="1"/>
  <c r="N111" i="49" s="1"/>
  <c r="G75" i="49"/>
  <c r="H75" i="49"/>
  <c r="L194" i="49"/>
  <c r="L176" i="49"/>
  <c r="L130" i="49"/>
  <c r="L195" i="49"/>
  <c r="J117" i="49"/>
  <c r="J130" i="49"/>
  <c r="J125" i="49"/>
  <c r="M75" i="49"/>
  <c r="I42" i="49"/>
  <c r="K36" i="49"/>
  <c r="K137" i="49" s="1"/>
  <c r="M93" i="49"/>
  <c r="K27" i="49"/>
  <c r="L119" i="49"/>
  <c r="L24" i="49"/>
  <c r="M107" i="49"/>
  <c r="M134" i="49"/>
  <c r="M200" i="49"/>
  <c r="M196" i="49"/>
  <c r="M158" i="49"/>
  <c r="M53" i="37"/>
  <c r="Q53" i="37"/>
  <c r="O53" i="37"/>
  <c r="Q38" i="37"/>
  <c r="I71" i="49" s="1"/>
  <c r="O38" i="37"/>
  <c r="H71" i="49" s="1"/>
  <c r="J134" i="49"/>
  <c r="G42" i="49"/>
  <c r="G143" i="49" s="1"/>
  <c r="J118" i="49"/>
  <c r="L58" i="49"/>
  <c r="L159" i="49" s="1"/>
  <c r="L196" i="49"/>
  <c r="I18" i="49"/>
  <c r="K18" i="49"/>
  <c r="K119" i="49" s="1"/>
  <c r="G84" i="49"/>
  <c r="K84" i="49"/>
  <c r="K185" i="49" s="1"/>
  <c r="L84" i="49"/>
  <c r="J152" i="49"/>
  <c r="J119" i="49"/>
  <c r="J201" i="49"/>
  <c r="G45" i="49"/>
  <c r="F45" i="49"/>
  <c r="J159" i="49"/>
  <c r="R34" i="37"/>
  <c r="I64" i="49" s="1"/>
  <c r="P34" i="37"/>
  <c r="H64" i="49" s="1"/>
  <c r="N34" i="37"/>
  <c r="G64" i="49" s="1"/>
  <c r="J36" i="49"/>
  <c r="N36" i="49" s="1"/>
  <c r="N137" i="49" s="1"/>
  <c r="J67" i="49"/>
  <c r="M90" i="49"/>
  <c r="L6" i="49"/>
  <c r="F6" i="49"/>
  <c r="K42" i="49"/>
  <c r="K143" i="49" s="1"/>
  <c r="M42" i="49"/>
  <c r="M143" i="49" s="1"/>
  <c r="F58" i="49"/>
  <c r="I58" i="49"/>
  <c r="J196" i="49"/>
  <c r="J128" i="49"/>
  <c r="J142" i="49"/>
  <c r="J164" i="49"/>
  <c r="J183" i="49"/>
  <c r="J115" i="49"/>
  <c r="J191" i="49"/>
  <c r="J184" i="49"/>
  <c r="J173" i="49"/>
  <c r="J179" i="49"/>
  <c r="J113" i="49"/>
  <c r="J116" i="49"/>
  <c r="J168" i="49"/>
  <c r="J188" i="49"/>
  <c r="R22" i="37"/>
  <c r="I40" i="49" s="1"/>
  <c r="R20" i="37"/>
  <c r="I36" i="49" s="1"/>
  <c r="G122" i="49"/>
  <c r="N20" i="37"/>
  <c r="L11" i="40" s="1"/>
  <c r="L22" i="40" s="1"/>
  <c r="G5" i="49"/>
  <c r="M5" i="49"/>
  <c r="J5" i="49"/>
  <c r="M51" i="41"/>
  <c r="Q51" i="41"/>
  <c r="M45" i="41"/>
  <c r="K88" i="49" s="1"/>
  <c r="K189" i="49" s="1"/>
  <c r="O45" i="41"/>
  <c r="L88" i="49" s="1"/>
  <c r="L189" i="49" s="1"/>
  <c r="H200" i="49"/>
  <c r="H137" i="49"/>
  <c r="P53" i="37"/>
  <c r="R53" i="37"/>
  <c r="N41" i="37"/>
  <c r="G78" i="49" s="1"/>
  <c r="P41" i="37"/>
  <c r="H78" i="49" s="1"/>
  <c r="G200" i="49"/>
  <c r="I166" i="49"/>
  <c r="I183" i="49"/>
  <c r="I179" i="49"/>
  <c r="I113" i="49"/>
  <c r="P11" i="37"/>
  <c r="H18" i="49" s="1"/>
  <c r="N11" i="37"/>
  <c r="G18" i="49" s="1"/>
  <c r="Q32" i="37"/>
  <c r="I59" i="49" s="1"/>
  <c r="M32" i="37"/>
  <c r="G59" i="49" s="1"/>
  <c r="K11" i="49"/>
  <c r="M28" i="41"/>
  <c r="K54" i="49" s="1"/>
  <c r="K155" i="49" s="1"/>
  <c r="Q28" i="41"/>
  <c r="M54" i="49" s="1"/>
  <c r="M155" i="49" s="1"/>
  <c r="O28" i="41"/>
  <c r="L54" i="49" s="1"/>
  <c r="L155" i="49" s="1"/>
  <c r="M96" i="49"/>
  <c r="M197" i="49" s="1"/>
  <c r="P35" i="37"/>
  <c r="H66" i="49" s="1"/>
  <c r="N40" i="41"/>
  <c r="L77" i="49" s="1"/>
  <c r="Q48" i="41"/>
  <c r="M94" i="49" s="1"/>
  <c r="M195" i="49" s="1"/>
  <c r="R10" i="37"/>
  <c r="I16" i="49" s="1"/>
  <c r="N10" i="37"/>
  <c r="G16" i="49" s="1"/>
  <c r="Q37" i="37"/>
  <c r="I69" i="49" s="1"/>
  <c r="O37" i="37"/>
  <c r="H69" i="49" s="1"/>
  <c r="H170" i="49" s="1"/>
  <c r="N45" i="41"/>
  <c r="L87" i="49" s="1"/>
  <c r="L188" i="49" s="1"/>
  <c r="L45" i="41"/>
  <c r="K87" i="49" s="1"/>
  <c r="K188" i="49" s="1"/>
  <c r="N9" i="41"/>
  <c r="L15" i="49" s="1"/>
  <c r="L116" i="49" s="1"/>
  <c r="L9" i="41"/>
  <c r="K15" i="49" s="1"/>
  <c r="K116" i="49" s="1"/>
  <c r="K12" i="37"/>
  <c r="L11" i="49"/>
  <c r="L112" i="49" s="1"/>
  <c r="J11" i="49"/>
  <c r="N11" i="49" s="1"/>
  <c r="N112" i="49" s="1"/>
  <c r="P29" i="37"/>
  <c r="H54" i="49" s="1"/>
  <c r="F100" i="49"/>
  <c r="Q8" i="37"/>
  <c r="O8" i="37"/>
  <c r="L18" i="41"/>
  <c r="K33" i="49" s="1"/>
  <c r="P55" i="37"/>
  <c r="Q44" i="37"/>
  <c r="I83" i="49" s="1"/>
  <c r="L34" i="41"/>
  <c r="K65" i="49" s="1"/>
  <c r="K166" i="49" s="1"/>
  <c r="N13" i="37"/>
  <c r="G22" i="49" s="1"/>
  <c r="R55" i="37"/>
  <c r="O34" i="37"/>
  <c r="H63" i="49" s="1"/>
  <c r="M34" i="37"/>
  <c r="G63" i="49" s="1"/>
  <c r="M30" i="41"/>
  <c r="K58" i="49" s="1"/>
  <c r="K159" i="49" s="1"/>
  <c r="I100" i="49"/>
  <c r="M11" i="49"/>
  <c r="M112" i="49" s="1"/>
  <c r="N6" i="41"/>
  <c r="L9" i="49" s="1"/>
  <c r="Q17" i="37"/>
  <c r="I29" i="49" s="1"/>
  <c r="O17" i="37"/>
  <c r="H29" i="49" s="1"/>
  <c r="L6" i="41"/>
  <c r="K9" i="49" s="1"/>
  <c r="P42" i="41"/>
  <c r="M81" i="49" s="1"/>
  <c r="M182" i="49" s="1"/>
  <c r="L42" i="41"/>
  <c r="K81" i="49" s="1"/>
  <c r="O81" i="49" s="1"/>
  <c r="O182" i="49" s="1"/>
  <c r="L24" i="41"/>
  <c r="P12" i="48" s="1"/>
  <c r="N24" i="41"/>
  <c r="I96" i="49"/>
  <c r="F96" i="49"/>
  <c r="P46" i="37"/>
  <c r="H88" i="49" s="1"/>
  <c r="N46" i="37"/>
  <c r="G88" i="49" s="1"/>
  <c r="J96" i="49"/>
  <c r="J197" i="49" s="1"/>
  <c r="J97" i="49"/>
  <c r="J198" i="49" s="1"/>
  <c r="J98" i="49"/>
  <c r="J199" i="49" s="1"/>
  <c r="Q50" i="37"/>
  <c r="I95" i="49" s="1"/>
  <c r="M50" i="37"/>
  <c r="G95" i="49" s="1"/>
  <c r="P22" i="41"/>
  <c r="O46" i="41"/>
  <c r="L90" i="49" s="1"/>
  <c r="Q46" i="41"/>
  <c r="N31" i="37"/>
  <c r="G58" i="49" s="1"/>
  <c r="P31" i="37"/>
  <c r="H58" i="49" s="1"/>
  <c r="F99" i="49"/>
  <c r="J99" i="49"/>
  <c r="J200" i="49" s="1"/>
  <c r="H100" i="49"/>
  <c r="N15" i="41"/>
  <c r="L27" i="49" s="1"/>
  <c r="P27" i="41"/>
  <c r="P25" i="41"/>
  <c r="N25" i="41"/>
  <c r="P26" i="37"/>
  <c r="H48" i="49" s="1"/>
  <c r="N26" i="37"/>
  <c r="F11" i="31" s="1"/>
  <c r="R29" i="37" l="1"/>
  <c r="I54" i="49" s="1"/>
  <c r="M26" i="37"/>
  <c r="G47" i="49" s="1"/>
  <c r="G148" i="49" s="1"/>
  <c r="Q26" i="37"/>
  <c r="I47" i="49" s="1"/>
  <c r="I148" i="49" s="1"/>
  <c r="W26" i="40"/>
  <c r="L197" i="49"/>
  <c r="O11" i="31"/>
  <c r="O29" i="31" s="1"/>
  <c r="K30" i="49"/>
  <c r="K131" i="49" s="1"/>
  <c r="N11" i="31"/>
  <c r="O82" i="49"/>
  <c r="O183" i="49" s="1"/>
  <c r="I12" i="48"/>
  <c r="F34" i="48" s="1"/>
  <c r="Q12" i="48"/>
  <c r="M28" i="49"/>
  <c r="M129" i="49" s="1"/>
  <c r="H171" i="49"/>
  <c r="M36" i="49"/>
  <c r="M137" i="49" s="1"/>
  <c r="X10" i="48"/>
  <c r="W20" i="48" s="1"/>
  <c r="I27" i="49"/>
  <c r="O51" i="49"/>
  <c r="O152" i="49" s="1"/>
  <c r="H10" i="31"/>
  <c r="G33" i="31" s="1"/>
  <c r="F131" i="49"/>
  <c r="I13" i="48"/>
  <c r="E22" i="48" s="1"/>
  <c r="J13" i="48"/>
  <c r="E23" i="48" s="1"/>
  <c r="N29" i="37"/>
  <c r="G54" i="49" s="1"/>
  <c r="Q76" i="49"/>
  <c r="Q177" i="49" s="1"/>
  <c r="U26" i="40"/>
  <c r="Q89" i="49"/>
  <c r="Q190" i="49" s="1"/>
  <c r="F47" i="49"/>
  <c r="F148" i="49" s="1"/>
  <c r="O26" i="37"/>
  <c r="H47" i="49" s="1"/>
  <c r="H148" i="49" s="1"/>
  <c r="P13" i="31"/>
  <c r="P34" i="31" s="1"/>
  <c r="M48" i="49"/>
  <c r="M149" i="49" s="1"/>
  <c r="P93" i="49"/>
  <c r="P194" i="49" s="1"/>
  <c r="W15" i="48"/>
  <c r="V27" i="48" s="1"/>
  <c r="V13" i="48"/>
  <c r="V18" i="48" s="1"/>
  <c r="N24" i="49"/>
  <c r="N125" i="49" s="1"/>
  <c r="N89" i="49"/>
  <c r="N190" i="49" s="1"/>
  <c r="E32" i="48"/>
  <c r="N93" i="49"/>
  <c r="N194" i="49" s="1"/>
  <c r="Y13" i="48"/>
  <c r="V21" i="48" s="1"/>
  <c r="W10" i="48"/>
  <c r="W19" i="48" s="1"/>
  <c r="I173" i="49"/>
  <c r="P6" i="49"/>
  <c r="P107" i="49" s="1"/>
  <c r="N83" i="49"/>
  <c r="N184" i="49" s="1"/>
  <c r="W13" i="48"/>
  <c r="V19" i="48" s="1"/>
  <c r="N95" i="49"/>
  <c r="N196" i="49" s="1"/>
  <c r="N54" i="49"/>
  <c r="N155" i="49" s="1"/>
  <c r="O83" i="49"/>
  <c r="O184" i="49" s="1"/>
  <c r="O52" i="49"/>
  <c r="O153" i="49" s="1"/>
  <c r="O93" i="49"/>
  <c r="O194" i="49" s="1"/>
  <c r="P89" i="49"/>
  <c r="P190" i="49" s="1"/>
  <c r="N57" i="49"/>
  <c r="N158" i="49" s="1"/>
  <c r="F119" i="49"/>
  <c r="F22" i="48"/>
  <c r="O94" i="49"/>
  <c r="O195" i="49" s="1"/>
  <c r="P24" i="49"/>
  <c r="P125" i="49" s="1"/>
  <c r="Q24" i="49"/>
  <c r="Q125" i="49" s="1"/>
  <c r="N72" i="49"/>
  <c r="N173" i="49" s="1"/>
  <c r="N52" i="49"/>
  <c r="N153" i="49" s="1"/>
  <c r="M100" i="49"/>
  <c r="M201" i="49" s="1"/>
  <c r="Q93" i="49"/>
  <c r="Q194" i="49" s="1"/>
  <c r="X15" i="48"/>
  <c r="V28" i="48" s="1"/>
  <c r="M124" i="49"/>
  <c r="U10" i="40"/>
  <c r="O30" i="49"/>
  <c r="O131" i="49" s="1"/>
  <c r="Q13" i="47"/>
  <c r="Q48" i="47" s="1"/>
  <c r="X26" i="40"/>
  <c r="Y15" i="48"/>
  <c r="V29" i="48" s="1"/>
  <c r="G36" i="49"/>
  <c r="G137" i="49" s="1"/>
  <c r="O89" i="49"/>
  <c r="O190" i="49" s="1"/>
  <c r="O90" i="49"/>
  <c r="O191" i="49" s="1"/>
  <c r="Q77" i="49"/>
  <c r="Q178" i="49" s="1"/>
  <c r="V10" i="40"/>
  <c r="P12" i="47"/>
  <c r="U22" i="40"/>
  <c r="X22" i="40"/>
  <c r="P60" i="49"/>
  <c r="P161" i="49" s="1"/>
  <c r="P27" i="47"/>
  <c r="Q7" i="47"/>
  <c r="P5" i="49"/>
  <c r="P106" i="49" s="1"/>
  <c r="Y12" i="48"/>
  <c r="W29" i="48" s="1"/>
  <c r="F10" i="31"/>
  <c r="Z23" i="31" s="1"/>
  <c r="F32" i="48"/>
  <c r="K35" i="49"/>
  <c r="K136" i="49" s="1"/>
  <c r="Q52" i="49"/>
  <c r="Q153" i="49" s="1"/>
  <c r="O7" i="47"/>
  <c r="L31" i="47" s="1"/>
  <c r="K100" i="49"/>
  <c r="K201" i="49" s="1"/>
  <c r="N13" i="31"/>
  <c r="P24" i="31" s="1"/>
  <c r="V10" i="48"/>
  <c r="W18" i="48" s="1"/>
  <c r="L26" i="40"/>
  <c r="N53" i="49"/>
  <c r="N154" i="49" s="1"/>
  <c r="M24" i="40"/>
  <c r="N24" i="40"/>
  <c r="N48" i="49"/>
  <c r="N149" i="49" s="1"/>
  <c r="M26" i="40"/>
  <c r="N26" i="40"/>
  <c r="P26" i="40"/>
  <c r="O26" i="40"/>
  <c r="Y18" i="31"/>
  <c r="L21" i="40"/>
  <c r="V12" i="31"/>
  <c r="X23" i="31" s="1"/>
  <c r="M22" i="40"/>
  <c r="O22" i="40"/>
  <c r="P22" i="40"/>
  <c r="K22" i="40"/>
  <c r="L24" i="40"/>
  <c r="H18" i="31"/>
  <c r="U11" i="31"/>
  <c r="W19" i="31" s="1"/>
  <c r="Z19" i="31"/>
  <c r="Y19" i="31"/>
  <c r="AA19" i="31"/>
  <c r="N22" i="40"/>
  <c r="P21" i="40"/>
  <c r="P24" i="40"/>
  <c r="K20" i="40"/>
  <c r="L20" i="40"/>
  <c r="K24" i="40"/>
  <c r="N20" i="40"/>
  <c r="K21" i="40"/>
  <c r="O20" i="40"/>
  <c r="M21" i="40"/>
  <c r="N21" i="40"/>
  <c r="M20" i="40"/>
  <c r="H19" i="31"/>
  <c r="H24" i="31"/>
  <c r="Y34" i="31"/>
  <c r="V69" i="31" s="1"/>
  <c r="X11" i="31"/>
  <c r="W34" i="31" s="1"/>
  <c r="V68" i="31" s="1"/>
  <c r="AA34" i="31"/>
  <c r="V71" i="31" s="1"/>
  <c r="Z34" i="31"/>
  <c r="V70" i="31" s="1"/>
  <c r="N27" i="47"/>
  <c r="M25" i="47"/>
  <c r="N22" i="47"/>
  <c r="Q25" i="47"/>
  <c r="L24" i="47"/>
  <c r="N25" i="47"/>
  <c r="G129" i="49"/>
  <c r="L25" i="47"/>
  <c r="Q22" i="47"/>
  <c r="Q24" i="47"/>
  <c r="M23" i="47"/>
  <c r="H111" i="49"/>
  <c r="Q26" i="47"/>
  <c r="L26" i="47"/>
  <c r="F130" i="49"/>
  <c r="N29" i="49"/>
  <c r="N130" i="49" s="1"/>
  <c r="O42" i="49"/>
  <c r="O143" i="49" s="1"/>
  <c r="P69" i="49"/>
  <c r="P170" i="49" s="1"/>
  <c r="O84" i="49"/>
  <c r="O185" i="49" s="1"/>
  <c r="L158" i="49"/>
  <c r="P57" i="49"/>
  <c r="P158" i="49" s="1"/>
  <c r="M183" i="49"/>
  <c r="Q82" i="49"/>
  <c r="Q183" i="49" s="1"/>
  <c r="M131" i="49"/>
  <c r="Q30" i="49"/>
  <c r="Q131" i="49" s="1"/>
  <c r="O12" i="31"/>
  <c r="L51" i="49"/>
  <c r="N69" i="49"/>
  <c r="N170" i="49" s="1"/>
  <c r="L131" i="49"/>
  <c r="P30" i="49"/>
  <c r="P131" i="49" s="1"/>
  <c r="Q39" i="49"/>
  <c r="Q140" i="49" s="1"/>
  <c r="M140" i="49"/>
  <c r="J111" i="49"/>
  <c r="P17" i="49"/>
  <c r="P118" i="49" s="1"/>
  <c r="N22" i="49"/>
  <c r="N123" i="49" s="1"/>
  <c r="O13" i="31"/>
  <c r="L52" i="49"/>
  <c r="Q60" i="49"/>
  <c r="Q161" i="49" s="1"/>
  <c r="M161" i="49"/>
  <c r="J149" i="49"/>
  <c r="X25" i="40"/>
  <c r="W25" i="40"/>
  <c r="U25" i="40"/>
  <c r="V25" i="40"/>
  <c r="Q87" i="49"/>
  <c r="Q188" i="49" s="1"/>
  <c r="O34" i="31"/>
  <c r="N68" i="31" s="1"/>
  <c r="Q34" i="31"/>
  <c r="N69" i="31" s="1"/>
  <c r="Z24" i="31"/>
  <c r="G24" i="31"/>
  <c r="I24" i="31" s="1"/>
  <c r="AA24" i="31"/>
  <c r="Y24" i="31"/>
  <c r="V11" i="31"/>
  <c r="W24" i="31" s="1"/>
  <c r="F150" i="49"/>
  <c r="N49" i="49"/>
  <c r="N150" i="49" s="1"/>
  <c r="G159" i="49"/>
  <c r="O58" i="49"/>
  <c r="O159" i="49" s="1"/>
  <c r="H149" i="49"/>
  <c r="P48" i="49"/>
  <c r="P149" i="49" s="1"/>
  <c r="L128" i="49"/>
  <c r="P27" i="49"/>
  <c r="P128" i="49" s="1"/>
  <c r="O18" i="49"/>
  <c r="O119" i="49" s="1"/>
  <c r="G119" i="49"/>
  <c r="I111" i="49"/>
  <c r="Q10" i="49"/>
  <c r="Q111" i="49" s="1"/>
  <c r="G117" i="49"/>
  <c r="O16" i="49"/>
  <c r="O117" i="49" s="1"/>
  <c r="O95" i="49"/>
  <c r="O196" i="49" s="1"/>
  <c r="G196" i="49"/>
  <c r="H167" i="49"/>
  <c r="P66" i="49"/>
  <c r="P167" i="49" s="1"/>
  <c r="Q95" i="49"/>
  <c r="Q196" i="49" s="1"/>
  <c r="I196" i="49"/>
  <c r="O9" i="49"/>
  <c r="O110" i="49" s="1"/>
  <c r="K110" i="49"/>
  <c r="Q40" i="49"/>
  <c r="Q141" i="49" s="1"/>
  <c r="I141" i="49"/>
  <c r="H188" i="49"/>
  <c r="P87" i="49"/>
  <c r="P188" i="49" s="1"/>
  <c r="L41" i="41"/>
  <c r="K79" i="49" s="1"/>
  <c r="K180" i="49" s="1"/>
  <c r="N41" i="41"/>
  <c r="L79" i="49" s="1"/>
  <c r="L180" i="49" s="1"/>
  <c r="P41" i="41"/>
  <c r="M79" i="49" s="1"/>
  <c r="M180" i="49" s="1"/>
  <c r="J79" i="49"/>
  <c r="J180" i="49" s="1"/>
  <c r="G11" i="31"/>
  <c r="K134" i="49"/>
  <c r="O33" i="49"/>
  <c r="O134" i="49" s="1"/>
  <c r="G185" i="49"/>
  <c r="I119" i="49"/>
  <c r="Q18" i="49"/>
  <c r="Q119" i="49" s="1"/>
  <c r="M176" i="49"/>
  <c r="Q75" i="49"/>
  <c r="Q176" i="49" s="1"/>
  <c r="I158" i="49"/>
  <c r="Q57" i="49"/>
  <c r="Q158" i="49" s="1"/>
  <c r="I182" i="49"/>
  <c r="Q81" i="49"/>
  <c r="Q182" i="49" s="1"/>
  <c r="G118" i="49"/>
  <c r="O17" i="49"/>
  <c r="O118" i="49" s="1"/>
  <c r="I135" i="49"/>
  <c r="Q34" i="49"/>
  <c r="Q135" i="49" s="1"/>
  <c r="I116" i="49"/>
  <c r="Q15" i="49"/>
  <c r="Q116" i="49" s="1"/>
  <c r="I123" i="49"/>
  <c r="Q22" i="49"/>
  <c r="Q123" i="49" s="1"/>
  <c r="G124" i="49"/>
  <c r="O23" i="49"/>
  <c r="O124" i="49" s="1"/>
  <c r="Q94" i="49"/>
  <c r="Q195" i="49" s="1"/>
  <c r="O36" i="37"/>
  <c r="H67" i="49" s="1"/>
  <c r="M36" i="37"/>
  <c r="G67" i="49" s="1"/>
  <c r="F67" i="49"/>
  <c r="Q36" i="37"/>
  <c r="I67" i="49" s="1"/>
  <c r="M45" i="37"/>
  <c r="G85" i="49" s="1"/>
  <c r="Q45" i="37"/>
  <c r="I85" i="49" s="1"/>
  <c r="O45" i="37"/>
  <c r="H85" i="49" s="1"/>
  <c r="O50" i="41"/>
  <c r="L98" i="49" s="1"/>
  <c r="L199" i="49" s="1"/>
  <c r="Q50" i="41"/>
  <c r="M98" i="49" s="1"/>
  <c r="M199" i="49" s="1"/>
  <c r="M50" i="41"/>
  <c r="K98" i="49" s="1"/>
  <c r="K199" i="49" s="1"/>
  <c r="M35" i="41"/>
  <c r="K68" i="49" s="1"/>
  <c r="K169" i="49" s="1"/>
  <c r="Q35" i="41"/>
  <c r="M68" i="49" s="1"/>
  <c r="M169" i="49" s="1"/>
  <c r="O35" i="41"/>
  <c r="L68" i="49" s="1"/>
  <c r="L169" i="49" s="1"/>
  <c r="J68" i="49"/>
  <c r="J169" i="49" s="1"/>
  <c r="N53" i="41"/>
  <c r="L53" i="41"/>
  <c r="P53" i="41"/>
  <c r="L17" i="41"/>
  <c r="K31" i="49" s="1"/>
  <c r="K132" i="49" s="1"/>
  <c r="N17" i="41"/>
  <c r="L31" i="49" s="1"/>
  <c r="L132" i="49" s="1"/>
  <c r="P17" i="41"/>
  <c r="M31" i="49" s="1"/>
  <c r="M132" i="49" s="1"/>
  <c r="J31" i="49"/>
  <c r="J132" i="49" s="1"/>
  <c r="H189" i="49"/>
  <c r="P88" i="49"/>
  <c r="P189" i="49" s="1"/>
  <c r="H123" i="49"/>
  <c r="P22" i="49"/>
  <c r="P123" i="49" s="1"/>
  <c r="R39" i="37"/>
  <c r="I74" i="49" s="1"/>
  <c r="N39" i="37"/>
  <c r="G74" i="49" s="1"/>
  <c r="P39" i="37"/>
  <c r="H74" i="49" s="1"/>
  <c r="Q47" i="41"/>
  <c r="M92" i="49" s="1"/>
  <c r="M193" i="49" s="1"/>
  <c r="M47" i="41"/>
  <c r="K92" i="49" s="1"/>
  <c r="K193" i="49" s="1"/>
  <c r="O47" i="41"/>
  <c r="L92" i="49" s="1"/>
  <c r="L193" i="49" s="1"/>
  <c r="M191" i="49"/>
  <c r="Q90" i="49"/>
  <c r="Q191" i="49" s="1"/>
  <c r="F118" i="49"/>
  <c r="N17" i="49"/>
  <c r="N118" i="49" s="1"/>
  <c r="F135" i="49"/>
  <c r="N34" i="49"/>
  <c r="N135" i="49" s="1"/>
  <c r="F166" i="49"/>
  <c r="N65" i="49"/>
  <c r="N166" i="49" s="1"/>
  <c r="K167" i="49"/>
  <c r="O66" i="49"/>
  <c r="O167" i="49" s="1"/>
  <c r="L45" i="49"/>
  <c r="L147" i="49"/>
  <c r="P46" i="49"/>
  <c r="P147" i="49" s="1"/>
  <c r="F116" i="49"/>
  <c r="N15" i="49"/>
  <c r="N116" i="49" s="1"/>
  <c r="N30" i="37"/>
  <c r="G56" i="49" s="1"/>
  <c r="R30" i="37"/>
  <c r="I56" i="49" s="1"/>
  <c r="P30" i="37"/>
  <c r="H56" i="49" s="1"/>
  <c r="F56" i="49"/>
  <c r="M33" i="37"/>
  <c r="G61" i="49" s="1"/>
  <c r="O33" i="37"/>
  <c r="H61" i="49" s="1"/>
  <c r="Q33" i="37"/>
  <c r="I61" i="49" s="1"/>
  <c r="M38" i="41"/>
  <c r="K74" i="49" s="1"/>
  <c r="K175" i="49" s="1"/>
  <c r="Q38" i="41"/>
  <c r="M74" i="49" s="1"/>
  <c r="M175" i="49" s="1"/>
  <c r="O38" i="41"/>
  <c r="L74" i="49" s="1"/>
  <c r="L175" i="49" s="1"/>
  <c r="O20" i="41"/>
  <c r="L38" i="49" s="1"/>
  <c r="L139" i="49" s="1"/>
  <c r="M20" i="41"/>
  <c r="K38" i="49" s="1"/>
  <c r="K139" i="49" s="1"/>
  <c r="Q20" i="41"/>
  <c r="M38" i="49" s="1"/>
  <c r="M139" i="49" s="1"/>
  <c r="J38" i="49"/>
  <c r="J139" i="49" s="1"/>
  <c r="O44" i="41"/>
  <c r="L86" i="49" s="1"/>
  <c r="L187" i="49" s="1"/>
  <c r="Q44" i="41"/>
  <c r="M86" i="49" s="1"/>
  <c r="M187" i="49" s="1"/>
  <c r="M44" i="41"/>
  <c r="K86" i="49" s="1"/>
  <c r="K187" i="49" s="1"/>
  <c r="O18" i="31"/>
  <c r="Z18" i="31"/>
  <c r="L29" i="47"/>
  <c r="L47" i="49"/>
  <c r="L148" i="49" s="1"/>
  <c r="O10" i="31"/>
  <c r="I143" i="49"/>
  <c r="Q42" i="49"/>
  <c r="Q143" i="49" s="1"/>
  <c r="H135" i="49"/>
  <c r="P34" i="49"/>
  <c r="P135" i="49" s="1"/>
  <c r="O40" i="49"/>
  <c r="O141" i="49" s="1"/>
  <c r="G141" i="49"/>
  <c r="P45" i="37"/>
  <c r="H86" i="49" s="1"/>
  <c r="N45" i="37"/>
  <c r="G86" i="49" s="1"/>
  <c r="R45" i="37"/>
  <c r="I86" i="49" s="1"/>
  <c r="N96" i="49"/>
  <c r="N197" i="49" s="1"/>
  <c r="F197" i="49"/>
  <c r="F182" i="49"/>
  <c r="N81" i="49"/>
  <c r="N182" i="49" s="1"/>
  <c r="O31" i="48"/>
  <c r="X12" i="48"/>
  <c r="W28" i="48" s="1"/>
  <c r="G164" i="49"/>
  <c r="O63" i="49"/>
  <c r="O164" i="49" s="1"/>
  <c r="I11" i="49"/>
  <c r="N10" i="40"/>
  <c r="L185" i="49"/>
  <c r="P84" i="49"/>
  <c r="P185" i="49" s="1"/>
  <c r="H172" i="49"/>
  <c r="P71" i="49"/>
  <c r="P172" i="49" s="1"/>
  <c r="F185" i="49"/>
  <c r="N84" i="49"/>
  <c r="N185" i="49" s="1"/>
  <c r="O57" i="49"/>
  <c r="O158" i="49" s="1"/>
  <c r="I147" i="49"/>
  <c r="Q46" i="49"/>
  <c r="Q147" i="49" s="1"/>
  <c r="G48" i="49"/>
  <c r="P12" i="37"/>
  <c r="H20" i="49" s="1"/>
  <c r="R12" i="37"/>
  <c r="I20" i="49" s="1"/>
  <c r="N12" i="37"/>
  <c r="G20" i="49" s="1"/>
  <c r="F20" i="49"/>
  <c r="O18" i="37"/>
  <c r="H31" i="49" s="1"/>
  <c r="M18" i="37"/>
  <c r="G31" i="49" s="1"/>
  <c r="Q18" i="37"/>
  <c r="I31" i="49" s="1"/>
  <c r="F31" i="49"/>
  <c r="O14" i="48"/>
  <c r="M23" i="41"/>
  <c r="O23" i="41"/>
  <c r="Q23" i="41"/>
  <c r="J44" i="49"/>
  <c r="J145" i="49" s="1"/>
  <c r="R27" i="37"/>
  <c r="I50" i="49" s="1"/>
  <c r="N27" i="37"/>
  <c r="G50" i="49" s="1"/>
  <c r="P27" i="37"/>
  <c r="H50" i="49" s="1"/>
  <c r="F50" i="49"/>
  <c r="Q8" i="41"/>
  <c r="M14" i="49" s="1"/>
  <c r="M115" i="49" s="1"/>
  <c r="O8" i="41"/>
  <c r="L14" i="49" s="1"/>
  <c r="L115" i="49" s="1"/>
  <c r="M8" i="41"/>
  <c r="K14" i="49" s="1"/>
  <c r="K115" i="49" s="1"/>
  <c r="Q32" i="41"/>
  <c r="M62" i="49" s="1"/>
  <c r="M163" i="49" s="1"/>
  <c r="M32" i="41"/>
  <c r="K62" i="49" s="1"/>
  <c r="K163" i="49" s="1"/>
  <c r="O32" i="41"/>
  <c r="L62" i="49" s="1"/>
  <c r="L163" i="49" s="1"/>
  <c r="J62" i="49"/>
  <c r="J163" i="49" s="1"/>
  <c r="U10" i="31"/>
  <c r="W18" i="31" s="1"/>
  <c r="N26" i="47"/>
  <c r="O25" i="47"/>
  <c r="F129" i="49"/>
  <c r="N28" i="49"/>
  <c r="N129" i="49" s="1"/>
  <c r="P47" i="41"/>
  <c r="M91" i="49" s="1"/>
  <c r="M192" i="49" s="1"/>
  <c r="N47" i="41"/>
  <c r="L91" i="49" s="1"/>
  <c r="L192" i="49" s="1"/>
  <c r="L47" i="41"/>
  <c r="K91" i="49" s="1"/>
  <c r="K192" i="49" s="1"/>
  <c r="N5" i="41"/>
  <c r="L7" i="49" s="1"/>
  <c r="L108" i="49" s="1"/>
  <c r="L5" i="41"/>
  <c r="K7" i="49" s="1"/>
  <c r="K108" i="49" s="1"/>
  <c r="P5" i="41"/>
  <c r="M7" i="49" s="1"/>
  <c r="M108" i="49" s="1"/>
  <c r="J7" i="49"/>
  <c r="J108" i="49" s="1"/>
  <c r="H159" i="49"/>
  <c r="P58" i="49"/>
  <c r="P159" i="49" s="1"/>
  <c r="I197" i="49"/>
  <c r="Q96" i="49"/>
  <c r="Q197" i="49" s="1"/>
  <c r="H11" i="49"/>
  <c r="M10" i="40"/>
  <c r="L191" i="49"/>
  <c r="P90" i="49"/>
  <c r="P191" i="49" s="1"/>
  <c r="W12" i="48"/>
  <c r="W27" i="48" s="1"/>
  <c r="O30" i="48"/>
  <c r="H164" i="49"/>
  <c r="P63" i="49"/>
  <c r="P164" i="49" s="1"/>
  <c r="N100" i="49"/>
  <c r="N201" i="49" s="1"/>
  <c r="F201" i="49"/>
  <c r="I170" i="49"/>
  <c r="Q69" i="49"/>
  <c r="Q170" i="49" s="1"/>
  <c r="K112" i="49"/>
  <c r="O11" i="49"/>
  <c r="O112" i="49" s="1"/>
  <c r="H179" i="49"/>
  <c r="P78" i="49"/>
  <c r="P179" i="49" s="1"/>
  <c r="N5" i="49"/>
  <c r="N106" i="49" s="1"/>
  <c r="J106" i="49"/>
  <c r="J91" i="49"/>
  <c r="J192" i="49" s="1"/>
  <c r="I172" i="49"/>
  <c r="Q71" i="49"/>
  <c r="Q172" i="49" s="1"/>
  <c r="G142" i="49"/>
  <c r="O41" i="49"/>
  <c r="O142" i="49" s="1"/>
  <c r="G136" i="49"/>
  <c r="F74" i="49"/>
  <c r="F160" i="49"/>
  <c r="N59" i="49"/>
  <c r="N160" i="49" s="1"/>
  <c r="F61" i="49"/>
  <c r="N51" i="37"/>
  <c r="G98" i="49" s="1"/>
  <c r="P51" i="37"/>
  <c r="H98" i="49" s="1"/>
  <c r="R51" i="37"/>
  <c r="I98" i="49" s="1"/>
  <c r="F98" i="49"/>
  <c r="O6" i="37"/>
  <c r="H7" i="49" s="1"/>
  <c r="Q6" i="37"/>
  <c r="I7" i="49" s="1"/>
  <c r="M6" i="37"/>
  <c r="G7" i="49" s="1"/>
  <c r="O11" i="41"/>
  <c r="L20" i="49" s="1"/>
  <c r="L121" i="49" s="1"/>
  <c r="M11" i="41"/>
  <c r="K20" i="49" s="1"/>
  <c r="K121" i="49" s="1"/>
  <c r="Q11" i="41"/>
  <c r="M20" i="49" s="1"/>
  <c r="M121" i="49" s="1"/>
  <c r="J20" i="49"/>
  <c r="J121" i="49" s="1"/>
  <c r="M17" i="41"/>
  <c r="K32" i="49" s="1"/>
  <c r="K133" i="49" s="1"/>
  <c r="O17" i="41"/>
  <c r="L32" i="49" s="1"/>
  <c r="L133" i="49" s="1"/>
  <c r="Q17" i="41"/>
  <c r="M32" i="49" s="1"/>
  <c r="M133" i="49" s="1"/>
  <c r="J32" i="49"/>
  <c r="J133" i="49" s="1"/>
  <c r="P14" i="41"/>
  <c r="M25" i="49" s="1"/>
  <c r="M126" i="49" s="1"/>
  <c r="L14" i="41"/>
  <c r="K25" i="49" s="1"/>
  <c r="K126" i="49" s="1"/>
  <c r="N14" i="41"/>
  <c r="L25" i="49" s="1"/>
  <c r="L126" i="49" s="1"/>
  <c r="J25" i="49"/>
  <c r="J126" i="49" s="1"/>
  <c r="O23" i="47"/>
  <c r="M22" i="47"/>
  <c r="P24" i="47"/>
  <c r="Q23" i="47"/>
  <c r="N23" i="47"/>
  <c r="O24" i="47"/>
  <c r="P22" i="47"/>
  <c r="P25" i="47"/>
  <c r="L22" i="47"/>
  <c r="O22" i="47"/>
  <c r="P23" i="47"/>
  <c r="M24" i="47"/>
  <c r="L23" i="47"/>
  <c r="M106" i="49"/>
  <c r="Q5" i="49"/>
  <c r="Q106" i="49" s="1"/>
  <c r="I185" i="49"/>
  <c r="Q84" i="49"/>
  <c r="Q185" i="49" s="1"/>
  <c r="I165" i="49"/>
  <c r="Q64" i="49"/>
  <c r="Q165" i="49" s="1"/>
  <c r="H143" i="49"/>
  <c r="P42" i="49"/>
  <c r="P143" i="49" s="1"/>
  <c r="I142" i="49"/>
  <c r="I136" i="49"/>
  <c r="Q35" i="49"/>
  <c r="Q136" i="49" s="1"/>
  <c r="F167" i="49"/>
  <c r="N66" i="49"/>
  <c r="N167" i="49" s="1"/>
  <c r="F122" i="49"/>
  <c r="N21" i="49"/>
  <c r="N122" i="49" s="1"/>
  <c r="O6" i="49"/>
  <c r="O107" i="49" s="1"/>
  <c r="N36" i="37"/>
  <c r="G68" i="49" s="1"/>
  <c r="P36" i="37"/>
  <c r="H68" i="49" s="1"/>
  <c r="R36" i="37"/>
  <c r="I68" i="49" s="1"/>
  <c r="F68" i="49"/>
  <c r="P6" i="37"/>
  <c r="H8" i="49" s="1"/>
  <c r="R6" i="37"/>
  <c r="I8" i="49" s="1"/>
  <c r="N6" i="37"/>
  <c r="G8" i="49" s="1"/>
  <c r="F8" i="49"/>
  <c r="M26" i="41"/>
  <c r="K50" i="49" s="1"/>
  <c r="K151" i="49" s="1"/>
  <c r="Q26" i="41"/>
  <c r="M50" i="49" s="1"/>
  <c r="M151" i="49" s="1"/>
  <c r="O26" i="41"/>
  <c r="L50" i="49" s="1"/>
  <c r="L151" i="49" s="1"/>
  <c r="J50" i="49"/>
  <c r="J151" i="49" s="1"/>
  <c r="Q5" i="41"/>
  <c r="M8" i="49" s="1"/>
  <c r="M109" i="49" s="1"/>
  <c r="O5" i="41"/>
  <c r="L8" i="49" s="1"/>
  <c r="L109" i="49" s="1"/>
  <c r="M5" i="41"/>
  <c r="K8" i="49" s="1"/>
  <c r="K109" i="49" s="1"/>
  <c r="J8" i="49"/>
  <c r="J109" i="49" s="1"/>
  <c r="P6" i="47"/>
  <c r="N99" i="49"/>
  <c r="N200" i="49" s="1"/>
  <c r="F200" i="49"/>
  <c r="F159" i="49"/>
  <c r="N58" i="49"/>
  <c r="N159" i="49" s="1"/>
  <c r="K182" i="49"/>
  <c r="F142" i="49"/>
  <c r="N41" i="49"/>
  <c r="N142" i="49" s="1"/>
  <c r="H136" i="49"/>
  <c r="P35" i="49"/>
  <c r="P136" i="49" s="1"/>
  <c r="O65" i="49"/>
  <c r="O166" i="49" s="1"/>
  <c r="L122" i="49"/>
  <c r="P21" i="49"/>
  <c r="P122" i="49" s="1"/>
  <c r="N40" i="47"/>
  <c r="P39" i="47"/>
  <c r="L39" i="47"/>
  <c r="N38" i="47"/>
  <c r="M40" i="47"/>
  <c r="O39" i="47"/>
  <c r="Q41" i="47"/>
  <c r="L41" i="47"/>
  <c r="O40" i="47"/>
  <c r="Q40" i="47"/>
  <c r="M39" i="47"/>
  <c r="M38" i="47"/>
  <c r="P41" i="47"/>
  <c r="O41" i="47"/>
  <c r="Q38" i="47"/>
  <c r="N41" i="47"/>
  <c r="L40" i="47"/>
  <c r="P38" i="47"/>
  <c r="P40" i="47"/>
  <c r="M41" i="47"/>
  <c r="N39" i="47"/>
  <c r="Q39" i="47"/>
  <c r="L38" i="47"/>
  <c r="O38" i="47"/>
  <c r="Q42" i="37"/>
  <c r="I79" i="49" s="1"/>
  <c r="M42" i="37"/>
  <c r="G79" i="49" s="1"/>
  <c r="O42" i="37"/>
  <c r="H79" i="49" s="1"/>
  <c r="F79" i="49"/>
  <c r="R21" i="37"/>
  <c r="I38" i="49" s="1"/>
  <c r="N21" i="37"/>
  <c r="G38" i="49" s="1"/>
  <c r="P21" i="37"/>
  <c r="H38" i="49" s="1"/>
  <c r="F38" i="49"/>
  <c r="L26" i="41"/>
  <c r="K49" i="49" s="1"/>
  <c r="K150" i="49" s="1"/>
  <c r="N26" i="41"/>
  <c r="L49" i="49" s="1"/>
  <c r="L150" i="49" s="1"/>
  <c r="P26" i="41"/>
  <c r="M49" i="49" s="1"/>
  <c r="M150" i="49" s="1"/>
  <c r="P32" i="41"/>
  <c r="M61" i="49" s="1"/>
  <c r="M162" i="49" s="1"/>
  <c r="L32" i="41"/>
  <c r="K61" i="49" s="1"/>
  <c r="K162" i="49" s="1"/>
  <c r="N32" i="41"/>
  <c r="L61" i="49" s="1"/>
  <c r="L162" i="49" s="1"/>
  <c r="Q6" i="47"/>
  <c r="P28" i="47"/>
  <c r="Q27" i="47"/>
  <c r="L27" i="47"/>
  <c r="M29" i="47"/>
  <c r="P26" i="47"/>
  <c r="N29" i="47"/>
  <c r="O29" i="47"/>
  <c r="O27" i="47"/>
  <c r="O28" i="47"/>
  <c r="O26" i="47"/>
  <c r="Q29" i="47"/>
  <c r="N28" i="47"/>
  <c r="G179" i="49"/>
  <c r="O78" i="49"/>
  <c r="O179" i="49" s="1"/>
  <c r="I117" i="49"/>
  <c r="Q16" i="49"/>
  <c r="Q117" i="49" s="1"/>
  <c r="P12" i="31"/>
  <c r="P33" i="31" s="1"/>
  <c r="M51" i="49"/>
  <c r="I155" i="49"/>
  <c r="Q54" i="49"/>
  <c r="Q155" i="49" s="1"/>
  <c r="J112" i="49"/>
  <c r="F146" i="49"/>
  <c r="N45" i="49"/>
  <c r="N146" i="49" s="1"/>
  <c r="K128" i="49"/>
  <c r="O27" i="49"/>
  <c r="O128" i="49" s="1"/>
  <c r="F136" i="49"/>
  <c r="N35" i="49"/>
  <c r="N136" i="49" s="1"/>
  <c r="H166" i="49"/>
  <c r="P65" i="49"/>
  <c r="P166" i="49" s="1"/>
  <c r="I122" i="49"/>
  <c r="Q21" i="49"/>
  <c r="Q122" i="49" s="1"/>
  <c r="H160" i="49"/>
  <c r="P59" i="49"/>
  <c r="P160" i="49" s="1"/>
  <c r="H117" i="49"/>
  <c r="P16" i="49"/>
  <c r="P117" i="49" s="1"/>
  <c r="Q39" i="37"/>
  <c r="I73" i="49" s="1"/>
  <c r="O39" i="37"/>
  <c r="H73" i="49" s="1"/>
  <c r="M39" i="37"/>
  <c r="G73" i="49" s="1"/>
  <c r="F73" i="49"/>
  <c r="P42" i="37"/>
  <c r="H80" i="49" s="1"/>
  <c r="N42" i="37"/>
  <c r="G80" i="49" s="1"/>
  <c r="R42" i="37"/>
  <c r="I80" i="49" s="1"/>
  <c r="F80" i="49"/>
  <c r="P11" i="41"/>
  <c r="M19" i="49" s="1"/>
  <c r="M120" i="49" s="1"/>
  <c r="L11" i="41"/>
  <c r="K19" i="49" s="1"/>
  <c r="K120" i="49" s="1"/>
  <c r="N11" i="41"/>
  <c r="L19" i="49" s="1"/>
  <c r="L120" i="49" s="1"/>
  <c r="J19" i="49"/>
  <c r="J120" i="49" s="1"/>
  <c r="N54" i="37"/>
  <c r="P54" i="37"/>
  <c r="R54" i="37"/>
  <c r="P44" i="41"/>
  <c r="M85" i="49" s="1"/>
  <c r="M186" i="49" s="1"/>
  <c r="N44" i="41"/>
  <c r="L85" i="49" s="1"/>
  <c r="L186" i="49" s="1"/>
  <c r="L44" i="41"/>
  <c r="K85" i="49" s="1"/>
  <c r="K186" i="49" s="1"/>
  <c r="P29" i="47"/>
  <c r="M27" i="47"/>
  <c r="M26" i="47"/>
  <c r="I33" i="31"/>
  <c r="D71" i="31"/>
  <c r="P54" i="49"/>
  <c r="P155" i="49" s="1"/>
  <c r="H155" i="49"/>
  <c r="I160" i="49"/>
  <c r="Q59" i="49"/>
  <c r="Q160" i="49" s="1"/>
  <c r="L178" i="49"/>
  <c r="P77" i="49"/>
  <c r="P178" i="49" s="1"/>
  <c r="I128" i="49"/>
  <c r="Q27" i="49"/>
  <c r="Q128" i="49" s="1"/>
  <c r="G146" i="49"/>
  <c r="J137" i="49"/>
  <c r="H176" i="49"/>
  <c r="P75" i="49"/>
  <c r="P176" i="49" s="1"/>
  <c r="H134" i="49"/>
  <c r="P33" i="49"/>
  <c r="P134" i="49" s="1"/>
  <c r="M146" i="49"/>
  <c r="Q45" i="49"/>
  <c r="Q146" i="49" s="1"/>
  <c r="F141" i="49"/>
  <c r="N40" i="49"/>
  <c r="N141" i="49" s="1"/>
  <c r="G135" i="49"/>
  <c r="O34" i="49"/>
  <c r="O135" i="49" s="1"/>
  <c r="H129" i="49"/>
  <c r="P28" i="49"/>
  <c r="P129" i="49" s="1"/>
  <c r="F186" i="49"/>
  <c r="N85" i="49"/>
  <c r="N186" i="49" s="1"/>
  <c r="F86" i="49"/>
  <c r="F188" i="49"/>
  <c r="N87" i="49"/>
  <c r="N188" i="49" s="1"/>
  <c r="I149" i="49"/>
  <c r="Q48" i="49"/>
  <c r="Q149" i="49" s="1"/>
  <c r="O48" i="37"/>
  <c r="H91" i="49" s="1"/>
  <c r="Q48" i="37"/>
  <c r="I91" i="49" s="1"/>
  <c r="M48" i="37"/>
  <c r="G91" i="49" s="1"/>
  <c r="F91" i="49"/>
  <c r="P33" i="37"/>
  <c r="H62" i="49" s="1"/>
  <c r="N33" i="37"/>
  <c r="G62" i="49" s="1"/>
  <c r="R33" i="37"/>
  <c r="I62" i="49" s="1"/>
  <c r="F62" i="49"/>
  <c r="P48" i="37"/>
  <c r="H92" i="49" s="1"/>
  <c r="R48" i="37"/>
  <c r="I92" i="49" s="1"/>
  <c r="N48" i="37"/>
  <c r="G92" i="49" s="1"/>
  <c r="P18" i="37"/>
  <c r="H32" i="49" s="1"/>
  <c r="N18" i="37"/>
  <c r="G32" i="49" s="1"/>
  <c r="R18" i="37"/>
  <c r="I32" i="49" s="1"/>
  <c r="F32" i="49"/>
  <c r="M27" i="37"/>
  <c r="G49" i="49" s="1"/>
  <c r="Q27" i="37"/>
  <c r="I49" i="49" s="1"/>
  <c r="O27" i="37"/>
  <c r="H49" i="49" s="1"/>
  <c r="N24" i="37"/>
  <c r="P24" i="37"/>
  <c r="R24" i="37"/>
  <c r="F44" i="49"/>
  <c r="G14" i="48"/>
  <c r="Q53" i="41"/>
  <c r="O53" i="41"/>
  <c r="M53" i="41"/>
  <c r="L28" i="47"/>
  <c r="M47" i="49"/>
  <c r="P10" i="31"/>
  <c r="R10" i="48"/>
  <c r="M41" i="49"/>
  <c r="M142" i="49" s="1"/>
  <c r="H118" i="49"/>
  <c r="G123" i="49"/>
  <c r="O22" i="49"/>
  <c r="O123" i="49" s="1"/>
  <c r="O5" i="49"/>
  <c r="O106" i="49" s="1"/>
  <c r="G106" i="49"/>
  <c r="Q83" i="49"/>
  <c r="Q184" i="49" s="1"/>
  <c r="I184" i="49"/>
  <c r="H130" i="49"/>
  <c r="P29" i="49"/>
  <c r="P130" i="49" s="1"/>
  <c r="G165" i="49"/>
  <c r="O64" i="49"/>
  <c r="O165" i="49" s="1"/>
  <c r="M194" i="49"/>
  <c r="G176" i="49"/>
  <c r="O75" i="49"/>
  <c r="O176" i="49" s="1"/>
  <c r="L107" i="49"/>
  <c r="Q17" i="49"/>
  <c r="Q118" i="49" s="1"/>
  <c r="M118" i="49"/>
  <c r="F117" i="49"/>
  <c r="N16" i="49"/>
  <c r="N117" i="49" s="1"/>
  <c r="F110" i="49"/>
  <c r="N9" i="49"/>
  <c r="N110" i="49" s="1"/>
  <c r="P53" i="49"/>
  <c r="P154" i="49" s="1"/>
  <c r="L154" i="49"/>
  <c r="I129" i="49"/>
  <c r="O9" i="37"/>
  <c r="H13" i="49" s="1"/>
  <c r="M9" i="37"/>
  <c r="G13" i="49" s="1"/>
  <c r="Q9" i="37"/>
  <c r="I13" i="49" s="1"/>
  <c r="F13" i="49"/>
  <c r="O24" i="37"/>
  <c r="M24" i="37"/>
  <c r="Q24" i="37"/>
  <c r="F43" i="49"/>
  <c r="G11" i="48"/>
  <c r="O54" i="37"/>
  <c r="Q54" i="37"/>
  <c r="M54" i="37"/>
  <c r="P23" i="41"/>
  <c r="O11" i="48"/>
  <c r="L23" i="41"/>
  <c r="N23" i="41"/>
  <c r="J43" i="49"/>
  <c r="J144" i="49" s="1"/>
  <c r="O21" i="37"/>
  <c r="H37" i="49" s="1"/>
  <c r="M21" i="37"/>
  <c r="G37" i="49" s="1"/>
  <c r="F37" i="49"/>
  <c r="Q21" i="37"/>
  <c r="I37" i="49" s="1"/>
  <c r="Q41" i="41"/>
  <c r="M80" i="49" s="1"/>
  <c r="M181" i="49" s="1"/>
  <c r="M41" i="41"/>
  <c r="K80" i="49" s="1"/>
  <c r="K181" i="49" s="1"/>
  <c r="O41" i="41"/>
  <c r="L80" i="49" s="1"/>
  <c r="L181" i="49" s="1"/>
  <c r="J80" i="49"/>
  <c r="J181" i="49" s="1"/>
  <c r="H33" i="31"/>
  <c r="D69" i="31" s="1"/>
  <c r="I34" i="31"/>
  <c r="E70" i="31" s="1"/>
  <c r="D70" i="31"/>
  <c r="M28" i="47"/>
  <c r="I159" i="49"/>
  <c r="Q58" i="49"/>
  <c r="Q159" i="49" s="1"/>
  <c r="M12" i="37"/>
  <c r="G19" i="49" s="1"/>
  <c r="O12" i="37"/>
  <c r="H19" i="49" s="1"/>
  <c r="F19" i="49"/>
  <c r="Q12" i="37"/>
  <c r="I19" i="49" s="1"/>
  <c r="L125" i="49"/>
  <c r="N7" i="49"/>
  <c r="N108" i="49" s="1"/>
  <c r="F108" i="49"/>
  <c r="P23" i="49"/>
  <c r="P124" i="49" s="1"/>
  <c r="H116" i="49"/>
  <c r="P15" i="49"/>
  <c r="P116" i="49" s="1"/>
  <c r="H141" i="49"/>
  <c r="P40" i="49"/>
  <c r="P141" i="49" s="1"/>
  <c r="AA18" i="31"/>
  <c r="Q18" i="31"/>
  <c r="F97" i="49"/>
  <c r="Q51" i="37"/>
  <c r="I97" i="49" s="1"/>
  <c r="M51" i="37"/>
  <c r="G97" i="49" s="1"/>
  <c r="O51" i="37"/>
  <c r="H97" i="49" s="1"/>
  <c r="Q30" i="37"/>
  <c r="I55" i="49" s="1"/>
  <c r="M30" i="37"/>
  <c r="G55" i="49" s="1"/>
  <c r="O30" i="37"/>
  <c r="H55" i="49" s="1"/>
  <c r="F55" i="49"/>
  <c r="N20" i="41"/>
  <c r="L37" i="49" s="1"/>
  <c r="L138" i="49" s="1"/>
  <c r="P20" i="41"/>
  <c r="M37" i="49" s="1"/>
  <c r="M138" i="49" s="1"/>
  <c r="L20" i="41"/>
  <c r="K37" i="49" s="1"/>
  <c r="K138" i="49" s="1"/>
  <c r="J37" i="49"/>
  <c r="J138" i="49" s="1"/>
  <c r="Q15" i="37"/>
  <c r="I25" i="49" s="1"/>
  <c r="O15" i="37"/>
  <c r="H25" i="49" s="1"/>
  <c r="M15" i="37"/>
  <c r="G25" i="49" s="1"/>
  <c r="F25" i="49"/>
  <c r="P38" i="41"/>
  <c r="M73" i="49" s="1"/>
  <c r="M174" i="49" s="1"/>
  <c r="N38" i="41"/>
  <c r="L73" i="49" s="1"/>
  <c r="L174" i="49" s="1"/>
  <c r="L38" i="41"/>
  <c r="K73" i="49" s="1"/>
  <c r="K174" i="49" s="1"/>
  <c r="J73" i="49"/>
  <c r="J174" i="49" s="1"/>
  <c r="O29" i="41"/>
  <c r="L56" i="49" s="1"/>
  <c r="L157" i="49" s="1"/>
  <c r="Q29" i="41"/>
  <c r="M56" i="49" s="1"/>
  <c r="M157" i="49" s="1"/>
  <c r="M29" i="41"/>
  <c r="K56" i="49" s="1"/>
  <c r="K157" i="49" s="1"/>
  <c r="J56" i="49"/>
  <c r="J157" i="49" s="1"/>
  <c r="H34" i="31"/>
  <c r="D68" i="31" s="1"/>
  <c r="G111" i="49"/>
  <c r="O10" i="49"/>
  <c r="O111" i="49" s="1"/>
  <c r="G160" i="49"/>
  <c r="O59" i="49"/>
  <c r="O160" i="49" s="1"/>
  <c r="G155" i="49"/>
  <c r="O54" i="49"/>
  <c r="O155" i="49" s="1"/>
  <c r="H119" i="49"/>
  <c r="P18" i="49"/>
  <c r="P119" i="49" s="1"/>
  <c r="I137" i="49"/>
  <c r="P100" i="49"/>
  <c r="P201" i="49" s="1"/>
  <c r="H201" i="49"/>
  <c r="I130" i="49"/>
  <c r="Q29" i="49"/>
  <c r="Q130" i="49" s="1"/>
  <c r="I201" i="49"/>
  <c r="H165" i="49"/>
  <c r="P64" i="49"/>
  <c r="P165" i="49" s="1"/>
  <c r="F193" i="49"/>
  <c r="N92" i="49"/>
  <c r="N193" i="49" s="1"/>
  <c r="Q9" i="49"/>
  <c r="Q110" i="49" s="1"/>
  <c r="M110" i="49"/>
  <c r="O88" i="49"/>
  <c r="O189" i="49" s="1"/>
  <c r="G189" i="49"/>
  <c r="L110" i="49"/>
  <c r="P9" i="49"/>
  <c r="P110" i="49" s="1"/>
  <c r="J154" i="49"/>
  <c r="F107" i="49"/>
  <c r="N6" i="49"/>
  <c r="N107" i="49" s="1"/>
  <c r="K45" i="49"/>
  <c r="K146" i="49" s="1"/>
  <c r="J92" i="49"/>
  <c r="J193" i="49" s="1"/>
  <c r="I154" i="49"/>
  <c r="Q53" i="49"/>
  <c r="Q154" i="49" s="1"/>
  <c r="J86" i="49"/>
  <c r="J187" i="49" s="1"/>
  <c r="F124" i="49"/>
  <c r="N23" i="49"/>
  <c r="N124" i="49" s="1"/>
  <c r="O87" i="49"/>
  <c r="O188" i="49" s="1"/>
  <c r="G116" i="49"/>
  <c r="O15" i="49"/>
  <c r="O116" i="49" s="1"/>
  <c r="Q66" i="49"/>
  <c r="Q167" i="49" s="1"/>
  <c r="I167" i="49"/>
  <c r="P15" i="37"/>
  <c r="H26" i="49" s="1"/>
  <c r="R15" i="37"/>
  <c r="I26" i="49" s="1"/>
  <c r="N15" i="37"/>
  <c r="G26" i="49" s="1"/>
  <c r="F26" i="49"/>
  <c r="N9" i="37"/>
  <c r="G14" i="49" s="1"/>
  <c r="R9" i="37"/>
  <c r="I14" i="49" s="1"/>
  <c r="P9" i="37"/>
  <c r="H14" i="49" s="1"/>
  <c r="F14" i="49"/>
  <c r="N35" i="41"/>
  <c r="L67" i="49" s="1"/>
  <c r="L168" i="49" s="1"/>
  <c r="L35" i="41"/>
  <c r="K67" i="49" s="1"/>
  <c r="K168" i="49" s="1"/>
  <c r="P35" i="41"/>
  <c r="M67" i="49" s="1"/>
  <c r="M168" i="49" s="1"/>
  <c r="P8" i="41"/>
  <c r="M13" i="49" s="1"/>
  <c r="M114" i="49" s="1"/>
  <c r="N8" i="41"/>
  <c r="L13" i="49" s="1"/>
  <c r="L114" i="49" s="1"/>
  <c r="L8" i="41"/>
  <c r="K13" i="49" s="1"/>
  <c r="K114" i="49" s="1"/>
  <c r="J13" i="49"/>
  <c r="J114" i="49" s="1"/>
  <c r="L50" i="41"/>
  <c r="K97" i="49" s="1"/>
  <c r="K198" i="49" s="1"/>
  <c r="N50" i="41"/>
  <c r="L97" i="49" s="1"/>
  <c r="L198" i="49" s="1"/>
  <c r="P50" i="41"/>
  <c r="M97" i="49" s="1"/>
  <c r="M198" i="49" s="1"/>
  <c r="L29" i="41"/>
  <c r="K55" i="49" s="1"/>
  <c r="K156" i="49" s="1"/>
  <c r="N29" i="41"/>
  <c r="L55" i="49" s="1"/>
  <c r="L156" i="49" s="1"/>
  <c r="P29" i="41"/>
  <c r="M55" i="49" s="1"/>
  <c r="M156" i="49" s="1"/>
  <c r="J55" i="49"/>
  <c r="J156" i="49" s="1"/>
  <c r="O14" i="41"/>
  <c r="L26" i="49" s="1"/>
  <c r="L127" i="49" s="1"/>
  <c r="Q14" i="41"/>
  <c r="M26" i="49" s="1"/>
  <c r="M127" i="49" s="1"/>
  <c r="M14" i="41"/>
  <c r="K26" i="49" s="1"/>
  <c r="K127" i="49" s="1"/>
  <c r="G10" i="31"/>
  <c r="Q28" i="47"/>
  <c r="O100" i="49" l="1"/>
  <c r="O201" i="49" s="1"/>
  <c r="Q24" i="31"/>
  <c r="O24" i="31"/>
  <c r="X13" i="31"/>
  <c r="X34" i="31" s="1"/>
  <c r="Q28" i="49"/>
  <c r="Q129" i="49" s="1"/>
  <c r="Q100" i="49"/>
  <c r="Q201" i="49" s="1"/>
  <c r="Q36" i="49"/>
  <c r="Q137" i="49" s="1"/>
  <c r="N47" i="49"/>
  <c r="N148" i="49" s="1"/>
  <c r="X13" i="48"/>
  <c r="V20" i="48" s="1"/>
  <c r="Q29" i="31"/>
  <c r="O47" i="49"/>
  <c r="O148" i="49" s="1"/>
  <c r="Q46" i="47"/>
  <c r="L46" i="47"/>
  <c r="L49" i="47"/>
  <c r="O49" i="47"/>
  <c r="O33" i="47"/>
  <c r="M48" i="47"/>
  <c r="P49" i="47"/>
  <c r="L47" i="47"/>
  <c r="P47" i="47"/>
  <c r="N47" i="47"/>
  <c r="M47" i="47"/>
  <c r="N32" i="47"/>
  <c r="L48" i="47"/>
  <c r="P48" i="47"/>
  <c r="M46" i="47"/>
  <c r="N46" i="47"/>
  <c r="O46" i="47"/>
  <c r="M49" i="47"/>
  <c r="Q47" i="47"/>
  <c r="Q49" i="47"/>
  <c r="O47" i="47"/>
  <c r="N48" i="47"/>
  <c r="P46" i="47"/>
  <c r="N49" i="47"/>
  <c r="Q33" i="47"/>
  <c r="O48" i="47"/>
  <c r="Q32" i="47"/>
  <c r="N31" i="47"/>
  <c r="Q31" i="47"/>
  <c r="L32" i="47"/>
  <c r="M30" i="47"/>
  <c r="M33" i="47"/>
  <c r="N30" i="47"/>
  <c r="O32" i="47"/>
  <c r="P30" i="47"/>
  <c r="N33" i="47"/>
  <c r="Q30" i="47"/>
  <c r="P33" i="47"/>
  <c r="P32" i="47"/>
  <c r="M31" i="47"/>
  <c r="L33" i="47"/>
  <c r="AA23" i="31"/>
  <c r="O36" i="49"/>
  <c r="O137" i="49" s="1"/>
  <c r="O31" i="47"/>
  <c r="O30" i="47"/>
  <c r="V21" i="40"/>
  <c r="W21" i="40"/>
  <c r="X21" i="40"/>
  <c r="U21" i="40"/>
  <c r="P31" i="47"/>
  <c r="M32" i="47"/>
  <c r="V13" i="31"/>
  <c r="X24" i="31" s="1"/>
  <c r="O35" i="49"/>
  <c r="O136" i="49" s="1"/>
  <c r="L30" i="47"/>
  <c r="V10" i="31"/>
  <c r="W23" i="31" s="1"/>
  <c r="Y23" i="31"/>
  <c r="G23" i="31"/>
  <c r="I23" i="31" s="1"/>
  <c r="W23" i="40"/>
  <c r="V23" i="40"/>
  <c r="U23" i="40"/>
  <c r="X23" i="40"/>
  <c r="P52" i="49"/>
  <c r="P153" i="49" s="1"/>
  <c r="L153" i="49"/>
  <c r="P29" i="31"/>
  <c r="W13" i="31"/>
  <c r="X29" i="31" s="1"/>
  <c r="P51" i="49"/>
  <c r="P152" i="49" s="1"/>
  <c r="L152" i="49"/>
  <c r="O45" i="49"/>
  <c r="O146" i="49" s="1"/>
  <c r="W12" i="31"/>
  <c r="X28" i="31" s="1"/>
  <c r="P28" i="31"/>
  <c r="P11" i="48"/>
  <c r="O25" i="48" s="1"/>
  <c r="K43" i="49"/>
  <c r="K144" i="49" s="1"/>
  <c r="F180" i="49"/>
  <c r="N79" i="49"/>
  <c r="N180" i="49" s="1"/>
  <c r="H198" i="49"/>
  <c r="P97" i="49"/>
  <c r="P198" i="49" s="1"/>
  <c r="O24" i="48"/>
  <c r="N11" i="48"/>
  <c r="O23" i="48" s="1"/>
  <c r="G114" i="49"/>
  <c r="O13" i="49"/>
  <c r="O114" i="49" s="1"/>
  <c r="G150" i="49"/>
  <c r="O49" i="49"/>
  <c r="O150" i="49" s="1"/>
  <c r="F192" i="49"/>
  <c r="N91" i="49"/>
  <c r="N192" i="49" s="1"/>
  <c r="L44" i="47"/>
  <c r="L43" i="47"/>
  <c r="N45" i="47"/>
  <c r="M42" i="47"/>
  <c r="P45" i="47"/>
  <c r="Q44" i="47"/>
  <c r="L45" i="47"/>
  <c r="N42" i="47"/>
  <c r="N43" i="47"/>
  <c r="L42" i="47"/>
  <c r="O44" i="47"/>
  <c r="O42" i="47"/>
  <c r="Q43" i="47"/>
  <c r="O45" i="47"/>
  <c r="N44" i="47"/>
  <c r="P42" i="47"/>
  <c r="O43" i="47"/>
  <c r="M45" i="47"/>
  <c r="P43" i="47"/>
  <c r="M44" i="47"/>
  <c r="P44" i="47"/>
  <c r="Q42" i="47"/>
  <c r="M43" i="47"/>
  <c r="Q45" i="47"/>
  <c r="H180" i="49"/>
  <c r="P79" i="49"/>
  <c r="P180" i="49" s="1"/>
  <c r="H112" i="49"/>
  <c r="P11" i="49"/>
  <c r="P112" i="49" s="1"/>
  <c r="Q50" i="49"/>
  <c r="Q151" i="49" s="1"/>
  <c r="I151" i="49"/>
  <c r="I121" i="49"/>
  <c r="Q20" i="49"/>
  <c r="Q121" i="49" s="1"/>
  <c r="N25" i="40"/>
  <c r="O25" i="40"/>
  <c r="M25" i="40"/>
  <c r="K25" i="40"/>
  <c r="P25" i="40"/>
  <c r="L25" i="40"/>
  <c r="P45" i="49"/>
  <c r="P146" i="49" s="1"/>
  <c r="L146" i="49"/>
  <c r="G168" i="49"/>
  <c r="O67" i="49"/>
  <c r="O168" i="49" s="1"/>
  <c r="O14" i="49"/>
  <c r="O115" i="49" s="1"/>
  <c r="G115" i="49"/>
  <c r="I114" i="49"/>
  <c r="Q13" i="49"/>
  <c r="Q114" i="49" s="1"/>
  <c r="H163" i="49"/>
  <c r="P62" i="49"/>
  <c r="P163" i="49" s="1"/>
  <c r="F175" i="49"/>
  <c r="N74" i="49"/>
  <c r="N175" i="49" s="1"/>
  <c r="F168" i="49"/>
  <c r="N67" i="49"/>
  <c r="N168" i="49" s="1"/>
  <c r="F127" i="49"/>
  <c r="N26" i="49"/>
  <c r="N127" i="49" s="1"/>
  <c r="O26" i="49"/>
  <c r="O127" i="49" s="1"/>
  <c r="G127" i="49"/>
  <c r="O97" i="49"/>
  <c r="O198" i="49" s="1"/>
  <c r="G198" i="49"/>
  <c r="R11" i="48"/>
  <c r="O27" i="48" s="1"/>
  <c r="M43" i="49"/>
  <c r="M144" i="49" s="1"/>
  <c r="H121" i="49"/>
  <c r="P20" i="49"/>
  <c r="P121" i="49" s="1"/>
  <c r="Q11" i="49"/>
  <c r="Q112" i="49" s="1"/>
  <c r="I112" i="49"/>
  <c r="I187" i="49"/>
  <c r="Q86" i="49"/>
  <c r="Q187" i="49" s="1"/>
  <c r="I162" i="49"/>
  <c r="Q61" i="49"/>
  <c r="Q162" i="49" s="1"/>
  <c r="H168" i="49"/>
  <c r="P67" i="49"/>
  <c r="P168" i="49" s="1"/>
  <c r="P47" i="49"/>
  <c r="P148" i="49" s="1"/>
  <c r="P32" i="49"/>
  <c r="P133" i="49" s="1"/>
  <c r="H133" i="49"/>
  <c r="I156" i="49"/>
  <c r="Q55" i="49"/>
  <c r="Q156" i="49" s="1"/>
  <c r="G121" i="49"/>
  <c r="O20" i="49"/>
  <c r="O121" i="49" s="1"/>
  <c r="Q74" i="49"/>
  <c r="Q175" i="49" s="1"/>
  <c r="I175" i="49"/>
  <c r="F126" i="49"/>
  <c r="N25" i="49"/>
  <c r="N126" i="49" s="1"/>
  <c r="G126" i="49"/>
  <c r="O25" i="49"/>
  <c r="O126" i="49" s="1"/>
  <c r="H114" i="49"/>
  <c r="P13" i="49"/>
  <c r="P114" i="49" s="1"/>
  <c r="F133" i="49"/>
  <c r="N32" i="49"/>
  <c r="N133" i="49" s="1"/>
  <c r="G108" i="49"/>
  <c r="O7" i="49"/>
  <c r="O108" i="49" s="1"/>
  <c r="I127" i="49"/>
  <c r="Q26" i="49"/>
  <c r="Q127" i="49" s="1"/>
  <c r="H126" i="49"/>
  <c r="P25" i="49"/>
  <c r="P126" i="49" s="1"/>
  <c r="I120" i="49"/>
  <c r="Q19" i="49"/>
  <c r="Q120" i="49" s="1"/>
  <c r="I138" i="49"/>
  <c r="Q37" i="49"/>
  <c r="Q138" i="49" s="1"/>
  <c r="I133" i="49"/>
  <c r="Q32" i="49"/>
  <c r="Q133" i="49" s="1"/>
  <c r="I192" i="49"/>
  <c r="Q91" i="49"/>
  <c r="Q192" i="49" s="1"/>
  <c r="N80" i="49"/>
  <c r="N181" i="49" s="1"/>
  <c r="F181" i="49"/>
  <c r="Q79" i="49"/>
  <c r="Q180" i="49" s="1"/>
  <c r="I180" i="49"/>
  <c r="F109" i="49"/>
  <c r="N8" i="49"/>
  <c r="N109" i="49" s="1"/>
  <c r="I108" i="49"/>
  <c r="Q7" i="49"/>
  <c r="Q108" i="49" s="1"/>
  <c r="R14" i="48"/>
  <c r="N27" i="48" s="1"/>
  <c r="M44" i="49"/>
  <c r="M145" i="49" s="1"/>
  <c r="O48" i="49"/>
  <c r="O149" i="49" s="1"/>
  <c r="G149" i="49"/>
  <c r="O86" i="49"/>
  <c r="O187" i="49" s="1"/>
  <c r="G187" i="49"/>
  <c r="H162" i="49"/>
  <c r="P61" i="49"/>
  <c r="P162" i="49" s="1"/>
  <c r="I150" i="49"/>
  <c r="Q49" i="49"/>
  <c r="Q150" i="49" s="1"/>
  <c r="K23" i="40"/>
  <c r="P23" i="40"/>
  <c r="O23" i="40"/>
  <c r="N23" i="40"/>
  <c r="M23" i="40"/>
  <c r="L23" i="40"/>
  <c r="G151" i="49"/>
  <c r="O50" i="49"/>
  <c r="O151" i="49" s="1"/>
  <c r="G192" i="49"/>
  <c r="O91" i="49"/>
  <c r="O192" i="49" s="1"/>
  <c r="G180" i="49"/>
  <c r="O79" i="49"/>
  <c r="O180" i="49" s="1"/>
  <c r="Q97" i="49"/>
  <c r="Q198" i="49" s="1"/>
  <c r="I198" i="49"/>
  <c r="H127" i="49"/>
  <c r="P26" i="49"/>
  <c r="P127" i="49" s="1"/>
  <c r="I126" i="49"/>
  <c r="Q25" i="49"/>
  <c r="Q126" i="49" s="1"/>
  <c r="N97" i="49"/>
  <c r="N198" i="49" s="1"/>
  <c r="F198" i="49"/>
  <c r="F120" i="49"/>
  <c r="N19" i="49"/>
  <c r="N120" i="49" s="1"/>
  <c r="F138" i="49"/>
  <c r="N37" i="49"/>
  <c r="N138" i="49" s="1"/>
  <c r="G133" i="49"/>
  <c r="O32" i="49"/>
  <c r="O133" i="49" s="1"/>
  <c r="H192" i="49"/>
  <c r="P91" i="49"/>
  <c r="P192" i="49" s="1"/>
  <c r="E69" i="31"/>
  <c r="E71" i="31"/>
  <c r="I181" i="49"/>
  <c r="Q80" i="49"/>
  <c r="Q181" i="49" s="1"/>
  <c r="M152" i="49"/>
  <c r="Q51" i="49"/>
  <c r="Q152" i="49" s="1"/>
  <c r="G109" i="49"/>
  <c r="O8" i="49"/>
  <c r="O109" i="49" s="1"/>
  <c r="P7" i="49"/>
  <c r="P108" i="49" s="1"/>
  <c r="H108" i="49"/>
  <c r="Q14" i="48"/>
  <c r="N26" i="48" s="1"/>
  <c r="L44" i="49"/>
  <c r="L145" i="49" s="1"/>
  <c r="H187" i="49"/>
  <c r="P86" i="49"/>
  <c r="P187" i="49" s="1"/>
  <c r="O61" i="49"/>
  <c r="O162" i="49" s="1"/>
  <c r="G162" i="49"/>
  <c r="H120" i="49"/>
  <c r="P19" i="49"/>
  <c r="P120" i="49" s="1"/>
  <c r="I109" i="49"/>
  <c r="Q8" i="49"/>
  <c r="Q109" i="49" s="1"/>
  <c r="N98" i="49"/>
  <c r="N199" i="49" s="1"/>
  <c r="F199" i="49"/>
  <c r="P14" i="48"/>
  <c r="N25" i="48" s="1"/>
  <c r="K44" i="49"/>
  <c r="K145" i="49" s="1"/>
  <c r="F157" i="49"/>
  <c r="N56" i="49"/>
  <c r="N157" i="49" s="1"/>
  <c r="G120" i="49"/>
  <c r="O19" i="49"/>
  <c r="O120" i="49" s="1"/>
  <c r="H138" i="49"/>
  <c r="P37" i="49"/>
  <c r="P138" i="49" s="1"/>
  <c r="F26" i="48"/>
  <c r="V11" i="48"/>
  <c r="W22" i="48" s="1"/>
  <c r="O22" i="48"/>
  <c r="Y10" i="48"/>
  <c r="W21" i="48" s="1"/>
  <c r="V14" i="48"/>
  <c r="V22" i="48" s="1"/>
  <c r="E26" i="48"/>
  <c r="G193" i="49"/>
  <c r="O92" i="49"/>
  <c r="O193" i="49" s="1"/>
  <c r="H181" i="49"/>
  <c r="P80" i="49"/>
  <c r="P181" i="49" s="1"/>
  <c r="M35" i="47"/>
  <c r="Q35" i="47"/>
  <c r="N36" i="47"/>
  <c r="L35" i="47"/>
  <c r="N35" i="47"/>
  <c r="Q36" i="47"/>
  <c r="L34" i="47"/>
  <c r="O35" i="47"/>
  <c r="M37" i="47"/>
  <c r="P37" i="47"/>
  <c r="O36" i="47"/>
  <c r="P34" i="47"/>
  <c r="N37" i="47"/>
  <c r="L36" i="47"/>
  <c r="M34" i="47"/>
  <c r="Q37" i="47"/>
  <c r="O37" i="47"/>
  <c r="Q34" i="47"/>
  <c r="N34" i="47"/>
  <c r="O34" i="47"/>
  <c r="M36" i="47"/>
  <c r="P35" i="47"/>
  <c r="P36" i="47"/>
  <c r="L37" i="47"/>
  <c r="P8" i="49"/>
  <c r="P109" i="49" s="1"/>
  <c r="H109" i="49"/>
  <c r="Q41" i="49"/>
  <c r="Q142" i="49" s="1"/>
  <c r="Q98" i="49"/>
  <c r="Q199" i="49" s="1"/>
  <c r="I199" i="49"/>
  <c r="N14" i="48"/>
  <c r="N23" i="48" s="1"/>
  <c r="N24" i="48"/>
  <c r="P56" i="49"/>
  <c r="P157" i="49" s="1"/>
  <c r="H157" i="49"/>
  <c r="F169" i="49"/>
  <c r="N68" i="49"/>
  <c r="N169" i="49" s="1"/>
  <c r="P98" i="49"/>
  <c r="P199" i="49" s="1"/>
  <c r="H199" i="49"/>
  <c r="F132" i="49"/>
  <c r="N31" i="49"/>
  <c r="N132" i="49" s="1"/>
  <c r="I157" i="49"/>
  <c r="Q56" i="49"/>
  <c r="Q157" i="49" s="1"/>
  <c r="I193" i="49"/>
  <c r="Q92" i="49"/>
  <c r="Q193" i="49" s="1"/>
  <c r="F174" i="49"/>
  <c r="N73" i="49"/>
  <c r="N174" i="49" s="1"/>
  <c r="M148" i="49"/>
  <c r="Q47" i="49"/>
  <c r="Q148" i="49" s="1"/>
  <c r="I44" i="49"/>
  <c r="J14" i="48"/>
  <c r="I169" i="49"/>
  <c r="Q68" i="49"/>
  <c r="Q169" i="49" s="1"/>
  <c r="O98" i="49"/>
  <c r="O199" i="49" s="1"/>
  <c r="G199" i="49"/>
  <c r="Q31" i="49"/>
  <c r="Q132" i="49" s="1"/>
  <c r="I132" i="49"/>
  <c r="G157" i="49"/>
  <c r="O56" i="49"/>
  <c r="O157" i="49" s="1"/>
  <c r="H186" i="49"/>
  <c r="P85" i="49"/>
  <c r="P186" i="49" s="1"/>
  <c r="W11" i="31"/>
  <c r="W29" i="31" s="1"/>
  <c r="Z29" i="31"/>
  <c r="Y29" i="31"/>
  <c r="AA29" i="31"/>
  <c r="G29" i="31"/>
  <c r="I29" i="31" s="1"/>
  <c r="G181" i="49"/>
  <c r="O80" i="49"/>
  <c r="O181" i="49" s="1"/>
  <c r="F145" i="49"/>
  <c r="N44" i="49"/>
  <c r="N145" i="49" s="1"/>
  <c r="I43" i="49"/>
  <c r="J11" i="48"/>
  <c r="H193" i="49"/>
  <c r="P92" i="49"/>
  <c r="P193" i="49" s="1"/>
  <c r="G174" i="49"/>
  <c r="O73" i="49"/>
  <c r="O174" i="49" s="1"/>
  <c r="F139" i="49"/>
  <c r="N38" i="49"/>
  <c r="N139" i="49" s="1"/>
  <c r="AA28" i="31"/>
  <c r="Y28" i="31"/>
  <c r="W10" i="31"/>
  <c r="W28" i="31" s="1"/>
  <c r="Z28" i="31"/>
  <c r="G28" i="31"/>
  <c r="I28" i="31" s="1"/>
  <c r="F115" i="49"/>
  <c r="N14" i="49"/>
  <c r="N115" i="49" s="1"/>
  <c r="F156" i="49"/>
  <c r="N55" i="49"/>
  <c r="N156" i="49" s="1"/>
  <c r="G43" i="49"/>
  <c r="H11" i="48"/>
  <c r="I14" i="48"/>
  <c r="H44" i="49"/>
  <c r="F163" i="49"/>
  <c r="N62" i="49"/>
  <c r="N163" i="49" s="1"/>
  <c r="F187" i="49"/>
  <c r="N86" i="49"/>
  <c r="N187" i="49" s="1"/>
  <c r="P73" i="49"/>
  <c r="P174" i="49" s="1"/>
  <c r="H174" i="49"/>
  <c r="H139" i="49"/>
  <c r="P38" i="49"/>
  <c r="P139" i="49" s="1"/>
  <c r="P68" i="49"/>
  <c r="P169" i="49" s="1"/>
  <c r="H169" i="49"/>
  <c r="F162" i="49"/>
  <c r="N61" i="49"/>
  <c r="N162" i="49" s="1"/>
  <c r="G132" i="49"/>
  <c r="O31" i="49"/>
  <c r="O132" i="49" s="1"/>
  <c r="I186" i="49"/>
  <c r="Q85" i="49"/>
  <c r="Q186" i="49" s="1"/>
  <c r="O33" i="31"/>
  <c r="M68" i="31" s="1"/>
  <c r="Q33" i="31"/>
  <c r="M69" i="31" s="1"/>
  <c r="X10" i="31"/>
  <c r="W33" i="31" s="1"/>
  <c r="U68" i="31" s="1"/>
  <c r="Y33" i="31"/>
  <c r="U69" i="31" s="1"/>
  <c r="AA33" i="31"/>
  <c r="U71" i="31" s="1"/>
  <c r="Z33" i="31"/>
  <c r="U70" i="31" s="1"/>
  <c r="G44" i="49"/>
  <c r="H14" i="48"/>
  <c r="I174" i="49"/>
  <c r="Q73" i="49"/>
  <c r="Q174" i="49" s="1"/>
  <c r="O38" i="49"/>
  <c r="O139" i="49" s="1"/>
  <c r="G139" i="49"/>
  <c r="O68" i="49"/>
  <c r="O169" i="49" s="1"/>
  <c r="G169" i="49"/>
  <c r="F151" i="49"/>
  <c r="N50" i="49"/>
  <c r="N151" i="49" s="1"/>
  <c r="H132" i="49"/>
  <c r="P31" i="49"/>
  <c r="P132" i="49" s="1"/>
  <c r="H175" i="49"/>
  <c r="P74" i="49"/>
  <c r="P175" i="49" s="1"/>
  <c r="O85" i="49"/>
  <c r="O186" i="49" s="1"/>
  <c r="G186" i="49"/>
  <c r="G138" i="49"/>
  <c r="O37" i="49"/>
  <c r="O138" i="49" s="1"/>
  <c r="X12" i="31"/>
  <c r="X33" i="31" s="1"/>
  <c r="F144" i="49"/>
  <c r="N43" i="49"/>
  <c r="N144" i="49" s="1"/>
  <c r="H115" i="49"/>
  <c r="P14" i="49"/>
  <c r="P115" i="49" s="1"/>
  <c r="H156" i="49"/>
  <c r="P55" i="49"/>
  <c r="P156" i="49" s="1"/>
  <c r="I11" i="48"/>
  <c r="H43" i="49"/>
  <c r="Q62" i="49"/>
  <c r="Q163" i="49" s="1"/>
  <c r="I163" i="49"/>
  <c r="Q14" i="49"/>
  <c r="Q115" i="49" s="1"/>
  <c r="I115" i="49"/>
  <c r="G156" i="49"/>
  <c r="O55" i="49"/>
  <c r="O156" i="49" s="1"/>
  <c r="Q11" i="48"/>
  <c r="O26" i="48" s="1"/>
  <c r="L43" i="49"/>
  <c r="L144" i="49" s="1"/>
  <c r="N13" i="49"/>
  <c r="N114" i="49" s="1"/>
  <c r="F114" i="49"/>
  <c r="P49" i="49"/>
  <c r="P150" i="49" s="1"/>
  <c r="H150" i="49"/>
  <c r="G163" i="49"/>
  <c r="O62" i="49"/>
  <c r="O163" i="49" s="1"/>
  <c r="I139" i="49"/>
  <c r="Q38" i="49"/>
  <c r="Q139" i="49" s="1"/>
  <c r="H151" i="49"/>
  <c r="P50" i="49"/>
  <c r="P151" i="49" s="1"/>
  <c r="F121" i="49"/>
  <c r="N20" i="49"/>
  <c r="N121" i="49" s="1"/>
  <c r="Q28" i="31"/>
  <c r="O28" i="31"/>
  <c r="G175" i="49"/>
  <c r="O74" i="49"/>
  <c r="O175" i="49" s="1"/>
  <c r="I168" i="49"/>
  <c r="Q67" i="49"/>
  <c r="Q168" i="49" s="1"/>
  <c r="H144" i="49" l="1"/>
  <c r="P43" i="49"/>
  <c r="P144" i="49" s="1"/>
  <c r="X11" i="48"/>
  <c r="W24" i="48" s="1"/>
  <c r="F28" i="48"/>
  <c r="E27" i="48"/>
  <c r="W14" i="48"/>
  <c r="V23" i="48" s="1"/>
  <c r="P44" i="49"/>
  <c r="P145" i="49" s="1"/>
  <c r="H145" i="49"/>
  <c r="G145" i="49"/>
  <c r="O44" i="49"/>
  <c r="O145" i="49" s="1"/>
  <c r="X14" i="48"/>
  <c r="V24" i="48" s="1"/>
  <c r="E28" i="48"/>
  <c r="F27" i="48"/>
  <c r="W11" i="48"/>
  <c r="W23" i="48" s="1"/>
  <c r="O43" i="49"/>
  <c r="O144" i="49" s="1"/>
  <c r="G144" i="49"/>
  <c r="I145" i="49"/>
  <c r="Q44" i="49"/>
  <c r="Q145" i="49" s="1"/>
  <c r="F29" i="48"/>
  <c r="Y11" i="48"/>
  <c r="W25" i="48" s="1"/>
  <c r="Q43" i="49"/>
  <c r="Q144" i="49" s="1"/>
  <c r="I144" i="49"/>
  <c r="E29" i="48"/>
  <c r="Y14" i="48"/>
  <c r="V25" i="4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<sst xmlns="http://schemas.openxmlformats.org/spreadsheetml/2006/main" count="1891" uniqueCount="474">
  <si>
    <t>Risk Evaluation for Di-ethylhexyl Phthalate
(DEHP)</t>
  </si>
  <si>
    <t>Supplemental Information File:
Risk Calculator for Occupational Exposures</t>
  </si>
  <si>
    <t>CASRN: 117-81-7</t>
  </si>
  <si>
    <r>
      <rPr>
        <b/>
        <i/>
        <sz val="14"/>
        <color rgb="FF000000"/>
        <rFont val="Times New Roman"/>
      </rPr>
      <t>December</t>
    </r>
    <r>
      <rPr>
        <b/>
        <i/>
        <sz val="14"/>
        <color rgb="FFDCE6F1"/>
        <rFont val="Times New Roman"/>
      </rPr>
      <t>,</t>
    </r>
    <r>
      <rPr>
        <b/>
        <i/>
        <sz val="14"/>
        <color rgb="FF000000"/>
        <rFont val="Times New Roman"/>
      </rPr>
      <t xml:space="preserve"> 2025</t>
    </r>
  </si>
  <si>
    <t>Description of this workbook:</t>
  </si>
  <si>
    <t>The risk calculator workbook contains the following spreadsheets: Dashboard, RR, Inhalation Exposure, Dermal Crosswalk, Dermal Exposure, Exposure Factors, Hazard Values, and List Values. The workbook is designed such that the user need only to use the first two spreadsheets which have tabs colored green and contain the results of the risk calculator i.e. the Dashboard and the RR. The remaining spreadsheets contain data storage and calculation spreadsheets.</t>
  </si>
  <si>
    <t>Worksheet</t>
  </si>
  <si>
    <t>Description</t>
  </si>
  <si>
    <t>Calculation Summary</t>
  </si>
  <si>
    <t>An overview of the inhalation and dermal equations utilized to estimate the acute-; intermediate-; chronic, non-cancer-; and chronic, cancer-dose of each Occupational Exposure Scenario (OES) from an estimated concentration or dose to workers and ONUs.</t>
  </si>
  <si>
    <t>Dashboard</t>
  </si>
  <si>
    <t>The Dashboard is an interactive spreadsheet that allows a user to view exposure results for a selected OES and with a single PPE option of their choosing (i.e. respirator APF or Glove Protection Factor PF). The user can select the desired OES, PPE options and for dermal exposures the worker type (either an average adult or a female of reproductive age) from a drop-down menu. The exposure estimates are shown in the “Exposure Outputs” section for both inhalation and dermal routes and for high-end and central tendency exposures. For inhalation exposures the columns show results for both worker and ONU exposures. The “Risk Estimation” sections are separated into acute, chronic non-cancer and cancer sections. For each section there is a brief description of the hazard endpoint and the hazard value i.e. HEC for non-cancer effects from inhalation exposure, HED for non-cancer effects from dermal exposure or a slope factor for cancer and the benchmark MOEs or benchmark values for cancer risk are provided to the right of the hazard value. The risk estimations show two columns of risk estimates: one column for exposures without PPE and one column for the results of the user-selected PPE option. These two columns allow the user to compare with and without PPE results side-by-side. The Dashboard automatically shades the cancer risk and MOE cells when they exceed the cancer benchmark or the benchmark MOE value.</t>
  </si>
  <si>
    <t>RR</t>
  </si>
  <si>
    <t>The RR spreadsheet is an expanded version of the Dashboard. Similar to the Dashboard the RR allows the user to select a OES. However, the user also selected to see results for a worker or ONU and instead of requiring a user to select a single exposure reduction option, the Heat Map displays all the PPE options. The RR spreadsheet has a column each for no PPE and each PPE option (i.e. APF or PF). The RR spreadsheet has a row for each toxicity endpoint, and each row shows the cancer risk or MOE values. Similar to the Dashboard, the RR spreadsheet shades results if the MOE or cancer risk exceeds the benchmark MOE or cancer benchmark.</t>
  </si>
  <si>
    <t>Aggregate RR</t>
  </si>
  <si>
    <t>The Aggregate RR spreadsheet is an expanded version of the Aggregate section of the Dashboard.  Similar to the Dashboard the RR allows the user to select a OES. However, the user also selected to see results for a worker or ONU and instead of requiring a user to select a single exposure reduction option, the Heat Map displays all the PPE options. The RR spreadsheet has a column each for no PPE and each PPE option (i.e. APF or PF). The RR spreadsheet has a row for each toxicity endpoint, and each row shows the cancer risk or MOE values. Similar to the Dashboard, the RR spreadsheet shades results if the MOE or cancer risk exceeds the benchmark MOE or cancer benchmark.</t>
  </si>
  <si>
    <t>Exposure Results,
Dermal Exposure, 
Exposure Factors, 
Hazard Values, and 
List Values</t>
  </si>
  <si>
    <t>As described above the remaining spreadsheets are data storage and calculation spreadsheets. These worksheets store the exposure estimates, health values and store some of the risk calculations. The user does not need to access these worksheets to use the Dashboard and RR spreadsheets as described above; all results are automatically loaded into the Dashboard and RR spreadsheets.</t>
  </si>
  <si>
    <t>Equations and Calculations Used for Risk Calculator</t>
  </si>
  <si>
    <t>Exposure Type</t>
  </si>
  <si>
    <t>Equation</t>
  </si>
  <si>
    <t>Equation Parameters</t>
  </si>
  <si>
    <r>
      <t>Inhalation Exposure Calculations</t>
    </r>
    <r>
      <rPr>
        <b/>
        <vertAlign val="superscript"/>
        <sz val="10"/>
        <color theme="1"/>
        <rFont val="Times New Roman"/>
        <family val="1"/>
      </rPr>
      <t>a</t>
    </r>
  </si>
  <si>
    <t>Acute Dose (AD) (mg/kg/day)</t>
  </si>
  <si>
    <t>AD = 8-hr TWA Concentration x ED x BR / BW</t>
  </si>
  <si>
    <r>
      <t>- ED = 8 hr/day
- BR = Breathing Rate (worker): 1.25 m</t>
    </r>
    <r>
      <rPr>
        <vertAlign val="superscript"/>
        <sz val="10"/>
        <color theme="1"/>
        <rFont val="Times New Roman"/>
        <family val="1"/>
      </rPr>
      <t>3</t>
    </r>
    <r>
      <rPr>
        <sz val="10"/>
        <color theme="1"/>
        <rFont val="Times New Roman"/>
        <family val="1"/>
      </rPr>
      <t>/hr
- BW = Body weight: 80 kg (average adult worker), 72.4 kg (woman of childbearing age)</t>
    </r>
  </si>
  <si>
    <t>Intermediate Average Daily Dose (IADD)(mg/kg/day)</t>
  </si>
  <si>
    <t>IADD = 8-hr TWA concentration x ED x BR x EFint/ (BW x ID)</t>
  </si>
  <si>
    <t>- ED = 8 hr/day
- BR = Breathing Rate (worker): 1.25 m3/hr
- BW = Body weight: 80 kg (average adult worker), 72.4 kg (woman of childbearing age)
- EFint = The exposure days in the numerator will typically be 22 days/yr when the total exposure days/yr is &gt;22 days/yr or equal to the total exposure days/yr if the total is &lt;22 days/yr. This maximizes the number of exposure days in the Intermediate timeframe, accounting for days off.  However, we may adjust this approach if we have specific information about the OES. For example, if we know that facilities operate using a single, week-long campaign, once per month (i.e., 7 days/month x 12 months). In this case, we would use 7 days for the Intermediate exposure days.
- ID = 30 days</t>
  </si>
  <si>
    <t>Chronic Average Daily Dose (ADD)(mg/kg/day)</t>
  </si>
  <si>
    <t>ADD = 8-hr TWA concentration x ED x BR  x EF x WY/ (BW x 365days/yr x WY)</t>
  </si>
  <si>
    <t>- ED = 8 hr/day
- BR = Breathing Rate (worker): 1.25 m3/hr
- BW = Body weight: 80 kg (average adult worker), 72.4 kg (woman of childbearing age)
- EF = 2 to 250 days depending on OES
- WY = 31 (central tendency) to 40 yr (high-end)</t>
  </si>
  <si>
    <t>Lifetime Average Daily Dose (LADD)(mg/kg/day)</t>
  </si>
  <si>
    <t>LADD = 8-hr TWA concentration x ED x BR  x EF x WY/ (BW x 365days/yr x LT)</t>
  </si>
  <si>
    <t>- ED = 8 hr/day
- BR = Breathing Rate (worker): 1.25 m3/hr
- BW = Body weight: 80 kg (average adult worker), 72.4 kg (woman of childbearing age)
- EF = 2 to 250 days depending on OES
- WY = 31 (central tendency) to 40 yr (high-end)
- LT = Lifetime (78 years)</t>
  </si>
  <si>
    <t>Inhalation Exposure Risk Calculations</t>
  </si>
  <si>
    <t>Human Equivalent Dose (HED) (mg/kg)</t>
  </si>
  <si>
    <t>see Health Data tab</t>
  </si>
  <si>
    <t>Benchmark Margin of Exposure (MOE) (unitless)</t>
  </si>
  <si>
    <t>Acute MOE (unitless)</t>
  </si>
  <si>
    <t>HED / AD</t>
  </si>
  <si>
    <t>The calculated MOE is then compared with the Benchmark MOE; if the calculated MOE is less than the benchmark MOE then there is risk.</t>
  </si>
  <si>
    <t>Intermediate MOE (unitless)</t>
  </si>
  <si>
    <t>HED / IADD</t>
  </si>
  <si>
    <t>Chronic, Non-Cancer MOE (unitless)</t>
  </si>
  <si>
    <t>HED / ADD</t>
  </si>
  <si>
    <t>Chronic, Cancer MOE (unitless)</t>
  </si>
  <si>
    <t>HED * LADD</t>
  </si>
  <si>
    <t>The calculated MOE is then compared with the Benchmark MOE; if the calculated MOE is greater than the benchmark MOE then there is risk.</t>
  </si>
  <si>
    <t>Dermal Exposures</t>
  </si>
  <si>
    <t>AD = APDR / BW</t>
  </si>
  <si>
    <t xml:space="preserve"> - AD	= Acute retained dose (mg/kg-day)
 - APDR	= Acute potential dose rate (mg/day)
 - BW	= Body weight (kg)</t>
  </si>
  <si>
    <t>Intermediate Daily Dose (IADD)(mg/kg/day)</t>
  </si>
  <si>
    <r>
      <t>IADD = APDR x EF</t>
    </r>
    <r>
      <rPr>
        <vertAlign val="subscript"/>
        <sz val="10"/>
        <color theme="1"/>
        <rFont val="Times New Roman"/>
        <family val="1"/>
      </rPr>
      <t>int</t>
    </r>
    <r>
      <rPr>
        <sz val="10"/>
        <color theme="1"/>
        <rFont val="Times New Roman"/>
        <family val="1"/>
      </rPr>
      <t xml:space="preserve"> / BW x ID</t>
    </r>
  </si>
  <si>
    <t>- APDR	= Acute potential dose rate (mg/day)
-  EFint = The exposure days in the numerator will typically be 22 days/yr when the total exposure days/yr is &gt;22 days/yr or equal to the total exposure days/yr if the total is &lt;22 days/yr. This maximizes the number of exposure days in the Intermediate timeframe, accounting for days off.  However, we may adjust this approach if we have specific information about the OES. For example, if we know that facilities operate using a single, week-long campaign, once per month (i.e., 7 days/month x 12 months). In this case, we would use 7 days for the Intermediate exposure days.
- ID = 30 days
- BW = Body weight: 80 kg (average adult worker), 72.4 kg (woman of childbearing age)
- IADD	=	Intermediate average daily dose (mg/kg-day)</t>
  </si>
  <si>
    <t>ADD = APDR x EF x WY/ (BW x 365days/yr x WY)</t>
  </si>
  <si>
    <t>-APDR = Acute potential dose rate (mg/day)
- BW = Body weight: 80 kg (average adult worker), 72.4 kg (woman of childbearing age)
- EF = 2 to 250 days depending on OES
- WY = 31 (central tendency) to 40 yr (high-end)</t>
  </si>
  <si>
    <t>LADD = APDR x EF x WY/ (BW x 365days/yr x LT)</t>
  </si>
  <si>
    <t>-APDR = Acute potential dose rate (mg/day)
- BW = Body weight: 80 kg (average adult worker), 72.4 kg (woman of childbearing age)
- EF = 2 to 250 days depending on OES
- WY = 31 (central tendency) to 40 yr (high-end)
- LT = Lifetime (78 years)</t>
  </si>
  <si>
    <t>Dermal Exposure Risk Calculations</t>
  </si>
  <si>
    <t>HED / ARD</t>
  </si>
  <si>
    <t>HED / SCRD</t>
  </si>
  <si>
    <t>HED / CRD (non-cancer)</t>
  </si>
  <si>
    <t>HED * CRD (cancer)</t>
  </si>
  <si>
    <t>Occupational Exposure Scenario</t>
  </si>
  <si>
    <t>Inhalation Exposure</t>
  </si>
  <si>
    <t>Personal Protective Equipment (PPE)</t>
  </si>
  <si>
    <t>Dermal</t>
  </si>
  <si>
    <t>Select the Occupational Exposure Scenario (select)</t>
  </si>
  <si>
    <t>Data Type
(Auto-Fill)</t>
  </si>
  <si>
    <t>Respirator Protection Factor (Select)</t>
  </si>
  <si>
    <t>Glove Protection Factor (Select)</t>
  </si>
  <si>
    <t>Worker Type
(Default)</t>
  </si>
  <si>
    <t>Plastic Converting</t>
  </si>
  <si>
    <t>Average Adult Worker</t>
  </si>
  <si>
    <t>Inhalation</t>
  </si>
  <si>
    <t>Aggregate Inhalation and Dermal</t>
  </si>
  <si>
    <t>Exposure Outputs</t>
  </si>
  <si>
    <t>Category</t>
  </si>
  <si>
    <t>Exposure Level</t>
  </si>
  <si>
    <t>Acute Dose</t>
  </si>
  <si>
    <t>Intermediate, Non-Cancer Exposures</t>
  </si>
  <si>
    <t>Average Daily Dose, Chronic Non-Cancer Exposures</t>
  </si>
  <si>
    <t>Lifetime Average Daily Dose, Cancer</t>
  </si>
  <si>
    <t>Intermediate Average Daily Dose</t>
  </si>
  <si>
    <t>AD (mg/kg/day)</t>
  </si>
  <si>
    <t>IADD (mg/kg/day)</t>
  </si>
  <si>
    <t>ADD (mg/kg/day)</t>
  </si>
  <si>
    <t>LADD (mg/kg/day)</t>
  </si>
  <si>
    <t>ADD, non-cancer (mg/kg/day)</t>
  </si>
  <si>
    <t>LADD, cancer (mg/kg/day)</t>
  </si>
  <si>
    <t>AD ((mg/kg/day))</t>
  </si>
  <si>
    <t>High-End</t>
  </si>
  <si>
    <t>Central Tendency</t>
  </si>
  <si>
    <t>ONU</t>
  </si>
  <si>
    <t>Risk Estimation for Acute, Non-Cancer Inhalation Exposures</t>
  </si>
  <si>
    <t>Risk Estimation for Acute, Non-Cancer Dermal Exposures</t>
  </si>
  <si>
    <t>Risk Estimation for Acute, Non-Cancer Aggregate Exposures</t>
  </si>
  <si>
    <t>Health Effect, Endpoint and Study</t>
  </si>
  <si>
    <t>POD (mg/kg/day)</t>
  </si>
  <si>
    <t>Benchmark MOE 
(= Total UF)</t>
  </si>
  <si>
    <t>Acute Exposure Estimates</t>
  </si>
  <si>
    <t>Gloved Scenarios</t>
  </si>
  <si>
    <t>Respirator and Glove Scenario</t>
  </si>
  <si>
    <t>Worker MOE</t>
  </si>
  <si>
    <t>ONU MOE</t>
  </si>
  <si>
    <t>Worker MOE, No Gloves</t>
  </si>
  <si>
    <t>ONU MOE, No Gloves</t>
  </si>
  <si>
    <t>Tox1</t>
  </si>
  <si>
    <t>Risk Estimation for Intermediate, Non-Cancer Inhalation Exposures</t>
  </si>
  <si>
    <t>Risk Estimation for Intermediate, Non-Cancer Dermal Exposures</t>
  </si>
  <si>
    <t>Risk Estimation for Intermediate, Non-Cancer Aggregate Exposures</t>
  </si>
  <si>
    <t>Intermediate Exposure Estimates</t>
  </si>
  <si>
    <t>Tox2</t>
  </si>
  <si>
    <t>Risk Estimation for Chronic, Non-Cancer Inhalation Exposures</t>
  </si>
  <si>
    <t>Risk Estimation for Chronic, Non-Cancer Dermal Exposures</t>
  </si>
  <si>
    <t>Risk Estimation for Chronic, Non-Cancer Aggregate Exposures</t>
  </si>
  <si>
    <t>Chronic Exposure Estimates</t>
  </si>
  <si>
    <t>HED (mg/kg)</t>
  </si>
  <si>
    <t>Tox3</t>
  </si>
  <si>
    <t>Cancer Risks</t>
  </si>
  <si>
    <t>Chronic Cancer Exposure Estimates</t>
  </si>
  <si>
    <t>Aggregate Cancer Risks</t>
  </si>
  <si>
    <t>Risk Estimate</t>
  </si>
  <si>
    <r>
      <t>CSF (mg/kg-day</t>
    </r>
    <r>
      <rPr>
        <b/>
        <vertAlign val="superscript"/>
        <sz val="10"/>
        <color theme="1"/>
        <rFont val="Times New Roman"/>
        <family val="1"/>
      </rPr>
      <t>-1</t>
    </r>
    <r>
      <rPr>
        <b/>
        <sz val="10"/>
        <color theme="1"/>
        <rFont val="Times New Roman"/>
        <family val="1"/>
      </rPr>
      <t>)</t>
    </r>
  </si>
  <si>
    <t>Benchmark</t>
  </si>
  <si>
    <t xml:space="preserve">Worker </t>
  </si>
  <si>
    <t xml:space="preserve">ONU </t>
  </si>
  <si>
    <t>Worker No Gloves</t>
  </si>
  <si>
    <t>ONU No Gloves</t>
  </si>
  <si>
    <t>Worker</t>
  </si>
  <si>
    <t>Tox4</t>
  </si>
  <si>
    <t>Inhalation Cancer Risk Estimates</t>
  </si>
  <si>
    <t>Cancer Risk</t>
  </si>
  <si>
    <t>Dermal Cancer Risk Estimates</t>
  </si>
  <si>
    <t>Aggregate Cancer Risk Estimates</t>
  </si>
  <si>
    <t>ONU: 50th Percentile</t>
  </si>
  <si>
    <t>Baseline Worker</t>
  </si>
  <si>
    <t>ONU: 95th Percentile</t>
  </si>
  <si>
    <t>Worker: 50th Percentile</t>
  </si>
  <si>
    <t>Worker: 95th Percentile</t>
  </si>
  <si>
    <t>8-hr TWA Inhalation Exposures</t>
  </si>
  <si>
    <t>Rubber Product Manufacturing</t>
  </si>
  <si>
    <t>Worker Type</t>
  </si>
  <si>
    <t>Acute Exposures</t>
  </si>
  <si>
    <t>Chronic, Non-Cancer Exposures</t>
  </si>
  <si>
    <t>Chronic, Cancer Exposures</t>
  </si>
  <si>
    <t>AD, 24-hr TWA (mg/kg/day)</t>
  </si>
  <si>
    <t>ADD, 24-hr TWA (mg/kg/day)</t>
  </si>
  <si>
    <t>LADD, 24-hr TWA (mg/kg/day)</t>
  </si>
  <si>
    <t>Acute Retained Dose</t>
  </si>
  <si>
    <t>Chronic Retained Dose, Non-Cancer</t>
  </si>
  <si>
    <t>Chronic Retained Dose, Cancer</t>
  </si>
  <si>
    <t>AD (mg/kg-day)</t>
  </si>
  <si>
    <t>ADD (mg/kg-day)</t>
  </si>
  <si>
    <t>LADD (mg/kg-day)</t>
  </si>
  <si>
    <t>Risk Estimation for Aggregate Exposures</t>
  </si>
  <si>
    <t>Risk Type</t>
  </si>
  <si>
    <t>Toxicity Endpoint</t>
  </si>
  <si>
    <t>Study</t>
  </si>
  <si>
    <t>Glove Protection Factor</t>
  </si>
  <si>
    <t>No Respirator</t>
  </si>
  <si>
    <t>Respirator Assigned Protection Factors</t>
  </si>
  <si>
    <t>Acute, Non-Cancer</t>
  </si>
  <si>
    <t>No Gloves</t>
  </si>
  <si>
    <t>Intermediate, Non-Cancer</t>
  </si>
  <si>
    <t>Chronic, Non-Cancer</t>
  </si>
  <si>
    <t>Chronic, Cancer</t>
  </si>
  <si>
    <t>=</t>
  </si>
  <si>
    <t>Risk Estimation for Inhalation Exposures</t>
  </si>
  <si>
    <t>Risk Estimation for Dermal Exposures</t>
  </si>
  <si>
    <t>POD (mg/kg/day) or IUR (ppm-1)</t>
  </si>
  <si>
    <t>Assigned Protection Factor (APF)</t>
  </si>
  <si>
    <t>Protection Factor (PF)</t>
  </si>
  <si>
    <t>Exposure Days/yr</t>
  </si>
  <si>
    <t>Eight Hour  TWA Exposures - Total Exposure</t>
  </si>
  <si>
    <t>Eight Hour  TWA Exposures - Particulate Exposure Only</t>
  </si>
  <si>
    <t>Chronic Average Daily Dose, Non-Cancer Exposures</t>
  </si>
  <si>
    <t>Chronic Lifetime Average Daily Dose, Cancer Exposures</t>
  </si>
  <si>
    <r>
      <t>C, 8-hr TWA (mg/m</t>
    </r>
    <r>
      <rPr>
        <b/>
        <vertAlign val="superscript"/>
        <sz val="10"/>
        <rFont val="Times New Roman"/>
        <family val="1"/>
      </rPr>
      <t>3</t>
    </r>
    <r>
      <rPr>
        <b/>
        <sz val="10"/>
        <rFont val="Times New Roman"/>
        <family val="1"/>
      </rPr>
      <t>)</t>
    </r>
  </si>
  <si>
    <t>Column1</t>
  </si>
  <si>
    <t>OES</t>
  </si>
  <si>
    <t>Vapor Exposure Scenario</t>
  </si>
  <si>
    <t>ED_High-End</t>
  </si>
  <si>
    <t>ED_Central Tendency</t>
  </si>
  <si>
    <t>TWA_High-End</t>
  </si>
  <si>
    <t>TWA_Central Tendency</t>
  </si>
  <si>
    <t>Dust_High-End</t>
  </si>
  <si>
    <t>Dust_Central Tendency</t>
  </si>
  <si>
    <t>24hr_High-End</t>
  </si>
  <si>
    <t>24hr_Central Tendency</t>
  </si>
  <si>
    <t>Int_High-End</t>
  </si>
  <si>
    <t>Int_Central Tendency</t>
  </si>
  <si>
    <t>ADD_High-End</t>
  </si>
  <si>
    <t>ADD_Central Tendency</t>
  </si>
  <si>
    <t>LADD_High-End</t>
  </si>
  <si>
    <t>LADD_Central Tendency</t>
  </si>
  <si>
    <t>Eight-Hour TWA Data Points</t>
  </si>
  <si>
    <t>Total Data Points</t>
  </si>
  <si>
    <t>Sources &amp; Notes</t>
  </si>
  <si>
    <t>Data Type</t>
  </si>
  <si>
    <t>Manufacturing</t>
  </si>
  <si>
    <t>8-hr</t>
  </si>
  <si>
    <t>None</t>
  </si>
  <si>
    <t>Due to the high concentrations of some ONU samples in the manufacturing OES, all ONU samples were deemed unrepresentative of ONU exposures and were re-classified as worker samples.</t>
  </si>
  <si>
    <t>Monitoring Data</t>
  </si>
  <si>
    <t>Female of Reproductive Age</t>
  </si>
  <si>
    <t>Adjusted to female worker exposure by using female avg. body weight.</t>
  </si>
  <si>
    <t>No monitoring data available for ONUs. EPA used worker central tendency exposure results as a surrogate to estimate 8-hr TWA exposures for ONUs.</t>
  </si>
  <si>
    <t xml:space="preserve"> </t>
  </si>
  <si>
    <t>Import and Repackaging</t>
  </si>
  <si>
    <t>Due to limited information on worker activities and similarities in exposure profiles between job activities with monitoring data, EPA categorized all inhalation monitoring data as worker exposure data.</t>
  </si>
  <si>
    <t>Incorporation into Formulation, Mixture, or Reaction Product</t>
  </si>
  <si>
    <t>Uses Manufacturing data as surrogate data.</t>
  </si>
  <si>
    <t>Plastic Compounding</t>
  </si>
  <si>
    <r>
      <t xml:space="preserve">Used PBZ data from Vinyl Institute (Teknor) public comment, </t>
    </r>
    <r>
      <rPr>
        <sz val="10"/>
        <rFont val="Times New Roman"/>
        <family val="1"/>
      </rPr>
      <t>HERO ID 13028213</t>
    </r>
    <r>
      <rPr>
        <sz val="10"/>
        <color theme="1"/>
        <rFont val="Times New Roman"/>
        <family val="1"/>
      </rPr>
      <t xml:space="preserve">.  The single highest plastic compounding exposure value from the Vinyl Institute data was used for both the central tendency and high-end estimate.  </t>
    </r>
  </si>
  <si>
    <t xml:space="preserve">Worker CT was used as the ONU CT and HE value. </t>
  </si>
  <si>
    <r>
      <t xml:space="preserve">Used PBZ data from Vinyl Institute (Teknor) public comment, </t>
    </r>
    <r>
      <rPr>
        <sz val="10"/>
        <rFont val="Times New Roman"/>
        <family val="1"/>
      </rPr>
      <t>HERO ID 13028213</t>
    </r>
    <r>
      <rPr>
        <sz val="10"/>
        <color theme="1"/>
        <rFont val="Times New Roman"/>
        <family val="1"/>
      </rPr>
      <t xml:space="preserve">.  The single highest plastic converting exposure value from the Vinyl Institute data was used for both the central tendency and high-end estimate.  </t>
    </r>
  </si>
  <si>
    <t xml:space="preserve">Due to the limited data available, calculated the 95th and 50th percentile based on discrete mean samples with six unknown sample types and one area sample. </t>
  </si>
  <si>
    <t>Spray Application of Paints, Coatings, Adhesives, and Sealants</t>
  </si>
  <si>
    <t xml:space="preserve">8-hr TWA concentrations were derived from the Spray Mist model due to the lack of available monitoring data for this OES. </t>
  </si>
  <si>
    <t>Modeled Data</t>
  </si>
  <si>
    <t>Central Tendancy of Worker used  for ONU bounding exposure.</t>
  </si>
  <si>
    <t>Non-Spray Application of Paints, Coatings, Adhesives, and Sealants</t>
  </si>
  <si>
    <t xml:space="preserve">Surrogate monitoring data from Rubber Product Manufacturing. Due to the limited data available, calculated the 95th and 50th percentile based on discrete mean samples with six unknown sample types and one area sample. </t>
  </si>
  <si>
    <t>Use of Dyes, Pigments, and Fixing Agents</t>
  </si>
  <si>
    <t>Uses Non-Spray Application of Paints, Coatings, Adhesives, and Sealants data as surrogate data.</t>
  </si>
  <si>
    <t>Use of Automotive Care Products</t>
  </si>
  <si>
    <t xml:space="preserve">Due to limited data available, used full-shift TWA sample with unknown sample duration for the 8-hr TWA calculation. Used maximum as discrete value as no mean was given and used midpoint as central tendancy. </t>
  </si>
  <si>
    <t xml:space="preserve">No monitoring data available for ONUs. EPA used an OSHA area sample for both high-end and central tendency calculations. </t>
  </si>
  <si>
    <t>Textile Finishing</t>
  </si>
  <si>
    <t>8-hr TWA concentrations were derived from PNOR data for NAICS 313-314 (Textile Manufacturing) due to the lack of available monitoring data for this OES. Concentration of total particulates and the maximum chemical concentration in textile finishing products was used.</t>
  </si>
  <si>
    <t>Formulation for Diffusion Bonding</t>
  </si>
  <si>
    <t>Use in Hydraulic Fracturing</t>
  </si>
  <si>
    <t>Use of Laboratory Chemicals</t>
  </si>
  <si>
    <t xml:space="preserve">Due to limited data available, used PBZ and area sample with unknown sample duration for 8-hr TWA calculation. Used PBZ sample for central tendancy, and maximum reported result from area sample as high-end. </t>
  </si>
  <si>
    <t>Central Tendency of Worker used  for ONU bounding exposure.</t>
  </si>
  <si>
    <t>Recycling</t>
  </si>
  <si>
    <t>Uses Plastic Converting data as surrogate data.</t>
  </si>
  <si>
    <t>Fabrication or Use of Final Products and Articles</t>
  </si>
  <si>
    <t xml:space="preserve">Due to the lack of discrete TWA data, samples with the same Inspection #-Establishment Name-Sampling # were combined from the OSHA CEHD data and an 8-hr TWA was calculated in cases where the sum of sampling time was 3 hours or greater. This assumption was made assuming workers are exposed to DEHP for 3 hours during their shift only. High-end exposure represents the 95th percentile and central tendency represents the 50th percentile exposure value. </t>
  </si>
  <si>
    <t>Waste handling, treatment, and disposal</t>
  </si>
  <si>
    <t>8-hr TWA concentrations were derived from PNOR data for NAICS 56 (Administrative and Support and Waste Management and Remediation Services) due to the lack of available monitoring data for this OES. Concentration of total particulates and the maximum chemical concentration in plastic products was used.</t>
  </si>
  <si>
    <t>Dermal Dose - Liquid Exposure</t>
  </si>
  <si>
    <t>Dermal Dose - Solid Exposure</t>
  </si>
  <si>
    <t>Acute Retained Dose - Adjusted for Category Type</t>
  </si>
  <si>
    <t>Intermediate Average Daily Dose, Non-Cancer</t>
  </si>
  <si>
    <t>Average Daily Dose, Chronic Non-Cancer</t>
  </si>
  <si>
    <t>Lifetime Average Daily Dose, Chronic Cancer</t>
  </si>
  <si>
    <t>Acute Potential Dose Rate (mg/day)</t>
  </si>
  <si>
    <t>sort</t>
  </si>
  <si>
    <t>High-End Exposure to Liquid</t>
  </si>
  <si>
    <t xml:space="preserve"> Central Tendency Exposure to Liquids</t>
  </si>
  <si>
    <t>High-End Exposure to Solids</t>
  </si>
  <si>
    <t>Central Tendency  Exposure to Solids</t>
  </si>
  <si>
    <t>High-End AD (mg/kg-day)</t>
  </si>
  <si>
    <t>Central Tendency AD (mg/kg-day)</t>
  </si>
  <si>
    <r>
      <t>High-End IADD</t>
    </r>
    <r>
      <rPr>
        <b/>
        <vertAlign val="subscript"/>
        <sz val="10"/>
        <rFont val="Times New Roman"/>
        <family val="1"/>
      </rPr>
      <t xml:space="preserve"> </t>
    </r>
    <r>
      <rPr>
        <b/>
        <sz val="10"/>
        <rFont val="Times New Roman"/>
        <family val="1"/>
      </rPr>
      <t>(mg/kg-day)</t>
    </r>
  </si>
  <si>
    <t>Central Tendency IADD (mg/kg-day)</t>
  </si>
  <si>
    <t>High-End ADD (mg/kg-day)</t>
  </si>
  <si>
    <t>Central Tendency ADD (mg/kg-day)</t>
  </si>
  <si>
    <t>High-End LADD (mg/kg-day)</t>
  </si>
  <si>
    <t>Central Tendency LADD (mg/kg-day)</t>
  </si>
  <si>
    <t>Population</t>
  </si>
  <si>
    <t>Inhalation Exposure Estimates</t>
  </si>
  <si>
    <t>Dermal Exposure Estimates</t>
  </si>
  <si>
    <t>Aggregate Exposure Estimates</t>
  </si>
  <si>
    <t>Inhalation Risk Estimates</t>
  </si>
  <si>
    <t>Dermal Risk Estimates (Benchmark MOE = 30)</t>
  </si>
  <si>
    <t>Aggregate Risk Estimates (Benchmark MOE = 30)</t>
  </si>
  <si>
    <t>Benchmark:</t>
  </si>
  <si>
    <t>N/A</t>
  </si>
  <si>
    <t>POD</t>
  </si>
  <si>
    <t>Acute</t>
  </si>
  <si>
    <t>Intermed.</t>
  </si>
  <si>
    <r>
      <t>Chroni</t>
    </r>
    <r>
      <rPr>
        <sz val="9.5"/>
        <color rgb="FF000000"/>
        <rFont val="Times New Roman"/>
        <family val="1"/>
      </rPr>
      <t>c</t>
    </r>
  </si>
  <si>
    <t>Cancer</t>
  </si>
  <si>
    <t>Exposure</t>
  </si>
  <si>
    <t>8-hr/10-hr TWA - Total Exposure</t>
  </si>
  <si>
    <t>8-hr TWA - Particulate Only Exposure</t>
  </si>
  <si>
    <t>Daily Dose: mg/day</t>
  </si>
  <si>
    <t>Worker Population</t>
  </si>
  <si>
    <t>Exposure Concentration Type</t>
  </si>
  <si>
    <r>
      <t>High-End</t>
    </r>
    <r>
      <rPr>
        <sz val="11"/>
        <color rgb="FF000000"/>
        <rFont val="Times New Roman"/>
        <family val="1"/>
      </rPr>
      <t> </t>
    </r>
  </si>
  <si>
    <t>8-hr TWA Exposure Concentration (mg/m3) - Mist</t>
  </si>
  <si>
    <t>Dose Rate (APDR, mg/day)</t>
  </si>
  <si>
    <t>Acute (AD, mg/kg-day)</t>
  </si>
  <si>
    <t>8-hr TWA Exposure Concentration (mg/m3) - dust</t>
  </si>
  <si>
    <t>Intermediate (IADD, mg/kg-day)</t>
  </si>
  <si>
    <t>Chronic, Non-Cancer (ADD, mg/kg-day)</t>
  </si>
  <si>
    <t>Chronic, Cancer (LADD, mg/kg-day)</t>
  </si>
  <si>
    <r>
      <t>8-hr TWA Exposure Concentration (mg/m</t>
    </r>
    <r>
      <rPr>
        <vertAlign val="superscript"/>
        <sz val="11"/>
        <color theme="1"/>
        <rFont val="Times New Roman"/>
        <family val="1"/>
      </rPr>
      <t>3</t>
    </r>
    <r>
      <rPr>
        <sz val="11"/>
        <color theme="1"/>
        <rFont val="Times New Roman"/>
        <family val="1"/>
      </rPr>
      <t>)</t>
    </r>
  </si>
  <si>
    <r>
      <t>Intermediate Average Daily Dose, Non-Cancer Exposures (IADD) (mg/m</t>
    </r>
    <r>
      <rPr>
        <vertAlign val="superscript"/>
        <sz val="11"/>
        <color theme="1"/>
        <rFont val="Times New Roman"/>
        <family val="1"/>
      </rPr>
      <t>3</t>
    </r>
    <r>
      <rPr>
        <sz val="11"/>
        <color theme="1"/>
        <rFont val="Times New Roman"/>
        <family val="1"/>
      </rPr>
      <t>)</t>
    </r>
  </si>
  <si>
    <t>Chronic Average Daily Dose, Non-Cancer Exposures (ADD) (mg/kg/day)</t>
  </si>
  <si>
    <t>Chronic Lifetime Daily Dose, Cancer Exposures (LADD) (mg/kg/day)</t>
  </si>
  <si>
    <t>Look-up Values and Risk Parameter Values</t>
  </si>
  <si>
    <t>AEGL Table</t>
  </si>
  <si>
    <t>AEGL-1</t>
  </si>
  <si>
    <t>AEGL-2</t>
  </si>
  <si>
    <t>AEGL-3</t>
  </si>
  <si>
    <t>Look-up Table Values</t>
  </si>
  <si>
    <t>Code</t>
  </si>
  <si>
    <t>AEGL-1 HEC (mg/m3)</t>
  </si>
  <si>
    <t>AEGL-1 HEC (ppm)</t>
  </si>
  <si>
    <t>AEGL-2 HEC (mg/m3)</t>
  </si>
  <si>
    <t>AEGL-2 HEC (ppm)</t>
  </si>
  <si>
    <t>AEGL-3 HEC (mg/m3)</t>
  </si>
  <si>
    <t>AEGL-3 HEC (ppm)</t>
  </si>
  <si>
    <t>HEC Percentiles</t>
  </si>
  <si>
    <t>Exposure Percentiles</t>
  </si>
  <si>
    <t>Target Cancer Risk Level</t>
  </si>
  <si>
    <t>AEGLs</t>
  </si>
  <si>
    <t>Unknown</t>
  </si>
  <si>
    <t>Maximum</t>
  </si>
  <si>
    <t>99th Percentile</t>
  </si>
  <si>
    <t>HEC</t>
  </si>
  <si>
    <t>95th Percentile</t>
  </si>
  <si>
    <t>50th Percentile</t>
  </si>
  <si>
    <t>Toxicity Table</t>
  </si>
  <si>
    <t>Acute and Chronic, Non-Cancer Parameters</t>
  </si>
  <si>
    <t>Cancer Parameters</t>
  </si>
  <si>
    <t>5th Percentile</t>
  </si>
  <si>
    <t>Health Effect</t>
  </si>
  <si>
    <t>Endpoint</t>
  </si>
  <si>
    <t>HEC (mg/m3)</t>
  </si>
  <si>
    <t>HEC (ppm)</t>
  </si>
  <si>
    <t>HED / POD (mg/kg/day)</t>
  </si>
  <si>
    <t>Benchmark MOE</t>
  </si>
  <si>
    <r>
      <t>IUR (ppm</t>
    </r>
    <r>
      <rPr>
        <b/>
        <vertAlign val="superscript"/>
        <sz val="10"/>
        <rFont val="Times New Roman"/>
        <family val="1"/>
      </rPr>
      <t>-1</t>
    </r>
    <r>
      <rPr>
        <b/>
        <sz val="10"/>
        <rFont val="Times New Roman"/>
        <family val="1"/>
      </rPr>
      <t>)</t>
    </r>
  </si>
  <si>
    <r>
      <t>CSF (mg/kg-day</t>
    </r>
    <r>
      <rPr>
        <b/>
        <vertAlign val="superscript"/>
        <sz val="10"/>
        <rFont val="Times New Roman"/>
        <family val="1"/>
      </rPr>
      <t>-1</t>
    </r>
    <r>
      <rPr>
        <b/>
        <sz val="10"/>
        <rFont val="Times New Roman"/>
        <family val="1"/>
      </rPr>
      <t>)</t>
    </r>
  </si>
  <si>
    <t>Minimum</t>
  </si>
  <si>
    <t>Phthalate syndrome-related effects</t>
  </si>
  <si>
    <t>--</t>
  </si>
  <si>
    <t>Mean</t>
  </si>
  <si>
    <t>HEC conversion factor</t>
  </si>
  <si>
    <r>
      <t>ppm/mg/m</t>
    </r>
    <r>
      <rPr>
        <vertAlign val="superscript"/>
        <sz val="10"/>
        <color theme="1"/>
        <rFont val="Times New Roman"/>
        <family val="1"/>
      </rPr>
      <t>3</t>
    </r>
  </si>
  <si>
    <t>DEHP MW</t>
  </si>
  <si>
    <t>g/mol</t>
  </si>
  <si>
    <t>Draft Acute Non-cancer</t>
  </si>
  <si>
    <t>Draft Intermediate Non-Cancer</t>
  </si>
  <si>
    <t>Draft Chronic Non-Cancer</t>
  </si>
  <si>
    <t>Occupational Exposure Scenarios</t>
  </si>
  <si>
    <t>Exposure Data Types</t>
  </si>
  <si>
    <t>Manufacturing - 8-hr TWA</t>
  </si>
  <si>
    <t>1a</t>
  </si>
  <si>
    <t>Manufacturing - 12-hr TWA</t>
  </si>
  <si>
    <t>1b</t>
  </si>
  <si>
    <t>Parameter Name</t>
  </si>
  <si>
    <t>Symbol</t>
  </si>
  <si>
    <t>Value</t>
  </si>
  <si>
    <t>Unit</t>
  </si>
  <si>
    <t>Exposure Duration (8-hr)</t>
  </si>
  <si>
    <t>ED_8</t>
  </si>
  <si>
    <t xml:space="preserve">hr/day </t>
  </si>
  <si>
    <t>Repackaging</t>
  </si>
  <si>
    <t>Exposure Duration (10-hr)</t>
  </si>
  <si>
    <t>ED_10</t>
  </si>
  <si>
    <t>Processing as Reactant/Intermediate - 8-hr TWA</t>
  </si>
  <si>
    <t>12a</t>
  </si>
  <si>
    <t>Acute Exposure Averaging Time</t>
  </si>
  <si>
    <t>AT</t>
  </si>
  <si>
    <t xml:space="preserve">Exposure Frequency </t>
  </si>
  <si>
    <t>EF</t>
  </si>
  <si>
    <t xml:space="preserve">day/yr </t>
  </si>
  <si>
    <t>Processing as Reactant/Intermediate - 12-hr TWA</t>
  </si>
  <si>
    <t>12b</t>
  </si>
  <si>
    <t>BMDL Percentile</t>
  </si>
  <si>
    <t>Exposure Frequency (Intermediate)</t>
  </si>
  <si>
    <t>EFint</t>
  </si>
  <si>
    <t>Days for Intermediate Duration</t>
  </si>
  <si>
    <t>ID</t>
  </si>
  <si>
    <t>Incorporation into Formulation - Aerosol Packing</t>
  </si>
  <si>
    <t>13a</t>
  </si>
  <si>
    <t>Working Years Per Lifetime (Mid)</t>
  </si>
  <si>
    <t>WY_mid</t>
  </si>
  <si>
    <t xml:space="preserve">yr </t>
  </si>
  <si>
    <t>Incorporation into Formulation - Degreasing Solvent</t>
  </si>
  <si>
    <t>13b</t>
  </si>
  <si>
    <t>Working Years Per Lifetime (High)</t>
  </si>
  <si>
    <t>WY_high</t>
  </si>
  <si>
    <t>Incorporation into Formulation - Dry Cleaning Solvent</t>
  </si>
  <si>
    <t>13c</t>
  </si>
  <si>
    <t>Assigned Respirator Protection Factor</t>
  </si>
  <si>
    <t>Lifetime Years for LADD</t>
  </si>
  <si>
    <t>LT</t>
  </si>
  <si>
    <t>Incorporation into Formulation - Miscellaneous</t>
  </si>
  <si>
    <t>13d</t>
  </si>
  <si>
    <t>Averaging time For ADD (Mid)</t>
  </si>
  <si>
    <t>AT_mid</t>
  </si>
  <si>
    <t xml:space="preserve">hr </t>
  </si>
  <si>
    <t>Open-top Vapor Degreasing</t>
  </si>
  <si>
    <t>2a</t>
  </si>
  <si>
    <t>Averaging time For ADD (High)</t>
  </si>
  <si>
    <t>AT_high</t>
  </si>
  <si>
    <t>Averaging time For LADD</t>
  </si>
  <si>
    <t>ATc</t>
  </si>
  <si>
    <t>Closed Loop Vapor Degreasing</t>
  </si>
  <si>
    <t>Conveyorized Vapor Degreasing</t>
  </si>
  <si>
    <t>Assigned Glove Protection Factor</t>
  </si>
  <si>
    <t>Web Degreasing</t>
  </si>
  <si>
    <t>General uses, PF = 5</t>
  </si>
  <si>
    <t>Commercial uses, PF = 10</t>
  </si>
  <si>
    <t>Cold Cleaning</t>
  </si>
  <si>
    <t>6a</t>
  </si>
  <si>
    <t>Industrial uses, PF = 20</t>
  </si>
  <si>
    <t>6b</t>
  </si>
  <si>
    <t>Aerosol Degreasing/Lubricants</t>
  </si>
  <si>
    <t>7a</t>
  </si>
  <si>
    <t>7b</t>
  </si>
  <si>
    <t>Post-2006 Dry Cleaning (including spot cleaning)</t>
  </si>
  <si>
    <t>8a</t>
  </si>
  <si>
    <t>4th/5th Gen Only Dry Cleaning (including spot cleaning)</t>
  </si>
  <si>
    <t>8b</t>
  </si>
  <si>
    <t>8c</t>
  </si>
  <si>
    <t>Paints/Coatings (commercial)</t>
  </si>
  <si>
    <t>9a</t>
  </si>
  <si>
    <t>Paints/Coatings (industrial)</t>
  </si>
  <si>
    <t>9b</t>
  </si>
  <si>
    <t>Adhesives (commercial)</t>
  </si>
  <si>
    <t>9c</t>
  </si>
  <si>
    <t>Adhesives (industrial)</t>
  </si>
  <si>
    <t>9d</t>
  </si>
  <si>
    <t>Chemical Maskant</t>
  </si>
  <si>
    <t>Industrial Processing Aid</t>
  </si>
  <si>
    <t>Other Industrial Uses - Miscellaneous</t>
  </si>
  <si>
    <t>15a</t>
  </si>
  <si>
    <t>Other Industrial Uses - Textile Processing</t>
  </si>
  <si>
    <t>15b</t>
  </si>
  <si>
    <t>Other Industrial Uses - Wood Furniture Manufacturing</t>
  </si>
  <si>
    <t>15c</t>
  </si>
  <si>
    <t>Other Industrial Uses - Foundry Applications</t>
  </si>
  <si>
    <t>15d</t>
  </si>
  <si>
    <t>Metalworking Fluid</t>
  </si>
  <si>
    <t>Wipe Cleaning and Metal/Stone Polishes</t>
  </si>
  <si>
    <t>Other Spot Cleaning/Spot Removers (Including Carpet Cleaning)</t>
  </si>
  <si>
    <t>Other Commercial Uses - Printing</t>
  </si>
  <si>
    <t>19a</t>
  </si>
  <si>
    <t>Other Commercial Uses - Photocopying</t>
  </si>
  <si>
    <t>19b</t>
  </si>
  <si>
    <t>Other Commercial Uses - Photographic Film</t>
  </si>
  <si>
    <t>19c</t>
  </si>
  <si>
    <t>Other Commercial Uses - Mold Release</t>
  </si>
  <si>
    <t>19d</t>
  </si>
  <si>
    <t>Other DOD Uses - Water Pipe Repair</t>
  </si>
  <si>
    <t>20a</t>
  </si>
  <si>
    <t>Other DOD Uses - Oil analysis</t>
  </si>
  <si>
    <t>20b</t>
  </si>
  <si>
    <t>Disposal/Recycling and Disposal</t>
  </si>
  <si>
    <t>Laboratory Chemicals</t>
  </si>
  <si>
    <t>Exposure Factors</t>
  </si>
  <si>
    <t>Characterization of Value</t>
  </si>
  <si>
    <t>Notes on Values:</t>
  </si>
  <si>
    <t>Body Weight, BW (kg)</t>
  </si>
  <si>
    <t>Per the exposure factors handbook 80 kg is the mean body weight for all adults. The "Female of Reproductive Age" weight is the mean for women 16-50 (listed below).</t>
  </si>
  <si>
    <r>
      <t>1 Hand Surface Area (cm</t>
    </r>
    <r>
      <rPr>
        <b/>
        <vertAlign val="superscript"/>
        <sz val="10"/>
        <color theme="1"/>
        <rFont val="Times New Roman"/>
        <family val="1"/>
      </rPr>
      <t>2</t>
    </r>
    <r>
      <rPr>
        <b/>
        <sz val="10"/>
        <color theme="1"/>
        <rFont val="Times New Roman"/>
        <family val="1"/>
      </rPr>
      <t>)</t>
    </r>
  </si>
  <si>
    <r>
      <t>535/1070 cm</t>
    </r>
    <r>
      <rPr>
        <vertAlign val="superscript"/>
        <sz val="10"/>
        <color theme="1"/>
        <rFont val="Times New Roman"/>
        <family val="1"/>
      </rPr>
      <t>2</t>
    </r>
    <r>
      <rPr>
        <sz val="10"/>
        <color theme="1"/>
        <rFont val="Times New Roman"/>
        <family val="1"/>
      </rPr>
      <t xml:space="preserve"> is the average male 1 hand/2 hand area and 445/890 cm</t>
    </r>
    <r>
      <rPr>
        <vertAlign val="superscript"/>
        <sz val="10"/>
        <color theme="1"/>
        <rFont val="Times New Roman"/>
        <family val="1"/>
      </rPr>
      <t>2</t>
    </r>
    <r>
      <rPr>
        <sz val="10"/>
        <color theme="1"/>
        <rFont val="Times New Roman"/>
        <family val="1"/>
      </rPr>
      <t xml:space="preserve"> is the female average.</t>
    </r>
  </si>
  <si>
    <r>
      <t>2 Hand Surface Area (cm</t>
    </r>
    <r>
      <rPr>
        <b/>
        <vertAlign val="superscript"/>
        <sz val="10"/>
        <color theme="1"/>
        <rFont val="Times New Roman"/>
        <family val="1"/>
      </rPr>
      <t>2</t>
    </r>
    <r>
      <rPr>
        <b/>
        <sz val="10"/>
        <color theme="1"/>
        <rFont val="Times New Roman"/>
        <family val="1"/>
      </rPr>
      <t>)</t>
    </r>
  </si>
  <si>
    <t>Working Years - High-End (yr)</t>
  </si>
  <si>
    <t>Working Years - Central Tendency (yr)</t>
  </si>
  <si>
    <t>Lifetime</t>
  </si>
  <si>
    <r>
      <t>Worker Breathing Rate (m</t>
    </r>
    <r>
      <rPr>
        <vertAlign val="superscript"/>
        <sz val="10"/>
        <color theme="1"/>
        <rFont val="Times New Roman"/>
        <family val="1"/>
      </rPr>
      <t>3</t>
    </r>
    <r>
      <rPr>
        <sz val="10"/>
        <color theme="1"/>
        <rFont val="Times New Roman"/>
        <family val="1"/>
      </rPr>
      <t>/hr)</t>
    </r>
  </si>
  <si>
    <t>Discrete</t>
  </si>
  <si>
    <t>Worker breathing rate is the combined average for men and women.</t>
  </si>
  <si>
    <r>
      <t>Resting Breathing Rate (m</t>
    </r>
    <r>
      <rPr>
        <vertAlign val="superscript"/>
        <sz val="10"/>
        <color theme="1"/>
        <rFont val="Times New Roman"/>
        <family val="1"/>
      </rPr>
      <t>3</t>
    </r>
    <r>
      <rPr>
        <sz val="10"/>
        <color theme="1"/>
        <rFont val="Times New Roman"/>
        <family val="1"/>
      </rPr>
      <t>/hr)</t>
    </r>
  </si>
  <si>
    <t>Woman of Childbearing Age Exposure Factors:</t>
  </si>
  <si>
    <t>Body Weight:</t>
  </si>
  <si>
    <t>From the Exposure Factors Handbook Table 8-5: Mean and Percentile Body Weights (kg) for Females Derived from NHANES (1990-2006) (1)</t>
  </si>
  <si>
    <t>Age 16 to &lt;21 years: 65.9 kg (mean)</t>
  </si>
  <si>
    <t>Age 21 to &lt;30 years: 71.9 kg (mean)</t>
  </si>
  <si>
    <t>Age 30 to &lt;40 years: 74.8 kg (mean)</t>
  </si>
  <si>
    <t>Age 40 to &lt;50 years: 77.1 kg (mean)</t>
  </si>
  <si>
    <t>(1) U.S. Environmental Protection Agency (EPA). (2011) Exposure Factors Handbook: 2011 Edition. National Center for Environmental Assessment, Washington, DC; EPA/600/R-09/052F. Available from the National Technical Information Service, Springfield, VA, and online at http://www.epa.gov/ncea/efh.</t>
  </si>
  <si>
    <t xml:space="preserve">(2) U.S. Bureau of Labor Statistics (BLS), Current Population Survey (CPS) tenure data: Employee Tenure News Release (2014). http://www.bls.gov/news.release/archives/tenure_09182014.htm </t>
  </si>
  <si>
    <t>(3) U.S. Census Bureau, Survey of Income and Program Participation (SIPP): SIPP introduction and history (2019). https://www.census.gov/programs-surveys/sipp/about/sipp-introduction-history.html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</si>
</sst>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0.0"/>
    <numFmt numFmtId="165" formatCode="0.000"/>
    <numFmt numFmtId="166" formatCode="0.0E+00"/>
    <numFmt numFmtId="167" formatCode="0.0000"/>
    <numFmt numFmtId="168" formatCode="0.0%"/>
    <numFmt numFmtId="169" formatCode="0.000E+00"/>
    <numFmt numFmtId="170" formatCode="_(* #,##0_);_(* \(#,##0\);_(* &quot;-&quot;??_);_(@_)"/>
  </numFmts>
  <fonts count="43">
    <font>
      <sz val="11"/>
      <color theme="1"/>
      <name val="Calibri"/>
      <family val="2"/>
      <scheme val="minor"/>
    </font>
    <font>
      <sz val="10"/>
      <name val="Arial"/>
      <family val="2"/>
    </font>
    <font>
      <sz val="8"/>
      <name val="Calibri"/>
      <family val="2"/>
      <scheme val="minor"/>
    </font>
    <font>
      <sz val="11"/>
      <color theme="1"/>
      <name val="Calibri"/>
      <family val="2"/>
      <scheme val="minor"/>
    </font>
    <font>
      <b/>
      <sz val="16"/>
      <color theme="1"/>
      <name val="Times New Roman"/>
      <family val="1"/>
    </font>
    <font>
      <b/>
      <i/>
      <sz val="14"/>
      <color theme="1"/>
      <name val="Times New Roman"/>
      <family val="1"/>
    </font>
    <font>
      <sz val="10"/>
      <color theme="1"/>
      <name val="Times New Roman"/>
      <family val="1"/>
    </font>
    <font>
      <sz val="11"/>
      <color theme="1"/>
      <name val="Times New Roman"/>
      <family val="1"/>
    </font>
    <font>
      <b/>
      <sz val="10"/>
      <color theme="1"/>
      <name val="Times New Roman"/>
      <family val="1"/>
    </font>
    <font>
      <b/>
      <sz val="10"/>
      <name val="Times New Roman"/>
      <family val="1"/>
    </font>
    <font>
      <b/>
      <vertAlign val="subscript"/>
      <sz val="10"/>
      <name val="Times New Roman"/>
      <family val="1"/>
    </font>
    <font>
      <b/>
      <vertAlign val="superscript"/>
      <sz val="10"/>
      <name val="Times New Roman"/>
      <family val="1"/>
    </font>
    <font>
      <sz val="10"/>
      <name val="Times New Roman"/>
      <family val="1"/>
    </font>
    <font>
      <sz val="10"/>
      <color rgb="FF000000"/>
      <name val="Times New Roman"/>
      <family val="1"/>
    </font>
    <font>
      <b/>
      <i/>
      <sz val="10"/>
      <name val="Times New Roman"/>
      <family val="1"/>
    </font>
    <font>
      <b/>
      <sz val="10"/>
      <color theme="8" tint="0.79998168889431442"/>
      <name val="Times New Roman"/>
      <family val="1"/>
    </font>
    <font>
      <b/>
      <sz val="10"/>
      <color rgb="FF000000"/>
      <name val="Times New Roman"/>
      <family val="1"/>
    </font>
    <font>
      <vertAlign val="superscript"/>
      <sz val="10"/>
      <color theme="1"/>
      <name val="Times New Roman"/>
      <family val="1"/>
    </font>
    <font>
      <sz val="10"/>
      <color rgb="FFFF0000"/>
      <name val="Times New Roman"/>
      <family val="1"/>
    </font>
    <font>
      <sz val="10"/>
      <color theme="0" tint="-4.9989318521683403E-2"/>
      <name val="Times New Roman"/>
      <family val="1"/>
    </font>
    <font>
      <u/>
      <sz val="10"/>
      <color theme="1"/>
      <name val="Times New Roman"/>
      <family val="1"/>
    </font>
    <font>
      <b/>
      <vertAlign val="superscript"/>
      <sz val="10"/>
      <color theme="1"/>
      <name val="Times New Roman"/>
      <family val="1"/>
    </font>
    <font>
      <b/>
      <sz val="10"/>
      <color theme="9" tint="0.79998168889431442"/>
      <name val="Times New Roman"/>
      <family val="1"/>
    </font>
    <font>
      <b/>
      <sz val="12"/>
      <name val="Times New Roman"/>
      <family val="1"/>
    </font>
    <font>
      <i/>
      <sz val="10"/>
      <color theme="1"/>
      <name val="Times New Roman"/>
      <family val="1"/>
    </font>
    <font>
      <b/>
      <sz val="12"/>
      <color theme="1"/>
      <name val="Times New Roman"/>
      <family val="1"/>
    </font>
    <font>
      <b/>
      <i/>
      <sz val="12"/>
      <name val="Times New Roman"/>
      <family val="1"/>
    </font>
    <font>
      <vertAlign val="subscript"/>
      <sz val="10"/>
      <color theme="1"/>
      <name val="Times New Roman"/>
      <family val="1"/>
    </font>
    <font>
      <sz val="10"/>
      <color theme="1"/>
      <name val="Calibri"/>
      <family val="2"/>
      <scheme val="minor"/>
    </font>
    <font>
      <b/>
      <sz val="10"/>
      <color theme="1"/>
      <name val="Calibri"/>
      <family val="2"/>
      <scheme val="minor"/>
    </font>
    <font>
      <b/>
      <sz val="11"/>
      <color rgb="FF000000"/>
      <name val="Times New Roman"/>
      <family val="1"/>
    </font>
    <font>
      <vertAlign val="superscript"/>
      <sz val="11"/>
      <color theme="1"/>
      <name val="Times New Roman"/>
      <family val="1"/>
    </font>
    <font>
      <b/>
      <sz val="9.5"/>
      <color rgb="FF000000"/>
      <name val="Times New Roman"/>
      <family val="1"/>
    </font>
    <font>
      <sz val="9.5"/>
      <color rgb="FF000000"/>
      <name val="Times New Roman"/>
      <family val="1"/>
    </font>
    <font>
      <b/>
      <sz val="9.5"/>
      <name val="Times New Roman"/>
      <family val="1"/>
    </font>
    <font>
      <sz val="11"/>
      <name val="Calibri"/>
      <family val="2"/>
      <scheme val="minor"/>
    </font>
    <font>
      <sz val="11"/>
      <name val="Times New Roman"/>
      <family val="1"/>
    </font>
    <font>
      <sz val="11"/>
      <color rgb="FF000000"/>
      <name val="Times New Roman"/>
      <family val="1"/>
    </font>
    <font>
      <b/>
      <sz val="11"/>
      <name val="Times New Roman"/>
      <family val="1"/>
    </font>
    <font>
      <sz val="11"/>
      <color rgb="FF000000"/>
      <name val="Calibri"/>
      <family val="2"/>
    </font>
    <font>
      <b/>
      <i/>
      <sz val="14"/>
      <color rgb="FF000000"/>
      <name val="Times New Roman"/>
    </font>
    <font>
      <b/>
      <i/>
      <sz val="14"/>
      <color rgb="FFDCE6F1"/>
      <name val="Times New Roman"/>
    </font>
    <font>
      <b/>
      <i/>
      <sz val="14"/>
      <color theme="1"/>
      <name val="Times New Roman"/>
    </font>
  </fonts>
  <fills count="20">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8" tint="0.3999450666829432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rgb="FFD9D9D9"/>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2F2F2"/>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FFF00"/>
        <bgColor indexed="64"/>
      </patternFill>
    </fill>
  </fills>
  <borders count="13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top style="dashed">
        <color auto="1"/>
      </top>
      <bottom/>
      <diagonal/>
    </border>
    <border>
      <left style="thin">
        <color auto="1"/>
      </left>
      <right/>
      <top/>
      <bottom style="dashed">
        <color auto="1"/>
      </bottom>
      <diagonal/>
    </border>
    <border>
      <left/>
      <right/>
      <top/>
      <bottom style="dashed">
        <color auto="1"/>
      </bottom>
      <diagonal/>
    </border>
    <border>
      <left/>
      <right style="thin">
        <color auto="1"/>
      </right>
      <top/>
      <bottom style="dashed">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bottom style="medium">
        <color auto="1"/>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auto="1"/>
      </left>
      <right style="thin">
        <color auto="1"/>
      </right>
      <top/>
      <bottom style="medium">
        <color auto="1"/>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indexed="64"/>
      </right>
      <top/>
      <bottom/>
      <diagonal/>
    </border>
    <border>
      <left style="thin">
        <color indexed="64"/>
      </left>
      <right style="medium">
        <color indexed="64"/>
      </right>
      <top/>
      <bottom style="medium">
        <color indexed="64"/>
      </bottom>
      <diagonal/>
    </border>
    <border>
      <left/>
      <right style="medium">
        <color auto="1"/>
      </right>
      <top style="medium">
        <color auto="1"/>
      </top>
      <bottom style="thin">
        <color auto="1"/>
      </bottom>
      <diagonal/>
    </border>
    <border>
      <left style="medium">
        <color indexed="64"/>
      </left>
      <right style="medium">
        <color auto="1"/>
      </right>
      <top style="thin">
        <color indexed="64"/>
      </top>
      <bottom style="medium">
        <color indexed="64"/>
      </bottom>
      <diagonal/>
    </border>
    <border>
      <left style="medium">
        <color auto="1"/>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bottom/>
      <diagonal/>
    </border>
    <border>
      <left/>
      <right style="thin">
        <color indexed="64"/>
      </right>
      <top style="medium">
        <color auto="1"/>
      </top>
      <bottom style="thin">
        <color auto="1"/>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style="thin">
        <color theme="0" tint="-0.14996795556505021"/>
      </left>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tted">
        <color auto="1"/>
      </left>
      <right style="dotted">
        <color auto="1"/>
      </right>
      <top/>
      <bottom style="dotted">
        <color auto="1"/>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medium">
        <color auto="1"/>
      </left>
      <right style="dotted">
        <color auto="1"/>
      </right>
      <top/>
      <bottom/>
      <diagonal/>
    </border>
    <border>
      <left style="medium">
        <color auto="1"/>
      </left>
      <right style="dotted">
        <color auto="1"/>
      </right>
      <top style="medium">
        <color auto="1"/>
      </top>
      <bottom/>
      <diagonal/>
    </border>
    <border>
      <left style="medium">
        <color auto="1"/>
      </left>
      <right style="dotted">
        <color auto="1"/>
      </right>
      <top/>
      <bottom style="medium">
        <color indexed="64"/>
      </bottom>
      <diagonal/>
    </border>
    <border>
      <left style="dotted">
        <color auto="1"/>
      </left>
      <right style="dotted">
        <color auto="1"/>
      </right>
      <top style="medium">
        <color indexed="64"/>
      </top>
      <bottom/>
      <diagonal/>
    </border>
    <border>
      <left style="dotted">
        <color indexed="64"/>
      </left>
      <right style="dotted">
        <color auto="1"/>
      </right>
      <top/>
      <bottom style="medium">
        <color indexed="64"/>
      </bottom>
      <diagonal/>
    </border>
    <border>
      <left/>
      <right style="medium">
        <color indexed="64"/>
      </right>
      <top/>
      <bottom style="medium">
        <color indexed="64"/>
      </bottom>
      <diagonal/>
    </border>
    <border>
      <left/>
      <right/>
      <top style="medium">
        <color auto="1"/>
      </top>
      <bottom style="thin">
        <color auto="1"/>
      </bottom>
      <diagonal/>
    </border>
    <border>
      <left/>
      <right style="thin">
        <color indexed="64"/>
      </right>
      <top style="medium">
        <color indexed="64"/>
      </top>
      <bottom/>
      <diagonal/>
    </border>
    <border>
      <left style="medium">
        <color indexed="64"/>
      </left>
      <right style="medium">
        <color indexed="64"/>
      </right>
      <top style="double">
        <color indexed="64"/>
      </top>
      <bottom style="thin">
        <color indexed="64"/>
      </bottom>
      <diagonal/>
    </border>
    <border>
      <left style="medium">
        <color auto="1"/>
      </left>
      <right/>
      <top/>
      <bottom/>
      <diagonal/>
    </border>
    <border>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dotted">
        <color auto="1"/>
      </left>
      <right/>
      <top style="medium">
        <color auto="1"/>
      </top>
      <bottom/>
      <diagonal/>
    </border>
    <border>
      <left style="dotted">
        <color auto="1"/>
      </left>
      <right/>
      <top/>
      <bottom style="dotted">
        <color auto="1"/>
      </bottom>
      <diagonal/>
    </border>
    <border>
      <left style="dotted">
        <color auto="1"/>
      </left>
      <right/>
      <top/>
      <bottom style="medium">
        <color indexed="64"/>
      </bottom>
      <diagonal/>
    </border>
    <border>
      <left style="dotted">
        <color auto="1"/>
      </left>
      <right style="dotted">
        <color auto="1"/>
      </right>
      <top/>
      <bottom/>
      <diagonal/>
    </border>
    <border>
      <left style="dotted">
        <color auto="1"/>
      </left>
      <right style="medium">
        <color auto="1"/>
      </right>
      <top style="medium">
        <color auto="1"/>
      </top>
      <bottom/>
      <diagonal/>
    </border>
    <border>
      <left style="dotted">
        <color auto="1"/>
      </left>
      <right style="medium">
        <color auto="1"/>
      </right>
      <top/>
      <bottom/>
      <diagonal/>
    </border>
    <border>
      <left style="dotted">
        <color auto="1"/>
      </left>
      <right style="medium">
        <color auto="1"/>
      </right>
      <top/>
      <bottom style="medium">
        <color auto="1"/>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right/>
      <top style="medium">
        <color indexed="64"/>
      </top>
      <bottom/>
      <diagonal/>
    </border>
    <border>
      <left style="medium">
        <color indexed="64"/>
      </left>
      <right style="medium">
        <color indexed="64"/>
      </right>
      <top style="thin">
        <color theme="1"/>
      </top>
      <bottom/>
      <diagonal/>
    </border>
    <border>
      <left/>
      <right style="medium">
        <color indexed="64"/>
      </right>
      <top style="thin">
        <color auto="1"/>
      </top>
      <bottom style="thin">
        <color indexed="64"/>
      </bottom>
      <diagonal/>
    </border>
    <border>
      <left style="medium">
        <color indexed="64"/>
      </left>
      <right/>
      <top/>
      <bottom style="medium">
        <color indexed="64"/>
      </bottom>
      <diagonal/>
    </border>
    <border>
      <left style="thin">
        <color indexed="64"/>
      </left>
      <right style="medium">
        <color indexed="64"/>
      </right>
      <top/>
      <bottom/>
      <diagonal/>
    </border>
    <border>
      <left/>
      <right style="thin">
        <color rgb="FF000000"/>
      </right>
      <top style="medium">
        <color auto="1"/>
      </top>
      <bottom style="thin">
        <color rgb="FF000000"/>
      </bottom>
      <diagonal/>
    </border>
    <border>
      <left style="thin">
        <color rgb="FF000000"/>
      </left>
      <right style="thin">
        <color rgb="FF000000"/>
      </right>
      <top style="medium">
        <color auto="1"/>
      </top>
      <bottom style="thin">
        <color rgb="FF000000"/>
      </bottom>
      <diagonal/>
    </border>
    <border>
      <left style="thin">
        <color rgb="FF000000"/>
      </left>
      <right style="medium">
        <color indexed="64"/>
      </right>
      <top style="medium">
        <color indexed="64"/>
      </top>
      <bottom style="thin">
        <color rgb="FF000000"/>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auto="1"/>
      </left>
      <right/>
      <top style="thin">
        <color rgb="FF000000"/>
      </top>
      <bottom/>
      <diagonal/>
    </border>
    <border>
      <left style="thin">
        <color auto="1"/>
      </left>
      <right/>
      <top/>
      <bottom style="medium">
        <color rgb="FF000000"/>
      </bottom>
      <diagonal/>
    </border>
    <border>
      <left/>
      <right style="thin">
        <color indexed="64"/>
      </right>
      <top style="thin">
        <color rgb="FF000000"/>
      </top>
      <bottom style="thin">
        <color indexed="64"/>
      </bottom>
      <diagonal/>
    </border>
    <border>
      <left/>
      <right style="thin">
        <color auto="1"/>
      </right>
      <top style="thin">
        <color auto="1"/>
      </top>
      <bottom style="medium">
        <color rgb="FF000000"/>
      </bottom>
      <diagonal/>
    </border>
    <border>
      <left style="medium">
        <color rgb="FF000000"/>
      </left>
      <right style="medium">
        <color indexed="64"/>
      </right>
      <top style="medium">
        <color rgb="FF000000"/>
      </top>
      <bottom style="double">
        <color indexed="64"/>
      </bottom>
      <diagonal/>
    </border>
    <border>
      <left/>
      <right style="medium">
        <color indexed="64"/>
      </right>
      <top style="medium">
        <color rgb="FF000000"/>
      </top>
      <bottom style="double">
        <color indexed="64"/>
      </bottom>
      <diagonal/>
    </border>
    <border>
      <left/>
      <right style="medium">
        <color rgb="FF000000"/>
      </right>
      <top style="medium">
        <color rgb="FF000000"/>
      </top>
      <bottom style="double">
        <color indexed="64"/>
      </bottom>
      <diagonal/>
    </border>
    <border>
      <left style="medium">
        <color rgb="FF000000"/>
      </left>
      <right style="thin">
        <color auto="1"/>
      </right>
      <top style="double">
        <color indexed="64"/>
      </top>
      <bottom/>
      <diagonal/>
    </border>
    <border>
      <left style="thin">
        <color indexed="64"/>
      </left>
      <right style="medium">
        <color rgb="FF000000"/>
      </right>
      <top style="double">
        <color indexed="64"/>
      </top>
      <bottom style="thin">
        <color indexed="64"/>
      </bottom>
      <diagonal/>
    </border>
    <border>
      <left style="medium">
        <color rgb="FF000000"/>
      </left>
      <right style="thin">
        <color auto="1"/>
      </right>
      <top/>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medium">
        <color rgb="FF000000"/>
      </left>
      <right style="thin">
        <color auto="1"/>
      </right>
      <top style="thin">
        <color auto="1"/>
      </top>
      <bottom/>
      <diagonal/>
    </border>
    <border>
      <left style="medium">
        <color rgb="FF000000"/>
      </left>
      <right style="thin">
        <color auto="1"/>
      </right>
      <top/>
      <bottom style="medium">
        <color rgb="FF000000"/>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style="medium">
        <color auto="1"/>
      </right>
      <top style="medium">
        <color rgb="FF000000"/>
      </top>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style="medium">
        <color rgb="FF000000"/>
      </bottom>
      <diagonal/>
    </border>
    <border>
      <left style="medium">
        <color auto="1"/>
      </left>
      <right style="medium">
        <color auto="1"/>
      </right>
      <top/>
      <bottom style="thin">
        <color auto="1"/>
      </bottom>
      <diagonal/>
    </border>
    <border>
      <left style="medium">
        <color auto="1"/>
      </left>
      <right style="medium">
        <color auto="1"/>
      </right>
      <top style="thin">
        <color auto="1"/>
      </top>
      <bottom style="medium">
        <color rgb="FF000000"/>
      </bottom>
      <diagonal/>
    </border>
    <border>
      <left style="medium">
        <color auto="1"/>
      </left>
      <right style="medium">
        <color auto="1"/>
      </right>
      <top style="medium">
        <color rgb="FF000000"/>
      </top>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style="medium">
        <color indexed="64"/>
      </right>
      <top/>
      <bottom style="medium">
        <color rgb="FF000000"/>
      </bottom>
      <diagonal/>
    </border>
    <border>
      <left style="medium">
        <color indexed="64"/>
      </left>
      <right style="medium">
        <color indexed="64"/>
      </right>
      <top/>
      <bottom style="medium">
        <color rgb="FF000000"/>
      </bottom>
      <diagonal/>
    </border>
    <border>
      <left style="medium">
        <color auto="1"/>
      </left>
      <right style="medium">
        <color auto="1"/>
      </right>
      <top style="medium">
        <color auto="1"/>
      </top>
      <bottom style="medium">
        <color rgb="FF000000"/>
      </bottom>
      <diagonal/>
    </border>
  </borders>
  <cellStyleXfs count="4">
    <xf numFmtId="0" fontId="0" fillId="0" borderId="0"/>
    <xf numFmtId="0" fontId="1" fillId="0" borderId="0"/>
    <xf numFmtId="9" fontId="3" fillId="0" borderId="0" applyFont="0" applyFill="0" applyBorder="0" applyAlignment="0" applyProtection="0"/>
    <xf numFmtId="43" fontId="3" fillId="0" borderId="0" applyFont="0" applyFill="0" applyBorder="0" applyAlignment="0" applyProtection="0"/>
  </cellStyleXfs>
  <cellXfs count="641">
    <xf numFmtId="0" fontId="0" fillId="0" borderId="0" xfId="0"/>
    <xf numFmtId="0" fontId="6" fillId="0" borderId="0" xfId="0" applyFont="1"/>
    <xf numFmtId="0" fontId="6" fillId="0" borderId="0" xfId="0" applyFont="1" applyAlignment="1">
      <alignment horizontal="center" vertical="center"/>
    </xf>
    <xf numFmtId="0" fontId="6" fillId="0" borderId="0" xfId="0" applyFont="1" applyAlignment="1">
      <alignment vertical="center"/>
    </xf>
    <xf numFmtId="0" fontId="7" fillId="0" borderId="0" xfId="0" applyFont="1"/>
    <xf numFmtId="0" fontId="6" fillId="3" borderId="0" xfId="0" applyFont="1" applyFill="1"/>
    <xf numFmtId="0" fontId="8" fillId="2" borderId="25" xfId="0" applyFont="1" applyFill="1" applyBorder="1" applyAlignment="1">
      <alignment vertical="center" wrapText="1"/>
    </xf>
    <xf numFmtId="0" fontId="8" fillId="2" borderId="31" xfId="0" applyFont="1" applyFill="1" applyBorder="1" applyAlignment="1">
      <alignment vertical="center"/>
    </xf>
    <xf numFmtId="0" fontId="8" fillId="2" borderId="26" xfId="0" applyFont="1" applyFill="1" applyBorder="1" applyAlignment="1">
      <alignment vertical="center" wrapText="1"/>
    </xf>
    <xf numFmtId="0" fontId="12" fillId="0" borderId="0" xfId="0" applyFont="1"/>
    <xf numFmtId="0" fontId="9" fillId="2" borderId="24" xfId="0" applyFont="1" applyFill="1" applyBorder="1" applyAlignment="1">
      <alignment vertical="center" wrapText="1"/>
    </xf>
    <xf numFmtId="0" fontId="6" fillId="0" borderId="1" xfId="0" applyFont="1" applyBorder="1" applyAlignment="1">
      <alignment horizontal="center" vertical="center"/>
    </xf>
    <xf numFmtId="0" fontId="6" fillId="0" borderId="1" xfId="0" applyFont="1" applyBorder="1" applyAlignment="1">
      <alignment vertical="center" wrapText="1"/>
    </xf>
    <xf numFmtId="0" fontId="6" fillId="0" borderId="0" xfId="0" applyFont="1" applyAlignment="1">
      <alignment horizontal="center"/>
    </xf>
    <xf numFmtId="0" fontId="6" fillId="3" borderId="0" xfId="0" applyFont="1" applyFill="1" applyAlignment="1">
      <alignment horizontal="center" vertical="center"/>
    </xf>
    <xf numFmtId="0" fontId="6" fillId="3" borderId="0" xfId="0" applyFont="1" applyFill="1" applyAlignment="1">
      <alignment vertical="center" wrapText="1"/>
    </xf>
    <xf numFmtId="0" fontId="6" fillId="3" borderId="0" xfId="0" applyFont="1" applyFill="1" applyAlignment="1">
      <alignment horizontal="center" vertical="center" wrapText="1"/>
    </xf>
    <xf numFmtId="0" fontId="6" fillId="3" borderId="0" xfId="0" applyFont="1" applyFill="1" applyAlignment="1">
      <alignment vertical="center"/>
    </xf>
    <xf numFmtId="0" fontId="14" fillId="4" borderId="84" xfId="0" applyFont="1" applyFill="1" applyBorder="1" applyAlignment="1">
      <alignment horizontal="center" vertical="center" wrapText="1"/>
    </xf>
    <xf numFmtId="0" fontId="12" fillId="3" borderId="0" xfId="0" applyFont="1" applyFill="1" applyAlignment="1">
      <alignment vertical="center"/>
    </xf>
    <xf numFmtId="0" fontId="14" fillId="3" borderId="0" xfId="0" applyFont="1" applyFill="1" applyAlignment="1">
      <alignment vertical="center"/>
    </xf>
    <xf numFmtId="0" fontId="12" fillId="3" borderId="0" xfId="0" applyFont="1" applyFill="1" applyAlignment="1">
      <alignment vertical="center" wrapText="1"/>
    </xf>
    <xf numFmtId="0" fontId="8" fillId="3" borderId="0" xfId="0" applyFont="1" applyFill="1" applyAlignment="1">
      <alignment vertical="center"/>
    </xf>
    <xf numFmtId="0" fontId="12" fillId="2" borderId="22" xfId="0" applyFont="1" applyFill="1" applyBorder="1" applyAlignment="1" applyProtection="1">
      <alignment horizontal="center" vertical="center" wrapText="1"/>
      <protection locked="0"/>
    </xf>
    <xf numFmtId="0" fontId="9" fillId="5" borderId="19" xfId="0" applyFont="1" applyFill="1" applyBorder="1" applyAlignment="1">
      <alignment horizontal="center" vertical="center" wrapText="1"/>
    </xf>
    <xf numFmtId="0" fontId="12" fillId="3" borderId="0" xfId="0" applyFont="1" applyFill="1" applyAlignment="1">
      <alignment horizontal="left" vertical="center" wrapText="1"/>
    </xf>
    <xf numFmtId="0" fontId="9" fillId="5" borderId="16"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12" fillId="3" borderId="0" xfId="0" applyFont="1" applyFill="1" applyAlignment="1">
      <alignment horizontal="center" vertical="center"/>
    </xf>
    <xf numFmtId="0" fontId="6" fillId="3" borderId="15" xfId="0" applyFont="1" applyFill="1" applyBorder="1" applyAlignment="1">
      <alignment horizontal="left" vertical="center"/>
    </xf>
    <xf numFmtId="0" fontId="9" fillId="5" borderId="32"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22" xfId="0" applyFont="1" applyBorder="1" applyAlignment="1">
      <alignment horizontal="center" vertical="center"/>
    </xf>
    <xf numFmtId="0" fontId="6" fillId="3" borderId="16" xfId="0" applyFont="1" applyFill="1" applyBorder="1" applyAlignment="1">
      <alignment horizontal="left" vertical="center"/>
    </xf>
    <xf numFmtId="0" fontId="9" fillId="3" borderId="0" xfId="0" applyFont="1" applyFill="1" applyAlignment="1">
      <alignment horizontal="center" vertical="center" wrapText="1"/>
    </xf>
    <xf numFmtId="0" fontId="12" fillId="3" borderId="0" xfId="0" applyFont="1" applyFill="1" applyAlignment="1">
      <alignment horizontal="center" vertical="center" wrapText="1"/>
    </xf>
    <xf numFmtId="0" fontId="9" fillId="3" borderId="0" xfId="0" applyFont="1" applyFill="1" applyAlignment="1">
      <alignment vertical="center" wrapText="1"/>
    </xf>
    <xf numFmtId="0" fontId="9" fillId="3" borderId="0" xfId="0" applyFont="1" applyFill="1" applyAlignment="1">
      <alignment vertical="center"/>
    </xf>
    <xf numFmtId="0" fontId="9" fillId="3" borderId="30" xfId="0" applyFont="1" applyFill="1" applyBorder="1" applyAlignment="1">
      <alignment vertical="center"/>
    </xf>
    <xf numFmtId="0" fontId="8" fillId="9" borderId="47" xfId="0" applyFont="1" applyFill="1" applyBorder="1" applyAlignment="1">
      <alignment horizontal="center" vertical="center"/>
    </xf>
    <xf numFmtId="0" fontId="8" fillId="9" borderId="54" xfId="0" applyFont="1" applyFill="1" applyBorder="1" applyAlignment="1">
      <alignment horizontal="center" vertical="center"/>
    </xf>
    <xf numFmtId="0" fontId="16" fillId="5" borderId="16" xfId="0" applyFont="1" applyFill="1" applyBorder="1" applyAlignment="1">
      <alignment horizontal="center" vertical="center" wrapText="1"/>
    </xf>
    <xf numFmtId="0" fontId="6" fillId="9" borderId="54" xfId="0" applyFont="1" applyFill="1" applyBorder="1" applyAlignment="1">
      <alignment horizontal="left" vertical="center"/>
    </xf>
    <xf numFmtId="2" fontId="12" fillId="0" borderId="24" xfId="0" applyNumberFormat="1" applyFont="1" applyBorder="1" applyAlignment="1">
      <alignment horizontal="center" vertical="center"/>
    </xf>
    <xf numFmtId="2" fontId="12" fillId="0" borderId="28" xfId="0" applyNumberFormat="1" applyFont="1" applyBorder="1" applyAlignment="1">
      <alignment horizontal="center" vertical="center"/>
    </xf>
    <xf numFmtId="0" fontId="6" fillId="3" borderId="16" xfId="0" applyFont="1" applyFill="1" applyBorder="1" applyAlignment="1">
      <alignment vertical="center"/>
    </xf>
    <xf numFmtId="2" fontId="12" fillId="0" borderId="16" xfId="0" applyNumberFormat="1" applyFont="1" applyBorder="1" applyAlignment="1">
      <alignment horizontal="center" vertical="center"/>
    </xf>
    <xf numFmtId="2" fontId="12" fillId="0" borderId="23" xfId="0" applyNumberFormat="1" applyFont="1" applyBorder="1" applyAlignment="1">
      <alignment horizontal="center" vertical="center"/>
    </xf>
    <xf numFmtId="0" fontId="6" fillId="9" borderId="54" xfId="0" applyFont="1" applyFill="1" applyBorder="1" applyAlignment="1">
      <alignment horizontal="left" vertical="center" wrapText="1"/>
    </xf>
    <xf numFmtId="0" fontId="6" fillId="3" borderId="15" xfId="0" applyFont="1" applyFill="1" applyBorder="1" applyAlignment="1">
      <alignment vertical="center"/>
    </xf>
    <xf numFmtId="2" fontId="12" fillId="0" borderId="15" xfId="0" applyNumberFormat="1" applyFont="1" applyBorder="1" applyAlignment="1">
      <alignment horizontal="center" vertical="center"/>
    </xf>
    <xf numFmtId="2" fontId="12" fillId="0" borderId="19" xfId="0" applyNumberFormat="1" applyFont="1" applyBorder="1" applyAlignment="1">
      <alignment horizontal="center" vertical="center"/>
    </xf>
    <xf numFmtId="0" fontId="6" fillId="3" borderId="29" xfId="0" applyFont="1" applyFill="1" applyBorder="1" applyAlignment="1">
      <alignment vertical="center"/>
    </xf>
    <xf numFmtId="0" fontId="6" fillId="9" borderId="50" xfId="0" applyFont="1" applyFill="1" applyBorder="1" applyAlignment="1">
      <alignment horizontal="left" vertical="center"/>
    </xf>
    <xf numFmtId="0" fontId="18" fillId="3" borderId="0" xfId="0" applyFont="1" applyFill="1" applyAlignment="1">
      <alignment horizontal="center" vertical="center"/>
    </xf>
    <xf numFmtId="0" fontId="19" fillId="3" borderId="0" xfId="0" applyFont="1" applyFill="1" applyAlignment="1">
      <alignment vertical="center" wrapText="1"/>
    </xf>
    <xf numFmtId="0" fontId="18" fillId="3" borderId="0" xfId="0" applyFont="1" applyFill="1" applyAlignment="1">
      <alignment vertical="center" wrapText="1"/>
    </xf>
    <xf numFmtId="0" fontId="18" fillId="3" borderId="0" xfId="0" applyFont="1" applyFill="1" applyAlignment="1">
      <alignment horizontal="center" vertical="center" wrapText="1"/>
    </xf>
    <xf numFmtId="0" fontId="19" fillId="3" borderId="0" xfId="0" applyFont="1" applyFill="1" applyAlignment="1">
      <alignment vertical="center"/>
    </xf>
    <xf numFmtId="165" fontId="12" fillId="3" borderId="0" xfId="0" applyNumberFormat="1" applyFont="1" applyFill="1" applyAlignment="1">
      <alignment horizontal="center" vertical="center"/>
    </xf>
    <xf numFmtId="3" fontId="12" fillId="3" borderId="0" xfId="0" applyNumberFormat="1" applyFont="1" applyFill="1" applyAlignment="1">
      <alignment horizontal="center" vertical="center" wrapText="1"/>
    </xf>
    <xf numFmtId="0" fontId="9" fillId="7" borderId="19" xfId="0" applyFont="1" applyFill="1" applyBorder="1" applyAlignment="1">
      <alignment horizontal="center" vertical="center" wrapText="1"/>
    </xf>
    <xf numFmtId="0" fontId="9" fillId="7" borderId="15" xfId="0" applyFont="1" applyFill="1" applyBorder="1" applyAlignment="1">
      <alignment vertical="center" wrapText="1"/>
    </xf>
    <xf numFmtId="1" fontId="9" fillId="7" borderId="15" xfId="0" applyNumberFormat="1" applyFont="1" applyFill="1" applyBorder="1" applyAlignment="1">
      <alignment horizontal="center" vertical="center" wrapText="1"/>
    </xf>
    <xf numFmtId="0" fontId="9" fillId="7" borderId="19" xfId="0" applyFont="1" applyFill="1" applyBorder="1" applyAlignment="1">
      <alignment vertical="center" wrapText="1"/>
    </xf>
    <xf numFmtId="168" fontId="9" fillId="5" borderId="32" xfId="0" applyNumberFormat="1" applyFont="1" applyFill="1" applyBorder="1" applyAlignment="1">
      <alignment horizontal="center" vertical="center" wrapText="1"/>
    </xf>
    <xf numFmtId="165" fontId="12" fillId="0" borderId="15" xfId="0" applyNumberFormat="1" applyFont="1" applyBorder="1" applyAlignment="1">
      <alignment horizontal="center" vertical="center"/>
    </xf>
    <xf numFmtId="2" fontId="12" fillId="0" borderId="44" xfId="0" applyNumberFormat="1" applyFont="1" applyBorder="1" applyAlignment="1">
      <alignment horizontal="center" vertical="center"/>
    </xf>
    <xf numFmtId="165" fontId="12" fillId="0" borderId="37" xfId="0" applyNumberFormat="1" applyFont="1" applyBorder="1" applyAlignment="1">
      <alignment horizontal="center" vertical="center"/>
    </xf>
    <xf numFmtId="2" fontId="12" fillId="0" borderId="78" xfId="0" applyNumberFormat="1" applyFont="1" applyBorder="1" applyAlignment="1">
      <alignment horizontal="center" vertical="center"/>
    </xf>
    <xf numFmtId="165" fontId="12" fillId="0" borderId="16" xfId="0" applyNumberFormat="1" applyFont="1" applyBorder="1" applyAlignment="1">
      <alignment horizontal="center" vertical="center"/>
    </xf>
    <xf numFmtId="0" fontId="12" fillId="3" borderId="30" xfId="0" applyFont="1" applyFill="1" applyBorder="1" applyAlignment="1">
      <alignment horizontal="center" vertical="center" wrapText="1"/>
    </xf>
    <xf numFmtId="1" fontId="12" fillId="0" borderId="15" xfId="0" applyNumberFormat="1" applyFont="1" applyBorder="1" applyAlignment="1">
      <alignment horizontal="center" vertical="center"/>
    </xf>
    <xf numFmtId="1" fontId="12" fillId="0" borderId="19" xfId="0" applyNumberFormat="1" applyFont="1" applyBorder="1" applyAlignment="1">
      <alignment horizontal="center" vertical="center"/>
    </xf>
    <xf numFmtId="2" fontId="12" fillId="3" borderId="0" xfId="0" applyNumberFormat="1" applyFont="1" applyFill="1" applyAlignment="1">
      <alignment horizontal="center" vertical="center"/>
    </xf>
    <xf numFmtId="1" fontId="12" fillId="0" borderId="16" xfId="0" applyNumberFormat="1" applyFont="1" applyBorder="1" applyAlignment="1">
      <alignment horizontal="center" vertical="center"/>
    </xf>
    <xf numFmtId="1" fontId="12" fillId="0" borderId="23" xfId="0" applyNumberFormat="1" applyFont="1" applyBorder="1" applyAlignment="1">
      <alignment horizontal="center" vertical="center"/>
    </xf>
    <xf numFmtId="2" fontId="12" fillId="3" borderId="0" xfId="0" applyNumberFormat="1" applyFont="1" applyFill="1" applyAlignment="1">
      <alignment horizontal="center" vertical="center" wrapText="1"/>
    </xf>
    <xf numFmtId="1" fontId="9" fillId="3" borderId="0" xfId="0" applyNumberFormat="1" applyFont="1" applyFill="1" applyAlignment="1">
      <alignment horizontal="center" vertical="center" wrapText="1"/>
    </xf>
    <xf numFmtId="169" fontId="12" fillId="3" borderId="0" xfId="0" applyNumberFormat="1" applyFont="1" applyFill="1" applyAlignment="1">
      <alignment vertical="center"/>
    </xf>
    <xf numFmtId="11" fontId="12" fillId="3" borderId="0" xfId="0" applyNumberFormat="1" applyFont="1" applyFill="1" applyAlignment="1">
      <alignment vertical="center"/>
    </xf>
    <xf numFmtId="0" fontId="9" fillId="7" borderId="41"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9" fillId="7" borderId="40" xfId="0" applyFont="1" applyFill="1" applyBorder="1" applyAlignment="1">
      <alignment vertical="center" wrapText="1"/>
    </xf>
    <xf numFmtId="1" fontId="9" fillId="7" borderId="40" xfId="0" applyNumberFormat="1" applyFont="1" applyFill="1" applyBorder="1" applyAlignment="1">
      <alignment horizontal="center" vertical="center" wrapText="1"/>
    </xf>
    <xf numFmtId="0" fontId="9" fillId="7" borderId="41" xfId="0" applyFont="1" applyFill="1" applyBorder="1" applyAlignment="1">
      <alignment vertical="center" wrapText="1"/>
    </xf>
    <xf numFmtId="0" fontId="8" fillId="5" borderId="25" xfId="0" applyFont="1" applyFill="1" applyBorder="1" applyAlignment="1">
      <alignment horizontal="center" wrapText="1"/>
    </xf>
    <xf numFmtId="0" fontId="8" fillId="5" borderId="69" xfId="0" applyFont="1" applyFill="1" applyBorder="1" applyAlignment="1">
      <alignment horizontal="center" vertical="center"/>
    </xf>
    <xf numFmtId="0" fontId="9" fillId="5" borderId="27"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9" fillId="5" borderId="25" xfId="0" applyFont="1" applyFill="1" applyBorder="1" applyAlignment="1">
      <alignment vertical="center"/>
    </xf>
    <xf numFmtId="0" fontId="9" fillId="5" borderId="40" xfId="0" applyFont="1" applyFill="1" applyBorder="1" applyAlignment="1">
      <alignment horizontal="center" vertical="center" wrapText="1"/>
    </xf>
    <xf numFmtId="168" fontId="9" fillId="5" borderId="19" xfId="0" applyNumberFormat="1" applyFont="1" applyFill="1" applyBorder="1" applyAlignment="1">
      <alignment horizontal="center" vertical="center" wrapText="1"/>
    </xf>
    <xf numFmtId="0" fontId="9" fillId="5" borderId="40" xfId="0" applyFont="1" applyFill="1" applyBorder="1" applyAlignment="1">
      <alignment vertical="center"/>
    </xf>
    <xf numFmtId="0" fontId="8" fillId="5" borderId="57" xfId="0" applyFont="1" applyFill="1" applyBorder="1" applyAlignment="1">
      <alignment horizontal="center" vertical="center"/>
    </xf>
    <xf numFmtId="168" fontId="9" fillId="5" borderId="57" xfId="0" applyNumberFormat="1" applyFont="1" applyFill="1" applyBorder="1" applyAlignment="1">
      <alignment horizontal="center" vertical="center" wrapText="1"/>
    </xf>
    <xf numFmtId="0" fontId="9" fillId="5" borderId="41" xfId="0" applyFont="1" applyFill="1" applyBorder="1" applyAlignment="1">
      <alignment horizontal="center" vertical="center" wrapText="1"/>
    </xf>
    <xf numFmtId="167" fontId="12" fillId="3" borderId="0" xfId="0" applyNumberFormat="1" applyFont="1" applyFill="1" applyAlignment="1">
      <alignment horizontal="center" vertical="center"/>
    </xf>
    <xf numFmtId="0" fontId="14" fillId="5" borderId="36"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12" fillId="2" borderId="59" xfId="0" applyFont="1" applyFill="1" applyBorder="1" applyAlignment="1" applyProtection="1">
      <alignment horizontal="center" vertical="center" wrapText="1"/>
      <protection locked="0"/>
    </xf>
    <xf numFmtId="1" fontId="12" fillId="2" borderId="16" xfId="2" applyNumberFormat="1"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1" fontId="12" fillId="3" borderId="0" xfId="2" applyNumberFormat="1" applyFont="1" applyFill="1" applyBorder="1" applyAlignment="1">
      <alignment horizontal="center" vertical="center" wrapText="1"/>
    </xf>
    <xf numFmtId="0" fontId="22" fillId="3" borderId="30" xfId="0" applyFont="1" applyFill="1" applyBorder="1" applyAlignment="1">
      <alignment vertical="center"/>
    </xf>
    <xf numFmtId="0" fontId="22" fillId="3" borderId="0" xfId="0" applyFont="1" applyFill="1" applyAlignment="1">
      <alignment vertical="center"/>
    </xf>
    <xf numFmtId="0" fontId="9" fillId="3" borderId="30" xfId="0" applyFont="1" applyFill="1" applyBorder="1" applyAlignment="1">
      <alignment horizontal="center" vertical="center" wrapText="1"/>
    </xf>
    <xf numFmtId="165" fontId="9" fillId="3" borderId="30" xfId="0" applyNumberFormat="1" applyFont="1" applyFill="1" applyBorder="1" applyAlignment="1">
      <alignment vertical="center" wrapText="1"/>
    </xf>
    <xf numFmtId="0" fontId="9" fillId="3" borderId="30" xfId="0" applyFont="1" applyFill="1" applyBorder="1" applyAlignment="1">
      <alignment vertical="center" wrapText="1"/>
    </xf>
    <xf numFmtId="0" fontId="6" fillId="0" borderId="0" xfId="0" applyFont="1" applyAlignment="1">
      <alignment vertical="center" wrapText="1"/>
    </xf>
    <xf numFmtId="0" fontId="7" fillId="13" borderId="0" xfId="0" applyFont="1" applyFill="1"/>
    <xf numFmtId="0" fontId="8" fillId="3" borderId="0" xfId="0" applyFont="1" applyFill="1"/>
    <xf numFmtId="0" fontId="6" fillId="3" borderId="2" xfId="0" applyFont="1" applyFill="1" applyBorder="1"/>
    <xf numFmtId="0" fontId="6" fillId="3" borderId="3" xfId="0" applyFont="1" applyFill="1" applyBorder="1"/>
    <xf numFmtId="0" fontId="12" fillId="3" borderId="0" xfId="0" applyFont="1" applyFill="1"/>
    <xf numFmtId="0" fontId="9" fillId="3" borderId="13" xfId="0" applyFont="1" applyFill="1" applyBorder="1" applyAlignment="1">
      <alignment horizontal="center"/>
    </xf>
    <xf numFmtId="0" fontId="9" fillId="3" borderId="13" xfId="0" applyFont="1" applyFill="1" applyBorder="1" applyAlignment="1">
      <alignment horizontal="center" wrapText="1"/>
    </xf>
    <xf numFmtId="0" fontId="8" fillId="3" borderId="12" xfId="0" applyFont="1" applyFill="1" applyBorder="1" applyAlignment="1">
      <alignment horizontal="center" wrapText="1"/>
    </xf>
    <xf numFmtId="0" fontId="8" fillId="3" borderId="13" xfId="0" applyFont="1" applyFill="1" applyBorder="1" applyAlignment="1">
      <alignment horizontal="center" wrapText="1"/>
    </xf>
    <xf numFmtId="0" fontId="8" fillId="3" borderId="14" xfId="0" applyFont="1" applyFill="1" applyBorder="1" applyAlignment="1">
      <alignment horizontal="center" wrapText="1"/>
    </xf>
    <xf numFmtId="0" fontId="12" fillId="3" borderId="11" xfId="0" applyFont="1" applyFill="1" applyBorder="1" applyAlignment="1">
      <alignment horizontal="left"/>
    </xf>
    <xf numFmtId="0" fontId="6" fillId="3" borderId="0" xfId="0" applyFont="1" applyFill="1" applyAlignment="1">
      <alignment horizontal="left" vertical="center" wrapText="1"/>
    </xf>
    <xf numFmtId="0" fontId="6" fillId="3" borderId="11" xfId="0" applyFont="1" applyFill="1" applyBorder="1" applyAlignment="1">
      <alignment vertical="center" wrapText="1"/>
    </xf>
    <xf numFmtId="0" fontId="12" fillId="3" borderId="11" xfId="0" applyFont="1" applyFill="1" applyBorder="1" applyAlignment="1">
      <alignment horizontal="center" vertical="center"/>
    </xf>
    <xf numFmtId="2" fontId="12" fillId="3" borderId="11" xfId="0" applyNumberFormat="1" applyFont="1" applyFill="1" applyBorder="1" applyAlignment="1">
      <alignment horizontal="center" vertical="center"/>
    </xf>
    <xf numFmtId="164" fontId="12" fillId="3" borderId="11" xfId="0" applyNumberFormat="1" applyFont="1" applyFill="1" applyBorder="1" applyAlignment="1">
      <alignment horizontal="center" vertical="center"/>
    </xf>
    <xf numFmtId="0" fontId="12" fillId="3" borderId="11" xfId="0" quotePrefix="1" applyFont="1" applyFill="1" applyBorder="1" applyAlignment="1">
      <alignment horizontal="center" vertical="center"/>
    </xf>
    <xf numFmtId="1" fontId="12" fillId="3" borderId="11" xfId="0" quotePrefix="1" applyNumberFormat="1" applyFont="1" applyFill="1" applyBorder="1" applyAlignment="1">
      <alignment horizontal="center" vertical="center"/>
    </xf>
    <xf numFmtId="0" fontId="6" fillId="3" borderId="5" xfId="0" applyFont="1" applyFill="1" applyBorder="1"/>
    <xf numFmtId="166" fontId="6" fillId="3" borderId="7" xfId="0" applyNumberFormat="1" applyFont="1" applyFill="1" applyBorder="1"/>
    <xf numFmtId="0" fontId="12" fillId="3" borderId="0" xfId="0" applyFont="1" applyFill="1" applyAlignment="1">
      <alignment horizontal="left" vertical="center"/>
    </xf>
    <xf numFmtId="0" fontId="12" fillId="3" borderId="0" xfId="0" quotePrefix="1" applyFont="1" applyFill="1" applyAlignment="1">
      <alignment horizontal="center" vertical="center"/>
    </xf>
    <xf numFmtId="164" fontId="12" fillId="3" borderId="0" xfId="0" quotePrefix="1" applyNumberFormat="1" applyFont="1" applyFill="1" applyAlignment="1">
      <alignment horizontal="center" vertical="center"/>
    </xf>
    <xf numFmtId="0" fontId="6" fillId="3" borderId="8" xfId="0" applyFont="1" applyFill="1" applyBorder="1"/>
    <xf numFmtId="0" fontId="6" fillId="3" borderId="7" xfId="0" applyFont="1" applyFill="1" applyBorder="1"/>
    <xf numFmtId="0" fontId="8" fillId="3" borderId="3" xfId="0" applyFont="1" applyFill="1" applyBorder="1"/>
    <xf numFmtId="0" fontId="6" fillId="3" borderId="7" xfId="0" applyFont="1" applyFill="1" applyBorder="1" applyAlignment="1">
      <alignment wrapText="1"/>
    </xf>
    <xf numFmtId="0" fontId="6" fillId="3" borderId="11" xfId="0" applyFont="1" applyFill="1" applyBorder="1" applyAlignment="1">
      <alignment horizontal="center" vertical="center" wrapText="1"/>
    </xf>
    <xf numFmtId="0" fontId="8" fillId="3" borderId="0" xfId="0" applyFont="1" applyFill="1" applyAlignment="1">
      <alignment horizontal="center" wrapText="1"/>
    </xf>
    <xf numFmtId="0" fontId="6" fillId="3" borderId="6" xfId="0" applyFont="1" applyFill="1" applyBorder="1"/>
    <xf numFmtId="0" fontId="6" fillId="3" borderId="9" xfId="0" applyFont="1" applyFill="1" applyBorder="1"/>
    <xf numFmtId="0" fontId="6" fillId="3" borderId="11" xfId="0" applyFont="1" applyFill="1" applyBorder="1" applyAlignment="1">
      <alignment horizontal="left" vertical="center" wrapText="1"/>
    </xf>
    <xf numFmtId="0" fontId="6" fillId="3" borderId="11" xfId="0" quotePrefix="1" applyFont="1" applyFill="1" applyBorder="1" applyAlignment="1">
      <alignment horizontal="center" vertical="center"/>
    </xf>
    <xf numFmtId="0" fontId="6" fillId="3" borderId="0" xfId="0" applyFont="1" applyFill="1" applyAlignment="1">
      <alignment horizontal="left"/>
    </xf>
    <xf numFmtId="0" fontId="6" fillId="3" borderId="11" xfId="0" applyFont="1" applyFill="1" applyBorder="1"/>
    <xf numFmtId="0" fontId="6" fillId="3" borderId="11" xfId="0" applyFont="1" applyFill="1" applyBorder="1" applyAlignment="1">
      <alignment horizontal="center"/>
    </xf>
    <xf numFmtId="165" fontId="6" fillId="3" borderId="1" xfId="0" applyNumberFormat="1" applyFont="1" applyFill="1" applyBorder="1"/>
    <xf numFmtId="0" fontId="6" fillId="3" borderId="1" xfId="0" applyFont="1" applyFill="1" applyBorder="1"/>
    <xf numFmtId="165" fontId="12" fillId="3" borderId="0" xfId="0" applyNumberFormat="1" applyFont="1" applyFill="1" applyAlignment="1">
      <alignment horizontal="center" vertical="center" wrapText="1"/>
    </xf>
    <xf numFmtId="0" fontId="6" fillId="0" borderId="1" xfId="0" applyFont="1" applyBorder="1" applyAlignment="1">
      <alignment vertical="center"/>
    </xf>
    <xf numFmtId="0" fontId="6" fillId="0" borderId="21" xfId="0" applyFont="1" applyBorder="1" applyAlignment="1">
      <alignment horizontal="center" vertical="center"/>
    </xf>
    <xf numFmtId="0" fontId="6" fillId="0" borderId="71" xfId="0" applyFont="1" applyBorder="1" applyAlignment="1">
      <alignment horizontal="center" vertical="center"/>
    </xf>
    <xf numFmtId="0" fontId="6" fillId="0" borderId="20" xfId="0" applyFont="1" applyBorder="1" applyAlignment="1">
      <alignment horizontal="center" vertical="center"/>
    </xf>
    <xf numFmtId="0" fontId="6" fillId="11" borderId="0" xfId="0" applyFont="1" applyFill="1" applyAlignment="1">
      <alignment vertical="center" wrapText="1"/>
    </xf>
    <xf numFmtId="0" fontId="12" fillId="11" borderId="0" xfId="1" applyFont="1" applyFill="1"/>
    <xf numFmtId="0" fontId="6" fillId="11" borderId="0" xfId="0" applyFont="1" applyFill="1" applyAlignment="1">
      <alignment wrapText="1"/>
    </xf>
    <xf numFmtId="0" fontId="12" fillId="0" borderId="22" xfId="1" applyFont="1" applyBorder="1" applyAlignment="1">
      <alignment vertical="center" wrapText="1"/>
    </xf>
    <xf numFmtId="0" fontId="12" fillId="0" borderId="16" xfId="1" applyFont="1" applyBorder="1" applyAlignment="1">
      <alignment horizontal="center" vertical="center" wrapText="1"/>
    </xf>
    <xf numFmtId="0" fontId="12" fillId="0" borderId="23" xfId="1" applyFont="1" applyBorder="1" applyAlignment="1">
      <alignment vertical="center" wrapText="1"/>
    </xf>
    <xf numFmtId="0" fontId="12" fillId="0" borderId="65" xfId="1" applyFont="1" applyBorder="1" applyAlignment="1">
      <alignment vertical="center" wrapText="1"/>
    </xf>
    <xf numFmtId="0" fontId="12" fillId="0" borderId="66" xfId="1" applyFont="1" applyBorder="1" applyAlignment="1">
      <alignment horizontal="center" vertical="center" wrapText="1"/>
    </xf>
    <xf numFmtId="0" fontId="12" fillId="0" borderId="67" xfId="1" applyFont="1" applyBorder="1" applyAlignment="1">
      <alignment vertical="center" wrapText="1"/>
    </xf>
    <xf numFmtId="0" fontId="12" fillId="0" borderId="20" xfId="1" applyFont="1" applyBorder="1" applyAlignment="1">
      <alignment vertical="center" wrapText="1"/>
    </xf>
    <xf numFmtId="0" fontId="12" fillId="0" borderId="1" xfId="1" applyFont="1" applyBorder="1" applyAlignment="1">
      <alignment horizontal="center" vertical="center" wrapText="1"/>
    </xf>
    <xf numFmtId="0" fontId="12" fillId="0" borderId="21" xfId="1" applyFont="1" applyBorder="1" applyAlignment="1">
      <alignment vertical="center" wrapText="1"/>
    </xf>
    <xf numFmtId="3" fontId="12" fillId="0" borderId="1" xfId="1" applyNumberFormat="1" applyFont="1" applyBorder="1" applyAlignment="1">
      <alignment horizontal="center" vertical="center" wrapText="1"/>
    </xf>
    <xf numFmtId="0" fontId="16" fillId="3" borderId="82" xfId="0" applyFont="1" applyFill="1" applyBorder="1" applyAlignment="1">
      <alignment horizontal="left" vertical="center" wrapText="1"/>
    </xf>
    <xf numFmtId="3" fontId="12" fillId="0" borderId="16" xfId="1" applyNumberFormat="1" applyFont="1" applyBorder="1" applyAlignment="1">
      <alignment horizontal="center" vertical="center" wrapText="1"/>
    </xf>
    <xf numFmtId="0" fontId="6" fillId="0" borderId="31" xfId="0" applyFont="1" applyBorder="1" applyAlignment="1">
      <alignment vertical="center"/>
    </xf>
    <xf numFmtId="0" fontId="6" fillId="0" borderId="32" xfId="0" applyFont="1" applyBorder="1" applyAlignment="1">
      <alignment horizontal="center" vertical="center"/>
    </xf>
    <xf numFmtId="0" fontId="6" fillId="0" borderId="37" xfId="0" applyFont="1" applyBorder="1" applyAlignment="1">
      <alignment vertical="center"/>
    </xf>
    <xf numFmtId="0" fontId="6" fillId="0" borderId="23" xfId="0" applyFont="1" applyBorder="1" applyAlignment="1">
      <alignment horizontal="center" vertical="center"/>
    </xf>
    <xf numFmtId="0" fontId="6" fillId="0" borderId="39" xfId="0" applyFont="1" applyBorder="1" applyAlignment="1">
      <alignment horizontal="center" vertical="center"/>
    </xf>
    <xf numFmtId="0" fontId="6" fillId="11" borderId="0" xfId="0" applyFont="1" applyFill="1"/>
    <xf numFmtId="0" fontId="9" fillId="10" borderId="47" xfId="1" applyFont="1" applyFill="1" applyBorder="1" applyAlignment="1">
      <alignment horizontal="center" vertical="center" wrapText="1"/>
    </xf>
    <xf numFmtId="0" fontId="9" fillId="10" borderId="60" xfId="1" applyFont="1" applyFill="1" applyBorder="1" applyAlignment="1">
      <alignment horizontal="center" vertical="center" wrapText="1"/>
    </xf>
    <xf numFmtId="0" fontId="6" fillId="11" borderId="64" xfId="0" applyFont="1" applyFill="1" applyBorder="1" applyAlignment="1">
      <alignment horizontal="center" vertical="center"/>
    </xf>
    <xf numFmtId="0" fontId="6" fillId="0" borderId="46" xfId="0" applyFont="1" applyBorder="1"/>
    <xf numFmtId="9" fontId="6" fillId="0" borderId="46" xfId="0" applyNumberFormat="1" applyFont="1" applyBorder="1"/>
    <xf numFmtId="0" fontId="6" fillId="0" borderId="45" xfId="0" applyFont="1" applyBorder="1"/>
    <xf numFmtId="9" fontId="6" fillId="0" borderId="45" xfId="0" applyNumberFormat="1" applyFont="1" applyBorder="1"/>
    <xf numFmtId="0" fontId="9" fillId="10" borderId="61" xfId="1" applyFont="1" applyFill="1" applyBorder="1" applyAlignment="1">
      <alignment horizontal="center" vertical="center" wrapText="1"/>
    </xf>
    <xf numFmtId="0" fontId="6" fillId="0" borderId="62" xfId="0" applyFont="1" applyBorder="1"/>
    <xf numFmtId="0" fontId="6" fillId="0" borderId="63" xfId="0" applyFont="1" applyBorder="1"/>
    <xf numFmtId="9" fontId="6" fillId="0" borderId="46" xfId="0" applyNumberFormat="1" applyFont="1" applyBorder="1" applyAlignment="1">
      <alignment horizontal="center"/>
    </xf>
    <xf numFmtId="9" fontId="6" fillId="0" borderId="45" xfId="0" applyNumberFormat="1" applyFont="1" applyBorder="1" applyAlignment="1">
      <alignment horizontal="center"/>
    </xf>
    <xf numFmtId="0" fontId="6" fillId="0" borderId="81" xfId="0" applyFont="1" applyBorder="1"/>
    <xf numFmtId="0" fontId="8" fillId="6" borderId="47"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51" xfId="0" applyFont="1" applyFill="1" applyBorder="1" applyAlignment="1">
      <alignment horizontal="left" wrapText="1"/>
    </xf>
    <xf numFmtId="0" fontId="6" fillId="3" borderId="17" xfId="0" applyFont="1" applyFill="1" applyBorder="1" applyAlignment="1">
      <alignment horizontal="center"/>
    </xf>
    <xf numFmtId="164" fontId="6" fillId="3" borderId="15" xfId="0" applyNumberFormat="1" applyFont="1" applyFill="1" applyBorder="1" applyAlignment="1">
      <alignment horizontal="center"/>
    </xf>
    <xf numFmtId="0" fontId="6" fillId="3" borderId="20" xfId="0" applyFont="1" applyFill="1" applyBorder="1" applyAlignment="1">
      <alignment horizontal="center"/>
    </xf>
    <xf numFmtId="0" fontId="6" fillId="3" borderId="1" xfId="0" applyFont="1" applyFill="1" applyBorder="1" applyAlignment="1">
      <alignment horizontal="center"/>
    </xf>
    <xf numFmtId="3" fontId="6" fillId="0" borderId="20" xfId="0" applyNumberFormat="1" applyFont="1" applyBorder="1" applyAlignment="1">
      <alignment horizontal="center" vertical="center"/>
    </xf>
    <xf numFmtId="1" fontId="6" fillId="3" borderId="1" xfId="0" applyNumberFormat="1" applyFont="1" applyFill="1" applyBorder="1" applyAlignment="1">
      <alignment horizontal="center"/>
    </xf>
    <xf numFmtId="0" fontId="8" fillId="6" borderId="59" xfId="0" applyFont="1" applyFill="1" applyBorder="1" applyAlignment="1">
      <alignment horizontal="left" wrapText="1"/>
    </xf>
    <xf numFmtId="0" fontId="6" fillId="3" borderId="59" xfId="0" applyFont="1" applyFill="1" applyBorder="1"/>
    <xf numFmtId="0" fontId="6" fillId="3" borderId="83" xfId="0" applyFont="1" applyFill="1" applyBorder="1"/>
    <xf numFmtId="0" fontId="24" fillId="3" borderId="0" xfId="0" applyFont="1" applyFill="1"/>
    <xf numFmtId="0" fontId="25" fillId="3" borderId="0" xfId="0" applyFont="1" applyFill="1"/>
    <xf numFmtId="0" fontId="26" fillId="3" borderId="0" xfId="0" applyFont="1" applyFill="1" applyAlignment="1">
      <alignment vertical="center"/>
    </xf>
    <xf numFmtId="0" fontId="25" fillId="3" borderId="0" xfId="0" applyFont="1" applyFill="1" applyAlignment="1">
      <alignment vertical="center"/>
    </xf>
    <xf numFmtId="0" fontId="23" fillId="3" borderId="0" xfId="0" applyFont="1" applyFill="1" applyAlignment="1">
      <alignment vertical="center"/>
    </xf>
    <xf numFmtId="0" fontId="23" fillId="3" borderId="30" xfId="0" applyFont="1" applyFill="1" applyBorder="1" applyAlignment="1">
      <alignment vertical="center"/>
    </xf>
    <xf numFmtId="0" fontId="25" fillId="0" borderId="0" xfId="0" applyFont="1" applyAlignment="1">
      <alignment vertical="center"/>
    </xf>
    <xf numFmtId="0" fontId="6" fillId="3" borderId="1" xfId="0" applyFont="1" applyFill="1" applyBorder="1" applyAlignment="1">
      <alignment vertical="center"/>
    </xf>
    <xf numFmtId="2" fontId="12" fillId="0" borderId="1" xfId="0" applyNumberFormat="1" applyFont="1" applyBorder="1" applyAlignment="1">
      <alignment horizontal="center" vertical="center"/>
    </xf>
    <xf numFmtId="0" fontId="16" fillId="5" borderId="1" xfId="0" applyFont="1" applyFill="1" applyBorder="1" applyAlignment="1">
      <alignment horizontal="center"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2" fontId="12" fillId="0" borderId="21" xfId="0" applyNumberFormat="1" applyFont="1" applyBorder="1" applyAlignment="1">
      <alignment horizontal="center" vertical="center"/>
    </xf>
    <xf numFmtId="0" fontId="16" fillId="5" borderId="24" xfId="0" applyFont="1" applyFill="1" applyBorder="1" applyAlignment="1">
      <alignment horizontal="center" vertical="center" wrapText="1"/>
    </xf>
    <xf numFmtId="0" fontId="16" fillId="5" borderId="15" xfId="0" applyFont="1" applyFill="1" applyBorder="1" applyAlignment="1">
      <alignment horizontal="center" vertical="center" wrapText="1"/>
    </xf>
    <xf numFmtId="0" fontId="16" fillId="5" borderId="31" xfId="0" applyFont="1" applyFill="1" applyBorder="1" applyAlignment="1">
      <alignment horizontal="center" vertical="center" wrapText="1"/>
    </xf>
    <xf numFmtId="2" fontId="12" fillId="0" borderId="31" xfId="0" applyNumberFormat="1" applyFont="1" applyBorder="1" applyAlignment="1">
      <alignment horizontal="center" vertical="center"/>
    </xf>
    <xf numFmtId="2" fontId="12" fillId="0" borderId="32" xfId="0" applyNumberFormat="1" applyFont="1" applyBorder="1" applyAlignment="1">
      <alignment horizontal="center" vertical="center"/>
    </xf>
    <xf numFmtId="0" fontId="8" fillId="6" borderId="1" xfId="0" applyFont="1" applyFill="1" applyBorder="1" applyAlignment="1">
      <alignment horizontal="center"/>
    </xf>
    <xf numFmtId="0" fontId="6" fillId="3" borderId="1" xfId="0" applyFont="1" applyFill="1" applyBorder="1" applyAlignment="1">
      <alignment horizontal="left"/>
    </xf>
    <xf numFmtId="0" fontId="6" fillId="3" borderId="1" xfId="0" applyFont="1" applyFill="1" applyBorder="1" applyAlignment="1">
      <alignment horizontal="left" wrapText="1"/>
    </xf>
    <xf numFmtId="0" fontId="8" fillId="3" borderId="31" xfId="0" applyFont="1" applyFill="1" applyBorder="1" applyAlignment="1">
      <alignment horizontal="left"/>
    </xf>
    <xf numFmtId="0" fontId="8" fillId="3" borderId="24" xfId="0" applyFont="1" applyFill="1" applyBorder="1" applyAlignment="1">
      <alignment horizontal="left"/>
    </xf>
    <xf numFmtId="0" fontId="6" fillId="3" borderId="1" xfId="0" quotePrefix="1" applyFont="1" applyFill="1" applyBorder="1" applyAlignment="1">
      <alignment wrapText="1"/>
    </xf>
    <xf numFmtId="0" fontId="6" fillId="3" borderId="1" xfId="0" quotePrefix="1" applyFont="1" applyFill="1" applyBorder="1" applyAlignment="1">
      <alignment vertical="center" wrapText="1"/>
    </xf>
    <xf numFmtId="0" fontId="18" fillId="3" borderId="0" xfId="0" applyFont="1" applyFill="1" applyAlignment="1">
      <alignment vertical="center"/>
    </xf>
    <xf numFmtId="0" fontId="6" fillId="8" borderId="0" xfId="0" applyFont="1" applyFill="1" applyAlignment="1">
      <alignment horizontal="center" vertical="center"/>
    </xf>
    <xf numFmtId="0" fontId="6" fillId="8" borderId="0" xfId="0" applyFont="1" applyFill="1" applyAlignment="1">
      <alignment horizontal="center" vertical="center" wrapText="1"/>
    </xf>
    <xf numFmtId="0" fontId="6" fillId="5" borderId="0" xfId="0" applyFont="1" applyFill="1" applyAlignment="1">
      <alignment vertical="center"/>
    </xf>
    <xf numFmtId="11" fontId="6" fillId="3" borderId="0" xfId="0" applyNumberFormat="1" applyFont="1" applyFill="1" applyAlignment="1">
      <alignment horizontal="center" vertical="center"/>
    </xf>
    <xf numFmtId="168" fontId="6" fillId="5" borderId="0" xfId="0" applyNumberFormat="1" applyFont="1" applyFill="1" applyAlignment="1">
      <alignment vertical="center"/>
    </xf>
    <xf numFmtId="2" fontId="6" fillId="3" borderId="0" xfId="0" applyNumberFormat="1" applyFont="1" applyFill="1" applyAlignment="1">
      <alignment horizontal="center" vertical="center"/>
    </xf>
    <xf numFmtId="0" fontId="8" fillId="3" borderId="0" xfId="0" applyFont="1" applyFill="1" applyAlignment="1">
      <alignment vertical="center" wrapText="1"/>
    </xf>
    <xf numFmtId="0" fontId="8" fillId="3" borderId="0" xfId="0" applyFont="1" applyFill="1" applyAlignment="1">
      <alignment horizontal="center" vertical="center"/>
    </xf>
    <xf numFmtId="0" fontId="16" fillId="3" borderId="0" xfId="0" applyFont="1" applyFill="1" applyAlignment="1">
      <alignment horizontal="left" vertical="center" wrapText="1"/>
    </xf>
    <xf numFmtId="0" fontId="8" fillId="3" borderId="0" xfId="0" applyFont="1" applyFill="1" applyAlignment="1">
      <alignment horizontal="center" vertical="center" wrapText="1"/>
    </xf>
    <xf numFmtId="11" fontId="6" fillId="3" borderId="0" xfId="0" applyNumberFormat="1" applyFont="1" applyFill="1" applyAlignment="1">
      <alignment horizontal="center" vertical="center" wrapText="1"/>
    </xf>
    <xf numFmtId="2" fontId="12" fillId="0" borderId="37" xfId="0" applyNumberFormat="1" applyFont="1" applyBorder="1" applyAlignment="1">
      <alignment horizontal="center" vertical="center"/>
    </xf>
    <xf numFmtId="2" fontId="6" fillId="0" borderId="19" xfId="0" applyNumberFormat="1" applyFont="1" applyBorder="1" applyAlignment="1">
      <alignment horizontal="center" vertical="center"/>
    </xf>
    <xf numFmtId="2" fontId="6" fillId="0" borderId="23" xfId="0" applyNumberFormat="1" applyFont="1" applyBorder="1" applyAlignment="1">
      <alignment horizontal="center" vertical="center"/>
    </xf>
    <xf numFmtId="2" fontId="6" fillId="0" borderId="15" xfId="0" applyNumberFormat="1" applyFont="1" applyBorder="1" applyAlignment="1">
      <alignment horizontal="center" vertical="center"/>
    </xf>
    <xf numFmtId="2" fontId="6" fillId="0" borderId="16" xfId="0" applyNumberFormat="1" applyFont="1" applyBorder="1" applyAlignment="1">
      <alignment horizontal="center" vertical="center"/>
    </xf>
    <xf numFmtId="2" fontId="12" fillId="0" borderId="43" xfId="0" applyNumberFormat="1" applyFont="1" applyBorder="1" applyAlignment="1">
      <alignment horizontal="center" vertical="center"/>
    </xf>
    <xf numFmtId="0" fontId="6" fillId="3" borderId="18" xfId="0" applyFont="1" applyFill="1" applyBorder="1"/>
    <xf numFmtId="0" fontId="6" fillId="3" borderId="52" xfId="0" applyFont="1" applyFill="1" applyBorder="1"/>
    <xf numFmtId="0" fontId="6" fillId="3" borderId="29" xfId="0" applyFont="1" applyFill="1" applyBorder="1"/>
    <xf numFmtId="0" fontId="8" fillId="6" borderId="92" xfId="0" applyFont="1" applyFill="1" applyBorder="1" applyAlignment="1">
      <alignment horizontal="center" vertical="center" wrapText="1"/>
    </xf>
    <xf numFmtId="0" fontId="6" fillId="3" borderId="94" xfId="0" applyFont="1" applyFill="1" applyBorder="1" applyAlignment="1">
      <alignment wrapText="1"/>
    </xf>
    <xf numFmtId="0" fontId="6" fillId="3" borderId="95" xfId="0" applyFont="1" applyFill="1" applyBorder="1" applyAlignment="1">
      <alignment wrapText="1"/>
    </xf>
    <xf numFmtId="0" fontId="6" fillId="0" borderId="7" xfId="0" applyFont="1" applyBorder="1"/>
    <xf numFmtId="2" fontId="6" fillId="0" borderId="25" xfId="0" applyNumberFormat="1" applyFont="1" applyBorder="1" applyAlignment="1">
      <alignment horizontal="center" vertical="center"/>
    </xf>
    <xf numFmtId="2" fontId="6" fillId="0" borderId="27" xfId="0" applyNumberFormat="1" applyFont="1" applyBorder="1" applyAlignment="1">
      <alignment horizontal="center" vertical="center"/>
    </xf>
    <xf numFmtId="0" fontId="6" fillId="0" borderId="55" xfId="0" applyFont="1" applyBorder="1" applyAlignment="1">
      <alignment vertical="center" wrapText="1"/>
    </xf>
    <xf numFmtId="2" fontId="6" fillId="3" borderId="0" xfId="0" applyNumberFormat="1" applyFont="1" applyFill="1" applyAlignment="1">
      <alignment vertical="center"/>
    </xf>
    <xf numFmtId="0" fontId="6" fillId="0" borderId="56" xfId="0" applyFont="1" applyBorder="1" applyAlignment="1">
      <alignment vertical="center" wrapText="1"/>
    </xf>
    <xf numFmtId="2" fontId="6" fillId="0" borderId="40" xfId="0" applyNumberFormat="1" applyFont="1" applyBorder="1" applyAlignment="1">
      <alignment horizontal="center" vertical="center"/>
    </xf>
    <xf numFmtId="2" fontId="6" fillId="0" borderId="41" xfId="0" applyNumberFormat="1" applyFont="1" applyBorder="1" applyAlignment="1">
      <alignment horizontal="center" vertical="center"/>
    </xf>
    <xf numFmtId="0" fontId="6" fillId="0" borderId="36" xfId="0" applyFont="1" applyBorder="1" applyAlignment="1">
      <alignment vertical="center" wrapText="1"/>
    </xf>
    <xf numFmtId="0" fontId="6" fillId="0" borderId="99" xfId="0" applyFont="1" applyBorder="1"/>
    <xf numFmtId="0" fontId="16" fillId="3" borderId="0" xfId="0" applyFont="1" applyFill="1" applyAlignment="1">
      <alignment horizontal="center" vertical="center" wrapText="1"/>
    </xf>
    <xf numFmtId="0" fontId="28" fillId="3" borderId="0" xfId="0" applyFont="1" applyFill="1" applyAlignment="1">
      <alignment horizontal="left" vertical="center"/>
    </xf>
    <xf numFmtId="0" fontId="6" fillId="3" borderId="29" xfId="0" applyFont="1" applyFill="1" applyBorder="1" applyAlignment="1">
      <alignment horizontal="center" vertical="center"/>
    </xf>
    <xf numFmtId="0" fontId="6" fillId="3" borderId="17" xfId="0" applyFont="1" applyFill="1" applyBorder="1" applyAlignment="1">
      <alignment vertical="center"/>
    </xf>
    <xf numFmtId="0" fontId="6" fillId="3" borderId="22" xfId="0" applyFont="1" applyFill="1" applyBorder="1" applyAlignment="1">
      <alignment vertical="center"/>
    </xf>
    <xf numFmtId="0" fontId="6" fillId="3" borderId="59" xfId="0" applyFont="1" applyFill="1" applyBorder="1" applyAlignment="1">
      <alignment vertical="center"/>
    </xf>
    <xf numFmtId="0" fontId="6" fillId="3" borderId="17" xfId="0" applyFont="1" applyFill="1" applyBorder="1" applyAlignment="1">
      <alignment horizontal="left" vertical="center"/>
    </xf>
    <xf numFmtId="0" fontId="6" fillId="3" borderId="22" xfId="0" applyFont="1" applyFill="1" applyBorder="1" applyAlignment="1">
      <alignment horizontal="left" vertical="center"/>
    </xf>
    <xf numFmtId="0" fontId="16" fillId="5" borderId="32" xfId="0" applyFont="1" applyFill="1" applyBorder="1" applyAlignment="1">
      <alignment horizontal="center" vertical="center" wrapText="1"/>
    </xf>
    <xf numFmtId="165" fontId="12" fillId="0" borderId="15" xfId="0" applyNumberFormat="1" applyFont="1" applyBorder="1" applyAlignment="1">
      <alignment horizontal="center" vertical="center" wrapText="1"/>
    </xf>
    <xf numFmtId="165" fontId="12" fillId="0" borderId="37" xfId="0" applyNumberFormat="1" applyFont="1" applyBorder="1" applyAlignment="1">
      <alignment horizontal="center" vertical="center" wrapText="1"/>
    </xf>
    <xf numFmtId="165" fontId="12" fillId="0" borderId="19" xfId="0" applyNumberFormat="1" applyFont="1" applyBorder="1" applyAlignment="1">
      <alignment horizontal="center" vertical="center"/>
    </xf>
    <xf numFmtId="165" fontId="12" fillId="0" borderId="43" xfId="0" applyNumberFormat="1" applyFont="1" applyBorder="1" applyAlignment="1">
      <alignment horizontal="center" vertical="center"/>
    </xf>
    <xf numFmtId="0" fontId="6" fillId="3" borderId="11" xfId="0" applyFont="1" applyFill="1" applyBorder="1" applyAlignment="1">
      <alignment horizontal="center" wrapText="1"/>
    </xf>
    <xf numFmtId="0" fontId="6" fillId="3" borderId="1" xfId="0" quotePrefix="1" applyFont="1" applyFill="1" applyBorder="1" applyAlignment="1">
      <alignment horizontal="left" wrapText="1"/>
    </xf>
    <xf numFmtId="0" fontId="6" fillId="3" borderId="1" xfId="0" quotePrefix="1" applyFont="1" applyFill="1" applyBorder="1" applyAlignment="1">
      <alignment vertical="center"/>
    </xf>
    <xf numFmtId="0" fontId="8" fillId="2" borderId="5" xfId="0" applyFont="1" applyFill="1" applyBorder="1" applyAlignment="1">
      <alignment horizontal="center" vertical="center" wrapText="1"/>
    </xf>
    <xf numFmtId="0" fontId="6" fillId="0" borderId="93" xfId="0" applyFont="1" applyBorder="1" applyAlignment="1">
      <alignment wrapText="1"/>
    </xf>
    <xf numFmtId="0" fontId="6" fillId="3" borderId="11" xfId="0" applyFont="1" applyFill="1" applyBorder="1" applyAlignment="1">
      <alignment horizontal="center" vertical="center"/>
    </xf>
    <xf numFmtId="0" fontId="13" fillId="0" borderId="1" xfId="0" applyFont="1" applyBorder="1" applyAlignment="1">
      <alignment horizontal="center" vertical="center" wrapText="1"/>
    </xf>
    <xf numFmtId="11" fontId="6" fillId="0" borderId="1" xfId="0" applyNumberFormat="1" applyFont="1" applyBorder="1" applyAlignment="1">
      <alignment horizontal="center" vertical="center"/>
    </xf>
    <xf numFmtId="2" fontId="6" fillId="0" borderId="1" xfId="0" applyNumberFormat="1" applyFont="1" applyBorder="1" applyAlignment="1">
      <alignment horizontal="center" vertical="center"/>
    </xf>
    <xf numFmtId="11" fontId="29" fillId="0" borderId="15" xfId="0" quotePrefix="1" applyNumberFormat="1" applyFont="1" applyBorder="1" applyAlignment="1">
      <alignment horizontal="center" vertical="center" wrapText="1"/>
    </xf>
    <xf numFmtId="11" fontId="29" fillId="0" borderId="16" xfId="0" quotePrefix="1" applyNumberFormat="1" applyFont="1" applyBorder="1" applyAlignment="1">
      <alignment horizontal="center" vertical="center" wrapText="1"/>
    </xf>
    <xf numFmtId="0" fontId="0" fillId="8" borderId="1" xfId="0" applyFill="1" applyBorder="1" applyAlignment="1">
      <alignment horizontal="center" vertical="center"/>
    </xf>
    <xf numFmtId="0" fontId="0" fillId="8" borderId="1" xfId="0" applyFill="1" applyBorder="1" applyAlignment="1">
      <alignment horizontal="center" vertical="center" wrapText="1"/>
    </xf>
    <xf numFmtId="0" fontId="0" fillId="5" borderId="1" xfId="0" applyFill="1" applyBorder="1" applyAlignment="1">
      <alignment vertical="center"/>
    </xf>
    <xf numFmtId="11" fontId="0" fillId="3" borderId="1" xfId="0" applyNumberFormat="1" applyFill="1" applyBorder="1" applyAlignment="1">
      <alignment horizontal="center" vertical="center"/>
    </xf>
    <xf numFmtId="168" fontId="0" fillId="5" borderId="31" xfId="0" applyNumberFormat="1" applyFill="1" applyBorder="1" applyAlignment="1">
      <alignment vertical="center"/>
    </xf>
    <xf numFmtId="11" fontId="0" fillId="3" borderId="31" xfId="0" applyNumberFormat="1" applyFill="1" applyBorder="1" applyAlignment="1">
      <alignment horizontal="center" vertical="center"/>
    </xf>
    <xf numFmtId="168" fontId="0" fillId="0" borderId="3" xfId="0" applyNumberFormat="1" applyBorder="1" applyAlignment="1">
      <alignment vertical="center"/>
    </xf>
    <xf numFmtId="11" fontId="0" fillId="0" borderId="3" xfId="0" applyNumberFormat="1" applyBorder="1" applyAlignment="1">
      <alignment horizontal="center" vertical="center"/>
    </xf>
    <xf numFmtId="1" fontId="0" fillId="5" borderId="1" xfId="0" applyNumberFormat="1" applyFill="1" applyBorder="1" applyAlignment="1">
      <alignment vertical="center"/>
    </xf>
    <xf numFmtId="0" fontId="6" fillId="0" borderId="11" xfId="0" quotePrefix="1" applyFont="1" applyBorder="1" applyAlignment="1">
      <alignment horizontal="center" vertical="center"/>
    </xf>
    <xf numFmtId="0" fontId="6" fillId="9" borderId="47" xfId="0" applyFont="1" applyFill="1" applyBorder="1" applyAlignment="1">
      <alignment horizontal="left" vertical="center"/>
    </xf>
    <xf numFmtId="0" fontId="30" fillId="16" borderId="60" xfId="0" applyFont="1" applyFill="1" applyBorder="1" applyAlignment="1">
      <alignment horizontal="center" vertical="center"/>
    </xf>
    <xf numFmtId="0" fontId="30" fillId="16" borderId="61" xfId="0" applyFont="1" applyFill="1" applyBorder="1" applyAlignment="1">
      <alignment horizontal="center" vertical="center"/>
    </xf>
    <xf numFmtId="0" fontId="6" fillId="0" borderId="42" xfId="0" applyFont="1" applyBorder="1" applyAlignment="1">
      <alignment horizontal="center" vertical="center"/>
    </xf>
    <xf numFmtId="2" fontId="6" fillId="0" borderId="26" xfId="0" applyNumberFormat="1" applyFont="1" applyBorder="1" applyAlignment="1">
      <alignment horizontal="center" vertical="center"/>
    </xf>
    <xf numFmtId="2" fontId="6" fillId="0" borderId="102" xfId="0" applyNumberFormat="1" applyFont="1" applyBorder="1" applyAlignment="1">
      <alignment horizontal="center" vertical="center"/>
    </xf>
    <xf numFmtId="2" fontId="6" fillId="0" borderId="21" xfId="0" applyNumberFormat="1" applyFont="1" applyBorder="1" applyAlignment="1">
      <alignment horizontal="center" vertical="center"/>
    </xf>
    <xf numFmtId="0" fontId="13" fillId="0" borderId="34" xfId="0" applyFont="1" applyBorder="1" applyAlignment="1">
      <alignment horizontal="center" vertical="center" wrapText="1"/>
    </xf>
    <xf numFmtId="0" fontId="13" fillId="0" borderId="20" xfId="0" applyFont="1" applyBorder="1" applyAlignment="1">
      <alignment horizontal="center" vertical="center" wrapText="1"/>
    </xf>
    <xf numFmtId="0" fontId="7" fillId="0" borderId="66" xfId="0" applyFont="1" applyBorder="1" applyAlignment="1">
      <alignment vertical="center"/>
    </xf>
    <xf numFmtId="2" fontId="6" fillId="0" borderId="31" xfId="0" applyNumberFormat="1" applyFont="1" applyBorder="1" applyAlignment="1">
      <alignment horizontal="center" vertical="center"/>
    </xf>
    <xf numFmtId="2" fontId="6" fillId="0" borderId="32" xfId="0" applyNumberFormat="1" applyFont="1" applyBorder="1" applyAlignment="1">
      <alignment horizontal="center" vertical="center"/>
    </xf>
    <xf numFmtId="166" fontId="6" fillId="0" borderId="1" xfId="0" applyNumberFormat="1" applyFont="1" applyBorder="1" applyAlignment="1">
      <alignment horizontal="center" vertical="center"/>
    </xf>
    <xf numFmtId="0" fontId="12" fillId="0" borderId="1" xfId="0" applyFont="1" applyBorder="1" applyAlignment="1">
      <alignment horizontal="center" vertical="center"/>
    </xf>
    <xf numFmtId="0" fontId="32" fillId="16" borderId="47" xfId="0" applyFont="1" applyFill="1" applyBorder="1" applyAlignment="1">
      <alignment vertical="center" wrapText="1"/>
    </xf>
    <xf numFmtId="0" fontId="32" fillId="16" borderId="54" xfId="0" applyFont="1" applyFill="1" applyBorder="1" applyAlignment="1">
      <alignment vertical="center" wrapText="1"/>
    </xf>
    <xf numFmtId="0" fontId="32" fillId="16" borderId="49" xfId="0" applyFont="1" applyFill="1" applyBorder="1" applyAlignment="1">
      <alignment vertical="center" wrapText="1"/>
    </xf>
    <xf numFmtId="0" fontId="32" fillId="16" borderId="0" xfId="0" applyFont="1" applyFill="1" applyAlignment="1">
      <alignment vertical="center" wrapText="1"/>
    </xf>
    <xf numFmtId="0" fontId="12" fillId="0" borderId="1" xfId="0" applyFont="1" applyBorder="1" applyAlignment="1">
      <alignment vertical="center"/>
    </xf>
    <xf numFmtId="2" fontId="34" fillId="0" borderId="1" xfId="0" applyNumberFormat="1" applyFont="1" applyBorder="1" applyAlignment="1">
      <alignment vertical="center"/>
    </xf>
    <xf numFmtId="0" fontId="32" fillId="16" borderId="58" xfId="0" applyFont="1" applyFill="1" applyBorder="1" applyAlignment="1">
      <alignment horizontal="left" vertical="center" wrapText="1"/>
    </xf>
    <xf numFmtId="0" fontId="6" fillId="3" borderId="0" xfId="0" applyFont="1" applyFill="1" applyAlignment="1">
      <alignment horizontal="right" vertical="center"/>
    </xf>
    <xf numFmtId="0" fontId="32" fillId="16" borderId="54" xfId="0" applyFont="1" applyFill="1" applyBorder="1" applyAlignment="1">
      <alignment horizontal="right" vertical="center" wrapText="1"/>
    </xf>
    <xf numFmtId="170" fontId="12" fillId="0" borderId="15" xfId="3" applyNumberFormat="1" applyFont="1" applyBorder="1" applyAlignment="1">
      <alignment horizontal="center" vertical="center" wrapText="1"/>
    </xf>
    <xf numFmtId="0" fontId="8" fillId="2" borderId="7" xfId="0" applyFont="1" applyFill="1" applyBorder="1" applyAlignment="1">
      <alignment horizontal="center" vertical="center" wrapText="1"/>
    </xf>
    <xf numFmtId="11" fontId="12" fillId="0" borderId="24" xfId="0" applyNumberFormat="1" applyFont="1" applyBorder="1" applyAlignment="1">
      <alignment horizontal="center" vertical="center" wrapText="1"/>
    </xf>
    <xf numFmtId="166" fontId="6" fillId="0" borderId="1" xfId="0" applyNumberFormat="1" applyFont="1" applyBorder="1" applyAlignment="1">
      <alignment horizontal="center" vertical="center" wrapText="1"/>
    </xf>
    <xf numFmtId="166" fontId="12" fillId="0" borderId="1" xfId="0" applyNumberFormat="1" applyFont="1" applyBorder="1" applyAlignment="1">
      <alignment horizontal="center" vertical="center" wrapText="1"/>
    </xf>
    <xf numFmtId="11" fontId="6" fillId="0" borderId="0" xfId="0" applyNumberFormat="1" applyFont="1" applyAlignment="1">
      <alignment horizontal="center"/>
    </xf>
    <xf numFmtId="0" fontId="35" fillId="0" borderId="46" xfId="0" applyFont="1" applyBorder="1" applyAlignment="1">
      <alignment horizontal="center" vertical="center" wrapText="1"/>
    </xf>
    <xf numFmtId="0" fontId="0" fillId="0" borderId="46" xfId="0" applyBorder="1" applyAlignment="1">
      <alignment horizontal="center" vertical="center" wrapText="1"/>
    </xf>
    <xf numFmtId="0" fontId="0" fillId="0" borderId="0" xfId="0" applyAlignment="1">
      <alignment horizontal="center" vertical="center"/>
    </xf>
    <xf numFmtId="11" fontId="6" fillId="0" borderId="0" xfId="0" applyNumberFormat="1" applyFont="1" applyAlignment="1">
      <alignment horizontal="center" vertical="center"/>
    </xf>
    <xf numFmtId="166" fontId="6" fillId="0" borderId="31" xfId="0" applyNumberFormat="1" applyFont="1" applyBorder="1" applyAlignment="1">
      <alignment horizontal="center" vertical="center"/>
    </xf>
    <xf numFmtId="2" fontId="6" fillId="3" borderId="1" xfId="0" applyNumberFormat="1" applyFont="1" applyFill="1" applyBorder="1" applyAlignment="1">
      <alignment horizontal="center" vertical="center"/>
    </xf>
    <xf numFmtId="0" fontId="6" fillId="0" borderId="79" xfId="0" applyFont="1" applyBorder="1" applyAlignment="1">
      <alignment vertical="center" wrapText="1"/>
    </xf>
    <xf numFmtId="0" fontId="6" fillId="0" borderId="58" xfId="0" applyFont="1" applyBorder="1" applyAlignment="1">
      <alignment vertical="center" wrapText="1"/>
    </xf>
    <xf numFmtId="0" fontId="6" fillId="0" borderId="48" xfId="0" applyFont="1" applyBorder="1" applyAlignment="1">
      <alignment vertical="center" wrapText="1"/>
    </xf>
    <xf numFmtId="2" fontId="6" fillId="0" borderId="34" xfId="0" applyNumberFormat="1" applyFont="1" applyBorder="1" applyAlignment="1">
      <alignment horizontal="center" vertical="center"/>
    </xf>
    <xf numFmtId="2" fontId="6" fillId="0" borderId="22" xfId="0" applyNumberFormat="1" applyFont="1" applyBorder="1" applyAlignment="1">
      <alignment horizontal="center" vertical="center"/>
    </xf>
    <xf numFmtId="2" fontId="6" fillId="0" borderId="33" xfId="0" applyNumberFormat="1" applyFont="1" applyBorder="1" applyAlignment="1">
      <alignment horizontal="center" vertical="center"/>
    </xf>
    <xf numFmtId="2" fontId="6" fillId="0" borderId="17" xfId="0" applyNumberFormat="1" applyFont="1" applyBorder="1" applyAlignment="1">
      <alignment horizontal="center" vertical="center"/>
    </xf>
    <xf numFmtId="2" fontId="6" fillId="0" borderId="36" xfId="0" applyNumberFormat="1" applyFont="1" applyBorder="1" applyAlignment="1">
      <alignment horizontal="center" vertical="center"/>
    </xf>
    <xf numFmtId="0" fontId="16" fillId="12" borderId="1" xfId="0" applyFont="1" applyFill="1" applyBorder="1" applyAlignment="1">
      <alignment horizontal="center" vertical="center" wrapText="1"/>
    </xf>
    <xf numFmtId="0" fontId="6" fillId="0" borderId="8" xfId="0" applyFont="1" applyBorder="1"/>
    <xf numFmtId="0" fontId="14" fillId="5" borderId="41" xfId="0" applyFont="1" applyFill="1" applyBorder="1" applyAlignment="1">
      <alignment vertical="center" wrapText="1"/>
    </xf>
    <xf numFmtId="0" fontId="9" fillId="5" borderId="19" xfId="0" applyFont="1" applyFill="1" applyBorder="1" applyAlignment="1">
      <alignment vertical="center" wrapText="1"/>
    </xf>
    <xf numFmtId="0" fontId="12" fillId="2" borderId="23" xfId="0" applyFont="1" applyFill="1" applyBorder="1" applyAlignment="1" applyProtection="1">
      <alignment vertical="center" wrapText="1"/>
      <protection locked="0"/>
    </xf>
    <xf numFmtId="0" fontId="6" fillId="0" borderId="103" xfId="0" applyFont="1" applyBorder="1" applyAlignment="1">
      <alignment vertical="center" wrapText="1"/>
    </xf>
    <xf numFmtId="2" fontId="6" fillId="0" borderId="104" xfId="0" applyNumberFormat="1" applyFont="1" applyBorder="1" applyAlignment="1">
      <alignment horizontal="center" vertical="center"/>
    </xf>
    <xf numFmtId="2" fontId="6" fillId="0" borderId="105" xfId="0" applyNumberFormat="1" applyFont="1" applyBorder="1" applyAlignment="1">
      <alignment horizontal="center" vertical="center"/>
    </xf>
    <xf numFmtId="0" fontId="6" fillId="0" borderId="106" xfId="0" applyFont="1" applyBorder="1" applyAlignment="1">
      <alignment vertical="center" wrapText="1"/>
    </xf>
    <xf numFmtId="2" fontId="6" fillId="0" borderId="107" xfId="0" applyNumberFormat="1" applyFont="1" applyBorder="1" applyAlignment="1">
      <alignment horizontal="center" vertical="center"/>
    </xf>
    <xf numFmtId="2" fontId="6" fillId="0" borderId="108" xfId="0" applyNumberFormat="1" applyFont="1" applyBorder="1" applyAlignment="1">
      <alignment horizontal="center" vertical="center"/>
    </xf>
    <xf numFmtId="0" fontId="30" fillId="16" borderId="113" xfId="0" applyFont="1" applyFill="1" applyBorder="1" applyAlignment="1">
      <alignment horizontal="center" vertical="center"/>
    </xf>
    <xf numFmtId="0" fontId="30" fillId="16" borderId="114" xfId="0" applyFont="1" applyFill="1" applyBorder="1" applyAlignment="1">
      <alignment horizontal="center" vertical="center"/>
    </xf>
    <xf numFmtId="0" fontId="30" fillId="16" borderId="115" xfId="0" applyFont="1" applyFill="1" applyBorder="1" applyAlignment="1">
      <alignment horizontal="center" vertical="center"/>
    </xf>
    <xf numFmtId="0" fontId="7" fillId="0" borderId="123" xfId="0" applyFont="1" applyBorder="1" applyAlignment="1">
      <alignment vertical="center"/>
    </xf>
    <xf numFmtId="0" fontId="30" fillId="16" borderId="125" xfId="0" applyFont="1" applyFill="1" applyBorder="1" applyAlignment="1">
      <alignment horizontal="center" vertical="center"/>
    </xf>
    <xf numFmtId="0" fontId="30" fillId="16" borderId="114" xfId="0" applyFont="1" applyFill="1" applyBorder="1" applyAlignment="1">
      <alignment horizontal="left" vertical="center"/>
    </xf>
    <xf numFmtId="0" fontId="30" fillId="16" borderId="115" xfId="0" applyFont="1" applyFill="1" applyBorder="1" applyAlignment="1">
      <alignment horizontal="left" vertical="center"/>
    </xf>
    <xf numFmtId="0" fontId="36" fillId="3" borderId="0" xfId="0" applyFont="1" applyFill="1" applyAlignment="1">
      <alignment vertical="center"/>
    </xf>
    <xf numFmtId="0" fontId="7" fillId="3" borderId="0" xfId="0" applyFont="1" applyFill="1" applyAlignment="1">
      <alignment vertical="center"/>
    </xf>
    <xf numFmtId="0" fontId="38" fillId="3" borderId="0" xfId="0" applyFont="1" applyFill="1" applyAlignment="1">
      <alignment horizontal="center" vertical="center" wrapText="1"/>
    </xf>
    <xf numFmtId="1" fontId="36" fillId="3" borderId="0" xfId="2" applyNumberFormat="1" applyFont="1" applyFill="1" applyBorder="1" applyAlignment="1">
      <alignment horizontal="center" vertical="center" wrapText="1"/>
    </xf>
    <xf numFmtId="0" fontId="7" fillId="0" borderId="0" xfId="0" applyFont="1" applyAlignment="1">
      <alignment vertical="center"/>
    </xf>
    <xf numFmtId="166" fontId="7" fillId="0" borderId="66" xfId="0" applyNumberFormat="1" applyFont="1" applyBorder="1" applyAlignment="1">
      <alignment horizontal="center" vertical="center"/>
    </xf>
    <xf numFmtId="166" fontId="7" fillId="0" borderId="117" xfId="0" applyNumberFormat="1" applyFont="1" applyBorder="1" applyAlignment="1">
      <alignment horizontal="center" vertical="center"/>
    </xf>
    <xf numFmtId="2" fontId="7" fillId="0" borderId="66" xfId="0" applyNumberFormat="1" applyFont="1" applyBorder="1" applyAlignment="1">
      <alignment horizontal="center" vertical="center"/>
    </xf>
    <xf numFmtId="2" fontId="7" fillId="0" borderId="117" xfId="0" applyNumberFormat="1" applyFont="1" applyBorder="1" applyAlignment="1">
      <alignment horizontal="center" vertical="center"/>
    </xf>
    <xf numFmtId="166" fontId="7" fillId="0" borderId="24" xfId="0" applyNumberFormat="1" applyFont="1" applyBorder="1" applyAlignment="1">
      <alignment horizontal="center" vertical="center"/>
    </xf>
    <xf numFmtId="166" fontId="7" fillId="0" borderId="1" xfId="0" applyNumberFormat="1" applyFont="1" applyBorder="1" applyAlignment="1">
      <alignment horizontal="center" vertical="center"/>
    </xf>
    <xf numFmtId="166" fontId="7" fillId="0" borderId="119" xfId="0" applyNumberFormat="1" applyFont="1" applyBorder="1" applyAlignment="1">
      <alignment horizontal="center" vertical="center"/>
    </xf>
    <xf numFmtId="3" fontId="36" fillId="3" borderId="0" xfId="0" applyNumberFormat="1" applyFont="1" applyFill="1" applyAlignment="1">
      <alignment horizontal="center" vertical="center" wrapText="1"/>
    </xf>
    <xf numFmtId="2" fontId="7" fillId="0" borderId="1" xfId="0" applyNumberFormat="1" applyFont="1" applyBorder="1" applyAlignment="1">
      <alignment horizontal="center" vertical="center"/>
    </xf>
    <xf numFmtId="2" fontId="7" fillId="0" borderId="119" xfId="0" applyNumberFormat="1" applyFont="1" applyBorder="1" applyAlignment="1">
      <alignment horizontal="center" vertical="center"/>
    </xf>
    <xf numFmtId="166" fontId="7" fillId="0" borderId="123" xfId="0" applyNumberFormat="1" applyFont="1" applyBorder="1" applyAlignment="1">
      <alignment horizontal="center" vertical="center"/>
    </xf>
    <xf numFmtId="166" fontId="7" fillId="0" borderId="124" xfId="0" applyNumberFormat="1" applyFont="1" applyBorder="1" applyAlignment="1">
      <alignment horizontal="center" vertical="center"/>
    </xf>
    <xf numFmtId="0" fontId="7" fillId="3" borderId="0" xfId="0" applyFont="1" applyFill="1" applyAlignment="1">
      <alignment horizontal="center" vertical="center"/>
    </xf>
    <xf numFmtId="0" fontId="38" fillId="3" borderId="0" xfId="0" applyFont="1" applyFill="1" applyAlignment="1">
      <alignment vertical="center" wrapText="1"/>
    </xf>
    <xf numFmtId="0" fontId="9" fillId="2" borderId="1" xfId="0" applyFont="1" applyFill="1" applyBorder="1" applyAlignment="1">
      <alignment horizontal="center" vertical="center" wrapText="1"/>
    </xf>
    <xf numFmtId="11" fontId="6" fillId="0" borderId="0" xfId="0" applyNumberFormat="1" applyFont="1"/>
    <xf numFmtId="166" fontId="6" fillId="3" borderId="1" xfId="0" applyNumberFormat="1" applyFont="1" applyFill="1" applyBorder="1" applyAlignment="1">
      <alignment horizontal="center" vertical="center"/>
    </xf>
    <xf numFmtId="166" fontId="6" fillId="0" borderId="0" xfId="0" applyNumberFormat="1" applyFont="1"/>
    <xf numFmtId="164" fontId="12" fillId="0" borderId="15" xfId="0" applyNumberFormat="1" applyFont="1" applyBorder="1" applyAlignment="1">
      <alignment horizontal="center" vertical="center" wrapText="1"/>
    </xf>
    <xf numFmtId="2" fontId="6" fillId="3" borderId="70" xfId="0" applyNumberFormat="1" applyFont="1" applyFill="1" applyBorder="1" applyAlignment="1">
      <alignment horizontal="center" vertical="center"/>
    </xf>
    <xf numFmtId="0" fontId="13" fillId="0" borderId="16" xfId="0" applyFont="1" applyBorder="1" applyAlignment="1">
      <alignment horizontal="center" vertical="center" wrapText="1"/>
    </xf>
    <xf numFmtId="0" fontId="6" fillId="0" borderId="16" xfId="0" applyFont="1" applyBorder="1" applyAlignment="1">
      <alignment horizontal="center" vertical="center"/>
    </xf>
    <xf numFmtId="0" fontId="9" fillId="2" borderId="37" xfId="0" applyFont="1" applyFill="1" applyBorder="1" applyAlignment="1">
      <alignment vertical="center" wrapText="1"/>
    </xf>
    <xf numFmtId="0" fontId="9" fillId="2" borderId="16" xfId="0" applyFont="1" applyFill="1" applyBorder="1" applyAlignment="1">
      <alignment horizontal="center" vertical="center" wrapText="1"/>
    </xf>
    <xf numFmtId="0" fontId="12" fillId="0" borderId="46" xfId="0" applyFont="1" applyBorder="1" applyAlignment="1">
      <alignment vertical="center" wrapText="1"/>
    </xf>
    <xf numFmtId="0" fontId="6" fillId="0" borderId="46" xfId="0" applyFont="1" applyBorder="1" applyAlignment="1">
      <alignment vertical="center" wrapText="1"/>
    </xf>
    <xf numFmtId="0" fontId="12" fillId="0" borderId="46" xfId="0" applyFont="1" applyBorder="1" applyAlignment="1">
      <alignment horizontal="left" vertical="center" wrapText="1"/>
    </xf>
    <xf numFmtId="0" fontId="6" fillId="0" borderId="46" xfId="0" applyFont="1" applyBorder="1" applyAlignment="1">
      <alignment horizontal="left" vertical="center" wrapText="1"/>
    </xf>
    <xf numFmtId="0" fontId="6" fillId="0" borderId="45" xfId="0" applyFont="1" applyBorder="1" applyAlignment="1">
      <alignment horizontal="left" vertical="center" wrapText="1"/>
    </xf>
    <xf numFmtId="0" fontId="8" fillId="2" borderId="25" xfId="0" applyFont="1" applyFill="1" applyBorder="1" applyAlignment="1">
      <alignment horizontal="center" vertical="center" wrapText="1"/>
    </xf>
    <xf numFmtId="0" fontId="8" fillId="2" borderId="31" xfId="0" applyFont="1" applyFill="1" applyBorder="1" applyAlignment="1">
      <alignment horizontal="center" vertical="center"/>
    </xf>
    <xf numFmtId="0" fontId="8" fillId="2" borderId="26" xfId="0" applyFont="1" applyFill="1" applyBorder="1" applyAlignment="1">
      <alignment horizontal="center" vertical="center" wrapText="1"/>
    </xf>
    <xf numFmtId="0" fontId="9" fillId="2" borderId="37" xfId="0" applyFont="1" applyFill="1" applyBorder="1" applyAlignment="1">
      <alignment horizontal="center" vertical="center" wrapText="1"/>
    </xf>
    <xf numFmtId="0" fontId="12" fillId="0" borderId="128" xfId="0" applyFont="1" applyBorder="1" applyAlignment="1">
      <alignment horizontal="left" vertical="center" wrapText="1"/>
    </xf>
    <xf numFmtId="0" fontId="13" fillId="0" borderId="24" xfId="0" applyFont="1" applyBorder="1" applyAlignment="1">
      <alignment horizontal="center" vertical="center" wrapText="1"/>
    </xf>
    <xf numFmtId="0" fontId="6" fillId="0" borderId="24" xfId="0" applyFont="1" applyBorder="1" applyAlignment="1">
      <alignment horizontal="center" vertical="center"/>
    </xf>
    <xf numFmtId="1" fontId="6" fillId="0" borderId="24" xfId="0" applyNumberFormat="1" applyFont="1" applyBorder="1" applyAlignment="1">
      <alignment horizontal="center" vertical="center"/>
    </xf>
    <xf numFmtId="0" fontId="6" fillId="0" borderId="19" xfId="0" applyFont="1" applyBorder="1" applyAlignment="1">
      <alignment horizontal="left" vertical="center"/>
    </xf>
    <xf numFmtId="1" fontId="6" fillId="0" borderId="1" xfId="0" applyNumberFormat="1" applyFont="1" applyBorder="1" applyAlignment="1">
      <alignment horizontal="center" vertical="center"/>
    </xf>
    <xf numFmtId="0" fontId="6" fillId="0" borderId="21" xfId="0" applyFont="1" applyBorder="1" applyAlignment="1">
      <alignment horizontal="left" vertical="center"/>
    </xf>
    <xf numFmtId="0" fontId="6" fillId="0" borderId="1" xfId="0" applyFont="1" applyBorder="1" applyAlignment="1">
      <alignment horizontal="left" wrapText="1"/>
    </xf>
    <xf numFmtId="0" fontId="6" fillId="0" borderId="21" xfId="0" applyFont="1" applyBorder="1" applyAlignment="1">
      <alignment vertical="center" wrapText="1"/>
    </xf>
    <xf numFmtId="1" fontId="6" fillId="0" borderId="16" xfId="0" applyNumberFormat="1" applyFont="1" applyBorder="1" applyAlignment="1">
      <alignment horizontal="center" vertical="center"/>
    </xf>
    <xf numFmtId="0" fontId="6" fillId="0" borderId="16" xfId="0" applyFont="1" applyBorder="1" applyAlignment="1">
      <alignment horizontal="left" vertical="center" wrapText="1"/>
    </xf>
    <xf numFmtId="0" fontId="6" fillId="0" borderId="23" xfId="0" applyFont="1" applyBorder="1" applyAlignment="1">
      <alignment horizontal="left" vertical="center" wrapText="1"/>
    </xf>
    <xf numFmtId="11" fontId="6" fillId="0" borderId="24" xfId="0" applyNumberFormat="1" applyFont="1" applyBorder="1" applyAlignment="1">
      <alignment horizontal="center" vertical="center"/>
    </xf>
    <xf numFmtId="2" fontId="6" fillId="0" borderId="1" xfId="0" applyNumberFormat="1" applyFont="1" applyBorder="1" applyAlignment="1">
      <alignment horizontal="center" wrapText="1"/>
    </xf>
    <xf numFmtId="11" fontId="6" fillId="0" borderId="16" xfId="0" applyNumberFormat="1" applyFont="1" applyBorder="1" applyAlignment="1">
      <alignment horizontal="center" vertical="center"/>
    </xf>
    <xf numFmtId="0" fontId="6" fillId="0" borderId="31" xfId="0" applyFont="1" applyBorder="1" applyAlignment="1">
      <alignment horizontal="center" vertical="center"/>
    </xf>
    <xf numFmtId="166" fontId="6" fillId="17" borderId="1" xfId="0" applyNumberFormat="1" applyFont="1" applyFill="1" applyBorder="1" applyAlignment="1">
      <alignment horizontal="center" vertical="center"/>
    </xf>
    <xf numFmtId="11" fontId="6" fillId="17" borderId="1" xfId="0" applyNumberFormat="1" applyFont="1" applyFill="1" applyBorder="1" applyAlignment="1">
      <alignment horizontal="center" vertical="center"/>
    </xf>
    <xf numFmtId="166" fontId="6" fillId="17" borderId="24" xfId="0" applyNumberFormat="1" applyFont="1" applyFill="1" applyBorder="1" applyAlignment="1">
      <alignment horizontal="center" vertical="center"/>
    </xf>
    <xf numFmtId="166" fontId="6" fillId="17" borderId="31" xfId="0" applyNumberFormat="1" applyFont="1" applyFill="1" applyBorder="1" applyAlignment="1">
      <alignment horizontal="center" vertical="center"/>
    </xf>
    <xf numFmtId="0" fontId="6" fillId="18" borderId="0" xfId="0" applyFont="1" applyFill="1" applyAlignment="1">
      <alignment horizontal="center"/>
    </xf>
    <xf numFmtId="0" fontId="18" fillId="18" borderId="0" xfId="0" applyFont="1" applyFill="1" applyAlignment="1">
      <alignment horizontal="center"/>
    </xf>
    <xf numFmtId="0" fontId="6" fillId="0" borderId="129" xfId="0" applyFont="1" applyBorder="1" applyAlignment="1">
      <alignment horizontal="left" vertical="center" wrapText="1"/>
    </xf>
    <xf numFmtId="0" fontId="32" fillId="16" borderId="125" xfId="0" applyFont="1" applyFill="1" applyBorder="1" applyAlignment="1">
      <alignment vertical="center" wrapText="1"/>
    </xf>
    <xf numFmtId="0" fontId="32" fillId="16" borderId="130" xfId="0" applyFont="1" applyFill="1" applyBorder="1" applyAlignment="1">
      <alignment vertical="center" wrapText="1"/>
    </xf>
    <xf numFmtId="0" fontId="32" fillId="16" borderId="135" xfId="0" applyFont="1" applyFill="1" applyBorder="1" applyAlignment="1">
      <alignment vertical="center" wrapText="1"/>
    </xf>
    <xf numFmtId="0" fontId="32" fillId="16" borderId="136" xfId="0" applyFont="1" applyFill="1" applyBorder="1" applyAlignment="1">
      <alignment vertical="center" wrapText="1"/>
    </xf>
    <xf numFmtId="0" fontId="32" fillId="16" borderId="137" xfId="0" applyFont="1" applyFill="1" applyBorder="1" applyAlignment="1">
      <alignment vertical="center" wrapText="1"/>
    </xf>
    <xf numFmtId="2" fontId="6" fillId="0" borderId="70" xfId="0" applyNumberFormat="1" applyFont="1" applyBorder="1" applyAlignment="1">
      <alignment horizontal="center" vertical="center"/>
    </xf>
    <xf numFmtId="0" fontId="6" fillId="0" borderId="1" xfId="0" applyFont="1" applyBorder="1" applyAlignment="1">
      <alignment horizontal="left" vertical="center" wrapText="1"/>
    </xf>
    <xf numFmtId="0" fontId="6" fillId="0" borderId="21" xfId="0" applyFont="1" applyBorder="1" applyAlignment="1">
      <alignment horizontal="left" vertical="center" wrapText="1"/>
    </xf>
    <xf numFmtId="0" fontId="39" fillId="0" borderId="1" xfId="0" applyFont="1" applyBorder="1" applyAlignment="1">
      <alignment horizontal="center" vertical="center" wrapText="1"/>
    </xf>
    <xf numFmtId="11" fontId="6" fillId="0" borderId="1" xfId="0" applyNumberFormat="1" applyFont="1" applyBorder="1" applyAlignment="1">
      <alignment horizontal="center" wrapText="1"/>
    </xf>
    <xf numFmtId="166" fontId="6" fillId="0" borderId="24" xfId="0" applyNumberFormat="1" applyFont="1" applyBorder="1" applyAlignment="1">
      <alignment horizontal="center" vertical="center"/>
    </xf>
    <xf numFmtId="2" fontId="6" fillId="0" borderId="1" xfId="0" applyNumberFormat="1" applyFont="1" applyBorder="1" applyAlignment="1">
      <alignment horizontal="left" vertical="top" wrapText="1"/>
    </xf>
    <xf numFmtId="165" fontId="34" fillId="0" borderId="1" xfId="0" applyNumberFormat="1" applyFont="1" applyBorder="1" applyAlignment="1">
      <alignment vertical="center"/>
    </xf>
    <xf numFmtId="11" fontId="6" fillId="19" borderId="1" xfId="0" applyNumberFormat="1" applyFont="1" applyFill="1" applyBorder="1" applyAlignment="1">
      <alignment horizontal="center" vertical="center"/>
    </xf>
    <xf numFmtId="2" fontId="6" fillId="19" borderId="1" xfId="0" applyNumberFormat="1" applyFont="1" applyFill="1" applyBorder="1" applyAlignment="1">
      <alignment horizontal="center" wrapText="1"/>
    </xf>
    <xf numFmtId="0" fontId="6" fillId="19" borderId="46" xfId="0" applyFont="1" applyFill="1" applyBorder="1" applyAlignment="1">
      <alignment horizontal="left" vertical="center" wrapText="1"/>
    </xf>
    <xf numFmtId="0" fontId="6" fillId="19" borderId="46" xfId="0" applyFont="1" applyFill="1" applyBorder="1" applyAlignment="1">
      <alignment vertical="center" wrapText="1"/>
    </xf>
    <xf numFmtId="2" fontId="6" fillId="19" borderId="70" xfId="0" applyNumberFormat="1" applyFont="1" applyFill="1" applyBorder="1" applyAlignment="1">
      <alignment horizontal="center" vertical="center"/>
    </xf>
    <xf numFmtId="166" fontId="6" fillId="19" borderId="1" xfId="0" applyNumberFormat="1" applyFont="1" applyFill="1" applyBorder="1" applyAlignment="1">
      <alignment horizontal="center" vertical="center"/>
    </xf>
    <xf numFmtId="2" fontId="6" fillId="19" borderId="1" xfId="0" applyNumberFormat="1" applyFont="1" applyFill="1" applyBorder="1" applyAlignment="1">
      <alignment horizontal="center" vertical="center"/>
    </xf>
    <xf numFmtId="0" fontId="6" fillId="19" borderId="1" xfId="0" applyFont="1" applyFill="1" applyBorder="1" applyAlignment="1">
      <alignment horizontal="left" wrapText="1"/>
    </xf>
    <xf numFmtId="1" fontId="12" fillId="19" borderId="1" xfId="0" applyNumberFormat="1" applyFont="1" applyFill="1" applyBorder="1" applyAlignment="1">
      <alignment horizontal="center" vertical="center"/>
    </xf>
    <xf numFmtId="1" fontId="12" fillId="0" borderId="1" xfId="0" applyNumberFormat="1" applyFont="1" applyBorder="1" applyAlignment="1">
      <alignment horizontal="center" vertical="center"/>
    </xf>
    <xf numFmtId="0" fontId="12" fillId="3" borderId="1" xfId="0" applyFont="1" applyFill="1" applyBorder="1" applyAlignment="1">
      <alignment vertical="center"/>
    </xf>
    <xf numFmtId="0" fontId="12" fillId="3" borderId="1" xfId="0" applyFont="1" applyFill="1" applyBorder="1" applyAlignment="1">
      <alignment horizontal="center" vertical="center"/>
    </xf>
    <xf numFmtId="170" fontId="12" fillId="3" borderId="15" xfId="3" applyNumberFormat="1" applyFont="1" applyFill="1" applyBorder="1" applyAlignment="1">
      <alignment horizontal="center" vertical="center" wrapText="1"/>
    </xf>
    <xf numFmtId="165" fontId="12" fillId="3" borderId="15" xfId="0" applyNumberFormat="1" applyFont="1" applyFill="1" applyBorder="1" applyAlignment="1">
      <alignment horizontal="center" vertical="center" wrapText="1"/>
    </xf>
    <xf numFmtId="164" fontId="12" fillId="3" borderId="15" xfId="0" applyNumberFormat="1" applyFont="1" applyFill="1" applyBorder="1" applyAlignment="1">
      <alignment horizontal="center" vertical="center" wrapText="1"/>
    </xf>
    <xf numFmtId="0" fontId="9" fillId="5" borderId="15" xfId="0" applyFont="1" applyFill="1" applyBorder="1" applyAlignment="1">
      <alignment horizontal="center" vertical="center" wrapText="1"/>
    </xf>
    <xf numFmtId="0" fontId="9" fillId="5" borderId="31"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15" fillId="3" borderId="0" xfId="0" applyFont="1" applyFill="1" applyAlignment="1">
      <alignment horizontal="center" vertical="center" wrapText="1"/>
    </xf>
    <xf numFmtId="0" fontId="9" fillId="5" borderId="5" xfId="0" applyFont="1" applyFill="1" applyBorder="1" applyAlignment="1">
      <alignment horizontal="center" vertical="center" wrapText="1"/>
    </xf>
    <xf numFmtId="0" fontId="6" fillId="3" borderId="16" xfId="0" applyFont="1" applyFill="1" applyBorder="1" applyAlignment="1">
      <alignment horizontal="center" vertical="center"/>
    </xf>
    <xf numFmtId="0" fontId="6" fillId="3" borderId="15" xfId="0" applyFont="1" applyFill="1" applyBorder="1" applyAlignment="1">
      <alignment horizontal="center" vertical="center"/>
    </xf>
    <xf numFmtId="11" fontId="6" fillId="3" borderId="1" xfId="0" applyNumberFormat="1" applyFont="1" applyFill="1" applyBorder="1" applyAlignment="1">
      <alignment horizontal="center" vertical="center"/>
    </xf>
    <xf numFmtId="11" fontId="6" fillId="3" borderId="16" xfId="0" applyNumberFormat="1" applyFont="1" applyFill="1" applyBorder="1" applyAlignment="1">
      <alignment horizontal="center" vertical="center"/>
    </xf>
    <xf numFmtId="11" fontId="6" fillId="3" borderId="15" xfId="0" applyNumberFormat="1" applyFont="1" applyFill="1" applyBorder="1" applyAlignment="1">
      <alignment horizontal="center" vertical="center"/>
    </xf>
    <xf numFmtId="0" fontId="9" fillId="5" borderId="69"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0" borderId="1" xfId="0" applyFont="1" applyBorder="1" applyAlignment="1">
      <alignment vertical="center"/>
    </xf>
    <xf numFmtId="0" fontId="7" fillId="0" borderId="24" xfId="0" applyFont="1" applyBorder="1" applyAlignment="1">
      <alignment vertical="center"/>
    </xf>
    <xf numFmtId="0" fontId="6" fillId="3" borderId="0" xfId="0" applyFont="1" applyFill="1" applyAlignment="1">
      <alignment horizontal="center"/>
    </xf>
    <xf numFmtId="0" fontId="6" fillId="3" borderId="0" xfId="0" applyFont="1" applyFill="1" applyAlignment="1">
      <alignment wrapText="1"/>
    </xf>
    <xf numFmtId="0" fontId="4" fillId="13" borderId="0" xfId="0" applyFont="1" applyFill="1" applyAlignment="1">
      <alignment horizontal="center" vertical="center" wrapText="1"/>
    </xf>
    <xf numFmtId="17" fontId="42" fillId="13" borderId="0" xfId="0" quotePrefix="1" applyNumberFormat="1" applyFont="1" applyFill="1" applyAlignment="1">
      <alignment horizontal="center"/>
    </xf>
    <xf numFmtId="0" fontId="5" fillId="13" borderId="0" xfId="0" quotePrefix="1" applyFont="1" applyFill="1" applyAlignment="1">
      <alignment horizontal="center"/>
    </xf>
    <xf numFmtId="0" fontId="6" fillId="0" borderId="0" xfId="0" applyFont="1" applyAlignment="1">
      <alignment horizontal="left" vertical="center" wrapText="1"/>
    </xf>
    <xf numFmtId="0" fontId="8" fillId="15" borderId="1" xfId="0" applyFont="1" applyFill="1" applyBorder="1" applyAlignment="1">
      <alignment horizontal="left"/>
    </xf>
    <xf numFmtId="0" fontId="8" fillId="15" borderId="52" xfId="0" applyFont="1" applyFill="1" applyBorder="1" applyAlignment="1">
      <alignment horizontal="left"/>
    </xf>
    <xf numFmtId="0" fontId="8" fillId="15" borderId="71" xfId="0" applyFont="1" applyFill="1" applyBorder="1" applyAlignment="1">
      <alignment horizontal="left"/>
    </xf>
    <xf numFmtId="0" fontId="8" fillId="15" borderId="70" xfId="0" applyFont="1" applyFill="1" applyBorder="1" applyAlignment="1">
      <alignment horizontal="left"/>
    </xf>
    <xf numFmtId="0" fontId="9" fillId="5" borderId="48" xfId="0" applyFont="1" applyFill="1" applyBorder="1" applyAlignment="1">
      <alignment horizontal="center" vertical="center" wrapText="1"/>
    </xf>
    <xf numFmtId="0" fontId="9" fillId="5" borderId="56"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22" xfId="0" applyFont="1" applyFill="1" applyBorder="1" applyAlignment="1">
      <alignment horizontal="center" vertical="center" wrapText="1"/>
    </xf>
    <xf numFmtId="1" fontId="6" fillId="3" borderId="15" xfId="0" applyNumberFormat="1" applyFont="1" applyFill="1" applyBorder="1" applyAlignment="1">
      <alignment horizontal="center" vertical="center"/>
    </xf>
    <xf numFmtId="1" fontId="6" fillId="3" borderId="16" xfId="0" applyNumberFormat="1" applyFont="1" applyFill="1" applyBorder="1" applyAlignment="1">
      <alignment horizontal="center" vertical="center"/>
    </xf>
    <xf numFmtId="0" fontId="9" fillId="5" borderId="34" xfId="0" applyFont="1" applyFill="1" applyBorder="1" applyAlignment="1">
      <alignment horizontal="center" vertical="center" wrapText="1"/>
    </xf>
    <xf numFmtId="0" fontId="9" fillId="5" borderId="39"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25" xfId="0" applyFont="1" applyFill="1" applyBorder="1" applyAlignment="1">
      <alignment horizontal="center" vertical="center"/>
    </xf>
    <xf numFmtId="0" fontId="9" fillId="5" borderId="37" xfId="0" applyFont="1" applyFill="1" applyBorder="1" applyAlignment="1">
      <alignment horizontal="center" vertical="center"/>
    </xf>
    <xf numFmtId="0" fontId="12" fillId="2" borderId="34" xfId="0" applyFont="1" applyFill="1" applyBorder="1" applyAlignment="1">
      <alignment horizontal="center" vertical="center" wrapText="1"/>
    </xf>
    <xf numFmtId="0" fontId="12" fillId="2" borderId="39" xfId="0" applyFont="1" applyFill="1" applyBorder="1" applyAlignment="1">
      <alignment horizontal="center" vertical="center" wrapText="1"/>
    </xf>
    <xf numFmtId="1" fontId="6" fillId="3" borderId="25" xfId="0" applyNumberFormat="1" applyFont="1" applyFill="1" applyBorder="1" applyAlignment="1">
      <alignment horizontal="center" vertical="center"/>
    </xf>
    <xf numFmtId="1" fontId="6" fillId="3" borderId="37" xfId="0" applyNumberFormat="1" applyFont="1" applyFill="1" applyBorder="1" applyAlignment="1">
      <alignment horizontal="center" vertical="center"/>
    </xf>
    <xf numFmtId="0" fontId="9" fillId="5" borderId="15"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3" borderId="30" xfId="0" applyFont="1" applyFill="1" applyBorder="1" applyAlignment="1">
      <alignment horizontal="left" vertical="center"/>
    </xf>
    <xf numFmtId="0" fontId="9" fillId="3" borderId="0" xfId="0" applyFont="1" applyFill="1" applyAlignment="1">
      <alignment horizontal="left" vertical="center"/>
    </xf>
    <xf numFmtId="0" fontId="9" fillId="5" borderId="31" xfId="0" applyFont="1" applyFill="1" applyBorder="1" applyAlignment="1">
      <alignment horizontal="center" vertical="center" wrapText="1"/>
    </xf>
    <xf numFmtId="0" fontId="9" fillId="5" borderId="42" xfId="0" applyFont="1" applyFill="1" applyBorder="1" applyAlignment="1">
      <alignment horizontal="center" vertical="center" wrapText="1"/>
    </xf>
    <xf numFmtId="0" fontId="9" fillId="5" borderId="26" xfId="0" applyFont="1" applyFill="1" applyBorder="1" applyAlignment="1">
      <alignment horizontal="center" vertical="center" wrapText="1"/>
    </xf>
    <xf numFmtId="11" fontId="8" fillId="0" borderId="25"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5" borderId="26" xfId="0" applyFont="1" applyFill="1" applyBorder="1" applyAlignment="1">
      <alignment horizontal="center" vertical="center"/>
    </xf>
    <xf numFmtId="0" fontId="14" fillId="5" borderId="40"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12" fillId="2" borderId="29" xfId="0" applyFont="1" applyFill="1" applyBorder="1" applyAlignment="1" applyProtection="1">
      <alignment horizontal="center" vertical="center" wrapText="1"/>
      <protection locked="0"/>
    </xf>
    <xf numFmtId="0" fontId="12" fillId="2" borderId="72" xfId="0" applyFont="1" applyFill="1" applyBorder="1" applyAlignment="1" applyProtection="1">
      <alignment horizontal="center" vertical="center" wrapText="1"/>
      <protection locked="0"/>
    </xf>
    <xf numFmtId="0" fontId="9" fillId="5" borderId="44"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49" xfId="0" applyFont="1" applyFill="1" applyBorder="1" applyAlignment="1">
      <alignment horizontal="center" vertical="center" wrapText="1"/>
    </xf>
    <xf numFmtId="0" fontId="9" fillId="5" borderId="34" xfId="0" applyFont="1" applyFill="1" applyBorder="1" applyAlignment="1">
      <alignment horizontal="center" vertical="center"/>
    </xf>
    <xf numFmtId="0" fontId="9" fillId="5" borderId="42" xfId="0" applyFont="1" applyFill="1" applyBorder="1" applyAlignment="1">
      <alignment horizontal="center" vertical="center"/>
    </xf>
    <xf numFmtId="0" fontId="9" fillId="5" borderId="17" xfId="0" applyFont="1" applyFill="1" applyBorder="1" applyAlignment="1">
      <alignment horizontal="center" vertical="center"/>
    </xf>
    <xf numFmtId="0" fontId="9" fillId="5" borderId="33" xfId="0" applyFont="1" applyFill="1" applyBorder="1" applyAlignment="1">
      <alignment horizontal="center" vertical="center"/>
    </xf>
    <xf numFmtId="0" fontId="9" fillId="5" borderId="15" xfId="0" applyFont="1" applyFill="1" applyBorder="1" applyAlignment="1">
      <alignment horizontal="center" vertical="center"/>
    </xf>
    <xf numFmtId="0" fontId="9" fillId="5" borderId="31" xfId="0" applyFont="1" applyFill="1" applyBorder="1" applyAlignment="1">
      <alignment horizontal="center" vertical="center"/>
    </xf>
    <xf numFmtId="0" fontId="6" fillId="2" borderId="47" xfId="0" applyFont="1" applyFill="1" applyBorder="1" applyAlignment="1">
      <alignment horizontal="center" vertical="center" wrapText="1"/>
    </xf>
    <xf numFmtId="0" fontId="6" fillId="2" borderId="50"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6" fillId="2" borderId="47" xfId="0" applyFont="1" applyFill="1" applyBorder="1" applyAlignment="1">
      <alignment horizontal="center" vertical="center"/>
    </xf>
    <xf numFmtId="0" fontId="6" fillId="2" borderId="50" xfId="0" applyFont="1" applyFill="1" applyBorder="1" applyAlignment="1">
      <alignment horizontal="center" vertical="center"/>
    </xf>
    <xf numFmtId="0" fontId="20" fillId="3" borderId="89" xfId="0" applyFont="1" applyFill="1" applyBorder="1" applyAlignment="1">
      <alignment horizontal="center" vertical="center" wrapText="1"/>
    </xf>
    <xf numFmtId="0" fontId="20" fillId="3" borderId="90" xfId="0" applyFont="1" applyFill="1" applyBorder="1" applyAlignment="1">
      <alignment horizontal="center" vertical="center" wrapText="1"/>
    </xf>
    <xf numFmtId="0" fontId="20" fillId="3" borderId="91"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8" fillId="3" borderId="74" xfId="0" applyFont="1" applyFill="1" applyBorder="1" applyAlignment="1">
      <alignment horizontal="center" vertical="center" wrapText="1"/>
    </xf>
    <xf numFmtId="0" fontId="8" fillId="3" borderId="73" xfId="0" applyFont="1" applyFill="1" applyBorder="1" applyAlignment="1">
      <alignment horizontal="center" vertical="center" wrapText="1"/>
    </xf>
    <xf numFmtId="0" fontId="8" fillId="3" borderId="75" xfId="0" applyFont="1" applyFill="1" applyBorder="1" applyAlignment="1">
      <alignment horizontal="center" vertical="center" wrapText="1"/>
    </xf>
    <xf numFmtId="0" fontId="20" fillId="3" borderId="76" xfId="0" applyFont="1" applyFill="1" applyBorder="1" applyAlignment="1">
      <alignment horizontal="center" vertical="center" wrapText="1"/>
    </xf>
    <xf numFmtId="0" fontId="20" fillId="3" borderId="88" xfId="0" applyFont="1" applyFill="1" applyBorder="1" applyAlignment="1">
      <alignment horizontal="center" vertical="center" wrapText="1"/>
    </xf>
    <xf numFmtId="0" fontId="20" fillId="3" borderId="77" xfId="0" applyFont="1" applyFill="1" applyBorder="1" applyAlignment="1">
      <alignment horizontal="center" vertical="center" wrapText="1"/>
    </xf>
    <xf numFmtId="1" fontId="6" fillId="3" borderId="55" xfId="0" applyNumberFormat="1" applyFont="1" applyFill="1" applyBorder="1" applyAlignment="1">
      <alignment horizontal="center" vertical="center"/>
    </xf>
    <xf numFmtId="1" fontId="6" fillId="3" borderId="70" xfId="0" applyNumberFormat="1" applyFont="1" applyFill="1" applyBorder="1" applyAlignment="1">
      <alignment horizontal="center" vertical="center"/>
    </xf>
    <xf numFmtId="0" fontId="6" fillId="3" borderId="70" xfId="0" applyFont="1" applyFill="1" applyBorder="1" applyAlignment="1">
      <alignment horizontal="center" vertical="center" wrapText="1"/>
    </xf>
    <xf numFmtId="0" fontId="6" fillId="3" borderId="83" xfId="0" applyFont="1" applyFill="1" applyBorder="1" applyAlignment="1">
      <alignment horizontal="center" vertical="center" wrapText="1"/>
    </xf>
    <xf numFmtId="11" fontId="6" fillId="3" borderId="1" xfId="0" applyNumberFormat="1" applyFont="1" applyFill="1" applyBorder="1" applyAlignment="1">
      <alignment horizontal="center" vertical="center"/>
    </xf>
    <xf numFmtId="11" fontId="6" fillId="3" borderId="16" xfId="0" applyNumberFormat="1" applyFont="1" applyFill="1" applyBorder="1" applyAlignment="1">
      <alignment horizontal="center" vertical="center"/>
    </xf>
    <xf numFmtId="1" fontId="6" fillId="3" borderId="4" xfId="0" applyNumberFormat="1"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31"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55" xfId="0" applyFont="1" applyFill="1" applyBorder="1" applyAlignment="1">
      <alignment horizontal="center" vertical="center" wrapText="1"/>
    </xf>
    <xf numFmtId="11" fontId="6" fillId="3" borderId="15" xfId="0" applyNumberFormat="1" applyFont="1" applyFill="1" applyBorder="1" applyAlignment="1">
      <alignment horizontal="center" vertical="center"/>
    </xf>
    <xf numFmtId="0" fontId="6" fillId="3" borderId="15" xfId="0" applyFont="1" applyFill="1" applyBorder="1" applyAlignment="1">
      <alignment horizontal="center" vertical="center" wrapText="1"/>
    </xf>
    <xf numFmtId="0" fontId="6" fillId="3" borderId="15" xfId="0" applyFont="1" applyFill="1" applyBorder="1" applyAlignment="1">
      <alignment horizontal="center" vertical="center"/>
    </xf>
    <xf numFmtId="1" fontId="6" fillId="3" borderId="83" xfId="0" applyNumberFormat="1" applyFont="1" applyFill="1" applyBorder="1" applyAlignment="1">
      <alignment horizontal="center" vertical="center"/>
    </xf>
    <xf numFmtId="1" fontId="6" fillId="3" borderId="9" xfId="0" applyNumberFormat="1" applyFont="1" applyFill="1" applyBorder="1" applyAlignment="1">
      <alignment horizontal="center" vertical="center"/>
    </xf>
    <xf numFmtId="0" fontId="6" fillId="3" borderId="24" xfId="0" applyFont="1" applyFill="1" applyBorder="1" applyAlignment="1">
      <alignment horizontal="center" vertical="center" wrapText="1"/>
    </xf>
    <xf numFmtId="0" fontId="15" fillId="3" borderId="0" xfId="0" applyFont="1" applyFill="1" applyAlignment="1">
      <alignment horizontal="center" vertical="center" wrapText="1"/>
    </xf>
    <xf numFmtId="0" fontId="9" fillId="5" borderId="5" xfId="0" applyFont="1" applyFill="1" applyBorder="1" applyAlignment="1">
      <alignment horizontal="center" vertical="center" wrapText="1"/>
    </xf>
    <xf numFmtId="0" fontId="9" fillId="5" borderId="111" xfId="0" applyFont="1" applyFill="1" applyBorder="1" applyAlignment="1">
      <alignment horizontal="center" vertical="center" wrapText="1"/>
    </xf>
    <xf numFmtId="0" fontId="9" fillId="5" borderId="112" xfId="0" applyFont="1" applyFill="1" applyBorder="1" applyAlignment="1">
      <alignment horizontal="center" vertical="center" wrapText="1"/>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16" xfId="0" applyFont="1" applyFill="1" applyBorder="1" applyAlignment="1">
      <alignment horizontal="center" vertical="center" wrapText="1"/>
    </xf>
    <xf numFmtId="0" fontId="6" fillId="3" borderId="16" xfId="0" applyFont="1" applyFill="1" applyBorder="1" applyAlignment="1">
      <alignment horizontal="center" vertical="center"/>
    </xf>
    <xf numFmtId="0" fontId="9" fillId="5" borderId="1" xfId="0" applyFont="1" applyFill="1" applyBorder="1" applyAlignment="1">
      <alignment horizontal="center" vertical="center" wrapText="1"/>
    </xf>
    <xf numFmtId="0" fontId="9" fillId="5" borderId="21" xfId="0" applyFont="1" applyFill="1" applyBorder="1" applyAlignment="1">
      <alignment horizontal="center" vertical="center" wrapText="1"/>
    </xf>
    <xf numFmtId="0" fontId="9" fillId="5" borderId="79" xfId="0" applyFont="1" applyFill="1" applyBorder="1" applyAlignment="1">
      <alignment horizontal="center" vertical="center" wrapText="1"/>
    </xf>
    <xf numFmtId="0" fontId="9" fillId="5" borderId="98" xfId="0" applyFont="1" applyFill="1" applyBorder="1" applyAlignment="1">
      <alignment horizontal="center" vertical="center" wrapText="1"/>
    </xf>
    <xf numFmtId="0" fontId="14" fillId="5" borderId="57"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8" fillId="3" borderId="47" xfId="0" applyFont="1" applyFill="1" applyBorder="1" applyAlignment="1">
      <alignment horizontal="center" vertical="center" wrapText="1"/>
    </xf>
    <xf numFmtId="0" fontId="8" fillId="3" borderId="54" xfId="0" applyFont="1" applyFill="1" applyBorder="1" applyAlignment="1">
      <alignment horizontal="center" vertical="center" wrapText="1"/>
    </xf>
    <xf numFmtId="0" fontId="8" fillId="3" borderId="53" xfId="0" applyFont="1" applyFill="1" applyBorder="1" applyAlignment="1">
      <alignment horizontal="center" vertical="center" wrapText="1"/>
    </xf>
    <xf numFmtId="0" fontId="8" fillId="3" borderId="82"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12" fillId="2" borderId="83" xfId="0" applyFont="1" applyFill="1" applyBorder="1" applyAlignment="1" applyProtection="1">
      <alignment horizontal="center" vertical="center" wrapText="1"/>
      <protection locked="0"/>
    </xf>
    <xf numFmtId="0" fontId="20" fillId="3" borderId="76" xfId="0" applyFont="1" applyFill="1" applyBorder="1" applyAlignment="1">
      <alignment horizontal="left" vertical="center" wrapText="1"/>
    </xf>
    <xf numFmtId="0" fontId="20" fillId="3" borderId="68" xfId="0" applyFont="1" applyFill="1" applyBorder="1" applyAlignment="1">
      <alignment horizontal="left" vertical="center" wrapText="1"/>
    </xf>
    <xf numFmtId="0" fontId="20" fillId="3" borderId="85" xfId="0" applyFont="1" applyFill="1" applyBorder="1" applyAlignment="1">
      <alignment horizontal="left" vertical="center" wrapText="1"/>
    </xf>
    <xf numFmtId="0" fontId="20" fillId="3" borderId="86" xfId="0" applyFont="1" applyFill="1" applyBorder="1" applyAlignment="1">
      <alignment horizontal="left" vertical="center" wrapText="1"/>
    </xf>
    <xf numFmtId="0" fontId="9" fillId="5" borderId="22" xfId="0" applyFont="1" applyFill="1" applyBorder="1" applyAlignment="1">
      <alignment horizontal="center" vertical="center" wrapText="1"/>
    </xf>
    <xf numFmtId="0" fontId="8" fillId="3" borderId="50" xfId="0" applyFont="1" applyFill="1" applyBorder="1" applyAlignment="1">
      <alignment horizontal="center" vertical="center" wrapText="1"/>
    </xf>
    <xf numFmtId="0" fontId="9" fillId="5" borderId="69" xfId="0" applyFont="1" applyFill="1" applyBorder="1" applyAlignment="1">
      <alignment horizontal="center" vertical="center" wrapText="1"/>
    </xf>
    <xf numFmtId="168" fontId="28" fillId="3" borderId="98" xfId="0" applyNumberFormat="1" applyFont="1" applyFill="1" applyBorder="1" applyAlignment="1">
      <alignment horizontal="center" vertical="center" wrapText="1"/>
    </xf>
    <xf numFmtId="168" fontId="28" fillId="3" borderId="0" xfId="0" applyNumberFormat="1" applyFont="1" applyFill="1" applyAlignment="1">
      <alignment horizontal="center" vertical="center" wrapText="1"/>
    </xf>
    <xf numFmtId="0" fontId="16" fillId="5" borderId="109" xfId="0" applyFont="1" applyFill="1" applyBorder="1" applyAlignment="1">
      <alignment horizontal="center" vertical="center" wrapText="1"/>
    </xf>
    <xf numFmtId="0" fontId="16" fillId="5" borderId="110"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5" borderId="71" xfId="0" applyFont="1" applyFill="1" applyBorder="1" applyAlignment="1">
      <alignment horizontal="center" vertical="center" wrapText="1"/>
    </xf>
    <xf numFmtId="0" fontId="9" fillId="5" borderId="100" xfId="0" applyFont="1" applyFill="1" applyBorder="1" applyAlignment="1">
      <alignment horizontal="center" vertical="center" wrapText="1"/>
    </xf>
    <xf numFmtId="0" fontId="20" fillId="3" borderId="77" xfId="0" applyFont="1" applyFill="1" applyBorder="1" applyAlignment="1">
      <alignment horizontal="left" vertical="center" wrapText="1"/>
    </xf>
    <xf numFmtId="1" fontId="6" fillId="3" borderId="34" xfId="0" applyNumberFormat="1" applyFont="1" applyFill="1" applyBorder="1" applyAlignment="1">
      <alignment horizontal="center" vertical="center"/>
    </xf>
    <xf numFmtId="1" fontId="6" fillId="3" borderId="39" xfId="0" applyNumberFormat="1" applyFont="1" applyFill="1" applyBorder="1" applyAlignment="1">
      <alignment horizontal="center" vertical="center"/>
    </xf>
    <xf numFmtId="1" fontId="6" fillId="3" borderId="53" xfId="0" applyNumberFormat="1" applyFont="1" applyFill="1" applyBorder="1" applyAlignment="1">
      <alignment horizontal="center" vertical="center"/>
    </xf>
    <xf numFmtId="1" fontId="6" fillId="3" borderId="101" xfId="0" applyNumberFormat="1" applyFont="1" applyFill="1" applyBorder="1" applyAlignment="1">
      <alignment horizontal="center" vertical="center"/>
    </xf>
    <xf numFmtId="0" fontId="20" fillId="3" borderId="87" xfId="0" applyFont="1" applyFill="1" applyBorder="1" applyAlignment="1">
      <alignment horizontal="left" vertical="center" wrapText="1"/>
    </xf>
    <xf numFmtId="0" fontId="8" fillId="2" borderId="69" xfId="0" applyFont="1" applyFill="1" applyBorder="1" applyAlignment="1">
      <alignment horizontal="center" vertical="center" wrapText="1"/>
    </xf>
    <xf numFmtId="0" fontId="8" fillId="2" borderId="8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9" fillId="2" borderId="57" xfId="0" applyFont="1" applyFill="1" applyBorder="1" applyAlignment="1">
      <alignment horizontal="center" vertical="top" wrapText="1"/>
    </xf>
    <xf numFmtId="0" fontId="9" fillId="2" borderId="56" xfId="0" applyFont="1" applyFill="1" applyBorder="1" applyAlignment="1">
      <alignment horizontal="center" vertical="top" wrapText="1"/>
    </xf>
    <xf numFmtId="0" fontId="9" fillId="2" borderId="18" xfId="0" applyFont="1" applyFill="1" applyBorder="1" applyAlignment="1">
      <alignment horizontal="center" vertical="center" wrapText="1"/>
    </xf>
    <xf numFmtId="0" fontId="9" fillId="2" borderId="55" xfId="0" applyFont="1" applyFill="1" applyBorder="1" applyAlignment="1">
      <alignment horizontal="center" vertical="center" wrapText="1"/>
    </xf>
    <xf numFmtId="0" fontId="9" fillId="2" borderId="52" xfId="0" applyFont="1" applyFill="1" applyBorder="1" applyAlignment="1">
      <alignment horizontal="center" vertical="center" wrapText="1"/>
    </xf>
    <xf numFmtId="0" fontId="9" fillId="2" borderId="70" xfId="0" applyFont="1" applyFill="1" applyBorder="1" applyAlignment="1">
      <alignment horizontal="center" vertical="center" wrapText="1"/>
    </xf>
    <xf numFmtId="0" fontId="8" fillId="2" borderId="52" xfId="0" applyFont="1" applyFill="1" applyBorder="1" applyAlignment="1">
      <alignment horizontal="center" vertical="center" wrapText="1"/>
    </xf>
    <xf numFmtId="0" fontId="8" fillId="2" borderId="70" xfId="0" applyFont="1" applyFill="1" applyBorder="1" applyAlignment="1">
      <alignment horizontal="center" vertical="center" wrapText="1"/>
    </xf>
    <xf numFmtId="0" fontId="9" fillId="14"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2" xfId="0" applyFont="1" applyFill="1" applyBorder="1" applyAlignment="1">
      <alignment horizontal="center" vertical="top" wrapText="1"/>
    </xf>
    <xf numFmtId="0" fontId="9" fillId="2" borderId="4" xfId="0" applyFont="1" applyFill="1" applyBorder="1" applyAlignment="1">
      <alignment horizontal="center" vertical="top" wrapText="1"/>
    </xf>
    <xf numFmtId="0" fontId="9" fillId="2" borderId="6"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32" fillId="16" borderId="101" xfId="0" applyFont="1" applyFill="1" applyBorder="1" applyAlignment="1">
      <alignment horizontal="center" vertical="center" wrapText="1"/>
    </xf>
    <xf numFmtId="0" fontId="32" fillId="16" borderId="30" xfId="0" applyFont="1" applyFill="1" applyBorder="1" applyAlignment="1">
      <alignment horizontal="center" vertical="center" wrapText="1"/>
    </xf>
    <xf numFmtId="0" fontId="32" fillId="16" borderId="78" xfId="0" applyFont="1" applyFill="1" applyBorder="1" applyAlignment="1">
      <alignment horizontal="center" vertical="center" wrapText="1"/>
    </xf>
    <xf numFmtId="0" fontId="32" fillId="16" borderId="131" xfId="0" applyFont="1" applyFill="1" applyBorder="1" applyAlignment="1">
      <alignment horizontal="center" vertical="center" wrapText="1"/>
    </xf>
    <xf numFmtId="0" fontId="32" fillId="16" borderId="132" xfId="0" applyFont="1" applyFill="1" applyBorder="1" applyAlignment="1">
      <alignment horizontal="center" vertical="center" wrapText="1"/>
    </xf>
    <xf numFmtId="0" fontId="32" fillId="16" borderId="134" xfId="0" applyFont="1" applyFill="1" applyBorder="1" applyAlignment="1">
      <alignment horizontal="center" vertical="center" wrapText="1"/>
    </xf>
    <xf numFmtId="0" fontId="32" fillId="16" borderId="133" xfId="0" applyFont="1" applyFill="1" applyBorder="1" applyAlignment="1">
      <alignment horizontal="center" vertical="center" wrapText="1"/>
    </xf>
    <xf numFmtId="0" fontId="7" fillId="0" borderId="126" xfId="0" applyFont="1" applyBorder="1" applyAlignment="1">
      <alignment horizontal="center" vertical="center" wrapText="1"/>
    </xf>
    <xf numFmtId="0" fontId="7" fillId="0" borderId="127"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37" xfId="0" applyFont="1" applyBorder="1" applyAlignment="1">
      <alignment horizontal="center" vertical="center" wrapText="1"/>
    </xf>
    <xf numFmtId="0" fontId="9" fillId="5" borderId="39" xfId="0" applyFont="1" applyFill="1" applyBorder="1" applyAlignment="1">
      <alignment horizontal="center" vertical="center"/>
    </xf>
    <xf numFmtId="0" fontId="7" fillId="0" borderId="1" xfId="0" applyFont="1" applyBorder="1" applyAlignment="1">
      <alignment vertical="center"/>
    </xf>
    <xf numFmtId="0" fontId="7" fillId="0" borderId="24" xfId="0" applyFont="1" applyBorder="1" applyAlignment="1">
      <alignment vertical="center"/>
    </xf>
    <xf numFmtId="0" fontId="7" fillId="0" borderId="116" xfId="0" applyFont="1" applyBorder="1" applyAlignment="1">
      <alignment horizontal="center" vertical="center" wrapText="1"/>
    </xf>
    <xf numFmtId="0" fontId="7" fillId="0" borderId="118" xfId="0" applyFont="1" applyBorder="1" applyAlignment="1">
      <alignment horizontal="center" vertical="center" wrapText="1"/>
    </xf>
    <xf numFmtId="0" fontId="7" fillId="0" borderId="120" xfId="0" applyFont="1" applyBorder="1" applyAlignment="1">
      <alignment horizontal="center" vertical="center" wrapText="1"/>
    </xf>
    <xf numFmtId="0" fontId="7" fillId="0" borderId="121" xfId="0" applyFont="1" applyBorder="1" applyAlignment="1">
      <alignment horizontal="center" vertical="center" wrapText="1"/>
    </xf>
    <xf numFmtId="0" fontId="7" fillId="0" borderId="122" xfId="0" applyFont="1" applyBorder="1" applyAlignment="1">
      <alignment horizontal="center" vertical="center" wrapText="1"/>
    </xf>
    <xf numFmtId="0" fontId="6" fillId="3" borderId="3" xfId="0" applyFont="1" applyFill="1" applyBorder="1" applyAlignment="1">
      <alignment horizontal="center"/>
    </xf>
    <xf numFmtId="0" fontId="8" fillId="3" borderId="3" xfId="0" applyFont="1" applyFill="1" applyBorder="1" applyAlignment="1">
      <alignment horizontal="center" wrapText="1"/>
    </xf>
    <xf numFmtId="0" fontId="6" fillId="3" borderId="0" xfId="0" applyFont="1" applyFill="1" applyAlignment="1">
      <alignment horizontal="center"/>
    </xf>
    <xf numFmtId="0" fontId="8" fillId="3" borderId="2"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6" fillId="3" borderId="8" xfId="0" applyFont="1" applyFill="1" applyBorder="1" applyAlignment="1">
      <alignment horizontal="center"/>
    </xf>
    <xf numFmtId="0" fontId="8" fillId="3" borderId="4" xfId="0" applyFont="1" applyFill="1" applyBorder="1" applyAlignment="1">
      <alignment horizontal="center" wrapText="1"/>
    </xf>
    <xf numFmtId="0" fontId="6" fillId="3" borderId="96" xfId="0" applyFont="1" applyFill="1" applyBorder="1" applyAlignment="1">
      <alignment horizontal="left" wrapText="1"/>
    </xf>
    <xf numFmtId="0" fontId="6" fillId="3" borderId="97"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vertical="top" wrapText="1"/>
    </xf>
    <xf numFmtId="0" fontId="6" fillId="3" borderId="0" xfId="0" applyFont="1" applyFill="1" applyAlignment="1">
      <alignment wrapText="1"/>
    </xf>
    <xf numFmtId="0" fontId="6" fillId="3" borderId="51" xfId="0" applyFont="1" applyFill="1" applyBorder="1" applyAlignment="1">
      <alignment horizontal="center"/>
    </xf>
    <xf numFmtId="0" fontId="6" fillId="3" borderId="70" xfId="0" applyFont="1" applyFill="1" applyBorder="1" applyAlignment="1">
      <alignment horizontal="center"/>
    </xf>
  </cellXfs>
  <cellStyles count="4">
    <cellStyle name="Comma" xfId="3" builtinId="3"/>
    <cellStyle name="Normal" xfId="0" builtinId="0"/>
    <cellStyle name="Normal 2" xfId="1" xr:uid="{BC27F4E2-20B8-47A4-9D90-F2F490171813}"/>
    <cellStyle name="Percent" xfId="2" builtinId="5"/>
  </cellStyles>
  <dxfs count="518">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fill>
        <patternFill patternType="solid">
          <fgColor indexed="64"/>
          <bgColor theme="0"/>
        </patternFill>
      </fill>
      <alignment horizontal="left"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border outline="0">
        <left style="thin">
          <color auto="1"/>
        </left>
        <right style="thin">
          <color auto="1"/>
        </right>
        <bottom style="thin">
          <color auto="1"/>
        </bottom>
      </border>
    </dxf>
    <dxf>
      <font>
        <strike val="0"/>
        <outline val="0"/>
        <shadow val="0"/>
        <u val="none"/>
        <vertAlign val="baseline"/>
        <sz val="10"/>
        <color auto="1"/>
        <name val="Times New Roman"/>
        <family val="1"/>
        <scheme val="none"/>
      </font>
    </dxf>
    <dxf>
      <font>
        <b/>
        <i val="0"/>
        <strike val="0"/>
        <condense val="0"/>
        <extend val="0"/>
        <outline val="0"/>
        <shadow val="0"/>
        <u val="none"/>
        <vertAlign val="baseline"/>
        <sz val="10"/>
        <color auto="1"/>
        <name val="Times New Roman"/>
        <family val="1"/>
        <scheme val="none"/>
      </font>
      <fill>
        <patternFill patternType="solid">
          <fgColor indexed="64"/>
          <bgColor theme="0"/>
        </patternFill>
      </fill>
      <alignment horizontal="center" vertical="bottom" textRotation="0" wrapText="1" indent="0" justifyLastLine="0" shrinkToFit="0" readingOrder="0"/>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border outline="0">
        <bottom style="dashed">
          <color auto="1"/>
        </bottom>
      </border>
    </dxf>
    <dxf>
      <border outline="0">
        <left style="thin">
          <color auto="1"/>
        </left>
        <right style="thin">
          <color auto="1"/>
        </right>
        <bottom style="thin">
          <color auto="1"/>
        </bottom>
      </border>
    </dxf>
    <dxf>
      <font>
        <strike val="0"/>
        <outline val="0"/>
        <shadow val="0"/>
        <u val="none"/>
        <sz val="10"/>
        <name val="Times New Roman"/>
        <family val="1"/>
        <scheme val="none"/>
      </font>
    </dxf>
    <dxf>
      <font>
        <b/>
        <i val="0"/>
        <strike val="0"/>
        <condense val="0"/>
        <extend val="0"/>
        <outline val="0"/>
        <shadow val="0"/>
        <u val="none"/>
        <vertAlign val="baseline"/>
        <sz val="10"/>
        <color auto="1"/>
        <name val="Times New Roman"/>
        <family val="1"/>
        <scheme val="none"/>
      </font>
      <fill>
        <patternFill patternType="solid">
          <fgColor indexed="64"/>
          <bgColor theme="0"/>
        </patternFill>
      </fill>
      <alignment horizontal="center" vertical="bottom" textRotation="0" wrapText="1" indent="0" justifyLastLine="0" shrinkToFit="0" readingOrder="0"/>
    </dxf>
    <dxf>
      <numFmt numFmtId="166" formatCode="0.0E+00"/>
    </dxf>
    <dxf>
      <numFmt numFmtId="2" formatCode="0.00"/>
    </dxf>
    <dxf>
      <numFmt numFmtId="164" formatCode="0.0"/>
    </dxf>
    <dxf>
      <numFmt numFmtId="1" formatCode="0"/>
    </dxf>
    <dxf>
      <numFmt numFmtId="166" formatCode="0.0E+00"/>
    </dxf>
    <dxf>
      <numFmt numFmtId="171" formatCode="0;0;"/>
    </dxf>
    <dxf>
      <numFmt numFmtId="166" formatCode="0.0E+00"/>
    </dxf>
    <dxf>
      <numFmt numFmtId="2" formatCode="0.00"/>
    </dxf>
    <dxf>
      <numFmt numFmtId="164" formatCode="0.0"/>
    </dxf>
    <dxf>
      <numFmt numFmtId="1" formatCode="0"/>
    </dxf>
    <dxf>
      <numFmt numFmtId="166" formatCode="0.0E+00"/>
    </dxf>
    <dxf>
      <numFmt numFmtId="171" formatCode="0;0;"/>
    </dxf>
    <dxf>
      <font>
        <color theme="0"/>
      </font>
      <fill>
        <patternFill>
          <bgColor theme="0"/>
        </patternFill>
      </fill>
    </dxf>
    <dxf>
      <numFmt numFmtId="166" formatCode="0.0E+00"/>
    </dxf>
    <dxf>
      <numFmt numFmtId="2" formatCode="0.00"/>
    </dxf>
    <dxf>
      <numFmt numFmtId="164" formatCode="0.0"/>
    </dxf>
    <dxf>
      <numFmt numFmtId="1" formatCode="0"/>
    </dxf>
    <dxf>
      <numFmt numFmtId="166" formatCode="0.0E+00"/>
    </dxf>
    <dxf>
      <numFmt numFmtId="171" formatCode="0;0;"/>
    </dxf>
    <dxf>
      <fill>
        <patternFill>
          <bgColor rgb="FF00B050"/>
        </patternFill>
      </fill>
    </dxf>
    <dxf>
      <fill>
        <patternFill>
          <bgColor theme="5"/>
        </patternFill>
      </fill>
    </dxf>
    <dxf>
      <fill>
        <patternFill>
          <bgColor theme="5"/>
        </patternFill>
      </fill>
    </dxf>
    <dxf>
      <fill>
        <patternFill>
          <bgColor rgb="FF00B050"/>
        </patternFill>
      </fill>
    </dxf>
    <dxf>
      <fill>
        <patternFill>
          <bgColor rgb="FF00B050"/>
        </patternFill>
      </fill>
    </dxf>
    <dxf>
      <fill>
        <patternFill>
          <bgColor theme="5"/>
        </patternFill>
      </fill>
    </dxf>
    <dxf>
      <fill>
        <patternFill>
          <bgColor rgb="FF00B050"/>
        </patternFill>
      </fill>
    </dxf>
    <dxf>
      <fill>
        <patternFill>
          <bgColor theme="5"/>
        </patternFill>
      </fill>
    </dxf>
    <dxf>
      <fill>
        <patternFill>
          <bgColor rgb="FF00B050"/>
        </patternFill>
      </fill>
    </dxf>
    <dxf>
      <numFmt numFmtId="3" formatCode="#,##0"/>
    </dxf>
    <dxf>
      <numFmt numFmtId="164" formatCode="0.0"/>
    </dxf>
    <dxf>
      <numFmt numFmtId="166" formatCode="0.0E+00"/>
    </dxf>
    <dxf>
      <fill>
        <patternFill>
          <bgColor theme="0"/>
        </patternFill>
      </fill>
    </dxf>
    <dxf>
      <font>
        <color theme="0"/>
      </font>
      <fill>
        <patternFill>
          <bgColor theme="0"/>
        </patternFill>
      </fill>
    </dxf>
    <dxf>
      <numFmt numFmtId="166" formatCode="0.0E+00"/>
    </dxf>
    <dxf>
      <numFmt numFmtId="2" formatCode="0.00"/>
    </dxf>
    <dxf>
      <numFmt numFmtId="164" formatCode="0.0"/>
    </dxf>
    <dxf>
      <numFmt numFmtId="1" formatCode="0"/>
    </dxf>
    <dxf>
      <numFmt numFmtId="166" formatCode="0.0E+00"/>
    </dxf>
    <dxf>
      <numFmt numFmtId="171" formatCode="0;0;"/>
    </dxf>
    <dxf>
      <fill>
        <patternFill>
          <bgColor theme="5"/>
        </patternFill>
      </fill>
    </dxf>
    <dxf>
      <font>
        <strike val="0"/>
        <outline val="0"/>
        <shadow val="0"/>
        <u val="none"/>
        <sz val="10"/>
        <name val="Times New Roman"/>
        <family val="1"/>
        <scheme val="none"/>
      </font>
      <numFmt numFmtId="166" formatCode="0.0E+00"/>
    </dxf>
    <dxf>
      <font>
        <strike val="0"/>
        <outline val="0"/>
        <shadow val="0"/>
        <u val="none"/>
        <sz val="10"/>
        <name val="Times New Roman"/>
        <family val="1"/>
        <scheme val="none"/>
      </font>
      <numFmt numFmtId="166" formatCode="0.0E+00"/>
      <fill>
        <patternFill patternType="none">
          <fgColor indexed="64"/>
          <bgColor auto="1"/>
        </patternFill>
      </fill>
      <alignment horizontal="center" vertical="center" textRotation="0" indent="0" justifyLastLine="0" shrinkToFit="0" readingOrder="0"/>
      <border diagonalUp="0" diagonalDown="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sz val="10"/>
        <name val="Times New Roman"/>
        <family val="1"/>
        <scheme val="none"/>
      </font>
      <numFmt numFmtId="166" formatCode="0.0E+00"/>
      <fill>
        <patternFill patternType="none">
          <fgColor indexed="64"/>
          <bgColor auto="1"/>
        </patternFill>
      </fill>
      <alignment horizontal="center" vertical="center" textRotation="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auto="1"/>
        <name val="Times New Roman"/>
        <family val="1"/>
        <scheme val="none"/>
      </font>
      <numFmt numFmtId="15" formatCode="0.00E+00"/>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bottom style="thin">
          <color auto="1"/>
        </bottom>
        <vertical/>
        <horizontal/>
      </border>
    </dxf>
    <dxf>
      <font>
        <strike val="0"/>
        <outline val="0"/>
        <shadow val="0"/>
        <u val="none"/>
        <sz val="10"/>
        <color auto="1"/>
        <name val="Times New Roman"/>
        <family val="1"/>
        <scheme val="none"/>
      </font>
      <numFmt numFmtId="15" formatCode="0.00E+00"/>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bottom style="thin">
          <color auto="1"/>
        </bottom>
        <vertical/>
        <horizontal/>
      </border>
    </dxf>
    <dxf>
      <font>
        <strike val="0"/>
        <outline val="0"/>
        <shadow val="0"/>
        <u val="none"/>
        <sz val="10"/>
        <name val="Times New Roman"/>
        <family val="1"/>
        <scheme val="none"/>
      </font>
      <numFmt numFmtId="166" formatCode="0.0E+00"/>
      <fill>
        <patternFill patternType="none">
          <fgColor indexed="64"/>
          <bgColor auto="1"/>
        </patternFill>
      </fill>
      <alignment horizontal="center" vertical="center" textRotation="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theme="9" tint="0.3999755851924192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sz val="10"/>
        <name val="Times New Roman"/>
        <family val="1"/>
        <scheme val="none"/>
      </font>
      <numFmt numFmtId="166" formatCode="0.0E+00"/>
      <fill>
        <patternFill patternType="none">
          <fgColor indexed="64"/>
          <bgColor theme="9" tint="0.3999755851924192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theme="9" tint="0.3999755851924192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theme="9" tint="0.3999755851924192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left style="medium">
          <color auto="1"/>
        </left>
        <right style="medium">
          <color auto="1"/>
        </right>
        <top style="thin">
          <color auto="1"/>
        </top>
        <bottom style="thin">
          <color auto="1"/>
        </bottom>
        <vertical/>
        <horizontal/>
      </border>
    </dxf>
    <dxf>
      <font>
        <strike val="0"/>
        <outline val="0"/>
        <shadow val="0"/>
        <u val="none"/>
        <sz val="10"/>
        <name val="Times New Roman"/>
        <family val="1"/>
        <scheme val="none"/>
      </font>
      <numFmt numFmtId="166" formatCode="0.0E+00"/>
      <fill>
        <patternFill>
          <fgColor indexed="64"/>
          <bgColor theme="0"/>
        </patternFill>
      </fill>
      <alignment horizontal="center" vertical="center" textRotation="0" wrapText="1" indent="0" justifyLastLine="0" shrinkToFit="0" readingOrder="0"/>
      <border diagonalUp="0" diagonalDown="0">
        <left style="medium">
          <color auto="1"/>
        </left>
        <right style="medium">
          <color auto="1"/>
        </right>
        <top style="thin">
          <color auto="1"/>
        </top>
        <bottom style="thin">
          <color auto="1"/>
        </bottom>
        <vertical/>
        <horizontal/>
      </border>
    </dxf>
    <dxf>
      <border outline="0">
        <right style="thin">
          <color auto="1"/>
        </right>
        <bottom style="thin">
          <color indexed="64"/>
        </bottom>
      </border>
    </dxf>
    <dxf>
      <font>
        <strike val="0"/>
        <outline val="0"/>
        <shadow val="0"/>
        <u val="none"/>
        <sz val="10"/>
        <name val="Times New Roman"/>
        <family val="1"/>
        <scheme val="none"/>
      </font>
    </dxf>
    <dxf>
      <font>
        <strike val="0"/>
        <outline val="0"/>
        <shadow val="0"/>
        <u val="none"/>
        <sz val="10"/>
        <name val="Times New Roman"/>
        <family val="1"/>
        <scheme val="none"/>
      </font>
    </dxf>
    <dxf>
      <numFmt numFmtId="2" formatCode="0.00"/>
    </dxf>
    <dxf>
      <numFmt numFmtId="1" formatCode="0"/>
    </dxf>
    <dxf>
      <numFmt numFmtId="164" formatCode="0.0"/>
    </dxf>
    <dxf>
      <numFmt numFmtId="166" formatCode="0.0E+00"/>
    </dxf>
    <dxf>
      <numFmt numFmtId="2" formatCode="0.00"/>
    </dxf>
    <dxf>
      <numFmt numFmtId="166" formatCode="0.0E+00"/>
    </dxf>
    <dxf>
      <numFmt numFmtId="166" formatCode="0.0E+00"/>
    </dxf>
    <dxf>
      <numFmt numFmtId="164" formatCode="0.0"/>
    </dxf>
    <dxf>
      <numFmt numFmtId="1" formatCode="0"/>
    </dxf>
    <dxf>
      <numFmt numFmtId="1" formatCode="0"/>
    </dxf>
    <dxf>
      <numFmt numFmtId="164" formatCode="0.0"/>
    </dxf>
    <dxf>
      <numFmt numFmtId="2" formatCode="0.00"/>
    </dxf>
    <dxf>
      <numFmt numFmtId="1" formatCode="0"/>
    </dxf>
    <dxf>
      <numFmt numFmtId="166" formatCode="0.0E+00"/>
    </dxf>
    <dxf>
      <numFmt numFmtId="166" formatCode="0.0E+00"/>
    </dxf>
    <dxf>
      <numFmt numFmtId="1" formatCode="0"/>
    </dxf>
    <dxf>
      <numFmt numFmtId="1" formatCode="0"/>
    </dxf>
    <dxf>
      <numFmt numFmtId="1" formatCode="0"/>
    </dxf>
    <dxf>
      <numFmt numFmtId="1" formatCode="0"/>
    </dxf>
    <dxf>
      <numFmt numFmtId="166" formatCode="0.0E+00"/>
    </dxf>
    <dxf>
      <numFmt numFmtId="2" formatCode="0.00"/>
    </dxf>
    <dxf>
      <numFmt numFmtId="166" formatCode="0.0E+00"/>
    </dxf>
    <dxf>
      <numFmt numFmtId="164" formatCode="0.0"/>
    </dxf>
    <dxf>
      <numFmt numFmtId="1" formatCode="0"/>
    </dxf>
    <dxf>
      <numFmt numFmtId="15" formatCode="0.00E+00"/>
    </dxf>
    <dxf>
      <numFmt numFmtId="2" formatCode="0.00"/>
    </dxf>
    <dxf>
      <numFmt numFmtId="166" formatCode="0.0E+00"/>
    </dxf>
    <dxf>
      <numFmt numFmtId="164" formatCode="0.0"/>
    </dxf>
    <dxf>
      <numFmt numFmtId="166" formatCode="0.0E+00"/>
    </dxf>
    <dxf>
      <numFmt numFmtId="166" formatCode="0.0E+00"/>
    </dxf>
    <dxf>
      <numFmt numFmtId="2" formatCode="0.00"/>
    </dxf>
    <dxf>
      <numFmt numFmtId="164" formatCode="0.0"/>
    </dxf>
    <dxf>
      <numFmt numFmtId="1" formatCode="0"/>
    </dxf>
    <dxf>
      <numFmt numFmtId="2" formatCode="0.00"/>
    </dxf>
    <dxf>
      <numFmt numFmtId="166" formatCode="0.0E+00"/>
    </dxf>
    <dxf>
      <numFmt numFmtId="164" formatCode="0.0"/>
    </dxf>
    <dxf>
      <numFmt numFmtId="166" formatCode="0.0E+00"/>
    </dxf>
    <dxf>
      <numFmt numFmtId="166" formatCode="0.0E+00"/>
    </dxf>
    <dxf>
      <numFmt numFmtId="2" formatCode="0.00"/>
    </dxf>
    <dxf>
      <numFmt numFmtId="166" formatCode="0.0E+00"/>
    </dxf>
    <dxf>
      <numFmt numFmtId="1" formatCode="0"/>
    </dxf>
    <dxf>
      <numFmt numFmtId="164" formatCode="0.0"/>
    </dxf>
    <dxf>
      <numFmt numFmtId="164" formatCode="0.0"/>
    </dxf>
    <dxf>
      <numFmt numFmtId="1" formatCode="0"/>
    </dxf>
    <dxf>
      <numFmt numFmtId="166" formatCode="0.0E+00"/>
    </dxf>
    <dxf>
      <numFmt numFmtId="2" formatCode="0.00"/>
    </dxf>
    <dxf>
      <numFmt numFmtId="166" formatCode="0.0E+00"/>
    </dxf>
    <dxf>
      <numFmt numFmtId="1" formatCode="0"/>
    </dxf>
    <dxf>
      <numFmt numFmtId="166" formatCode="0.0E+00"/>
    </dxf>
    <dxf>
      <numFmt numFmtId="2" formatCode="0.00"/>
    </dxf>
    <dxf>
      <numFmt numFmtId="166" formatCode="0.0E+00"/>
    </dxf>
    <dxf>
      <numFmt numFmtId="164" formatCode="0.0"/>
    </dxf>
    <dxf>
      <numFmt numFmtId="166" formatCode="0.0E+00"/>
    </dxf>
    <dxf>
      <numFmt numFmtId="1" formatCode="0"/>
    </dxf>
    <dxf>
      <numFmt numFmtId="2" formatCode="0.00"/>
    </dxf>
    <dxf>
      <numFmt numFmtId="166" formatCode="0.0E+00"/>
    </dxf>
    <dxf>
      <numFmt numFmtId="164" formatCode="0.0"/>
    </dxf>
    <dxf>
      <numFmt numFmtId="166" formatCode="0.0E+00"/>
    </dxf>
    <dxf>
      <numFmt numFmtId="1" formatCode="0"/>
    </dxf>
    <dxf>
      <numFmt numFmtId="164" formatCode="0.0"/>
    </dxf>
    <dxf>
      <numFmt numFmtId="2" formatCode="0.00"/>
    </dxf>
    <dxf>
      <numFmt numFmtId="166" formatCode="0.0E+00"/>
    </dxf>
    <dxf>
      <numFmt numFmtId="166" formatCode="0.0E+00"/>
    </dxf>
    <dxf>
      <numFmt numFmtId="2" formatCode="0.00"/>
    </dxf>
    <dxf>
      <numFmt numFmtId="166" formatCode="0.0E+00"/>
    </dxf>
    <dxf>
      <numFmt numFmtId="164" formatCode="0.0"/>
    </dxf>
    <dxf>
      <numFmt numFmtId="1" formatCode="0"/>
    </dxf>
    <dxf>
      <numFmt numFmtId="1" formatCode="0"/>
    </dxf>
    <dxf>
      <numFmt numFmtId="166" formatCode="0.0E+00"/>
    </dxf>
    <dxf>
      <numFmt numFmtId="2" formatCode="0.00"/>
    </dxf>
    <dxf>
      <numFmt numFmtId="166" formatCode="0.0E+00"/>
    </dxf>
    <dxf>
      <numFmt numFmtId="164" formatCode="0.0"/>
    </dxf>
    <dxf>
      <numFmt numFmtId="1" formatCode="0"/>
    </dxf>
    <dxf>
      <numFmt numFmtId="1" formatCode="0"/>
    </dxf>
    <dxf>
      <numFmt numFmtId="2" formatCode="0.00"/>
    </dxf>
    <dxf>
      <numFmt numFmtId="164" formatCode="0.0"/>
    </dxf>
    <dxf>
      <numFmt numFmtId="166" formatCode="0.0E+00"/>
    </dxf>
    <dxf>
      <numFmt numFmtId="15" formatCode="0.00E+00"/>
    </dxf>
    <dxf>
      <numFmt numFmtId="164" formatCode="0.0"/>
    </dxf>
    <dxf>
      <numFmt numFmtId="166" formatCode="0.0E+00"/>
    </dxf>
    <dxf>
      <numFmt numFmtId="1" formatCode="0"/>
    </dxf>
    <dxf>
      <numFmt numFmtId="164" formatCode="0.0"/>
    </dxf>
    <dxf>
      <numFmt numFmtId="166" formatCode="0.0E+00"/>
    </dxf>
    <dxf>
      <numFmt numFmtId="2" formatCode="0.00"/>
    </dxf>
    <dxf>
      <numFmt numFmtId="166" formatCode="0.0E+00"/>
    </dxf>
    <dxf>
      <numFmt numFmtId="2" formatCode="0.00"/>
    </dxf>
    <dxf>
      <numFmt numFmtId="166" formatCode="0.0E+00"/>
    </dxf>
    <dxf>
      <numFmt numFmtId="1" formatCode="0"/>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 formatCode="0"/>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rgb="FF92D05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rgb="FF92D05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0"/>
        <color theme="1"/>
        <name val="Times New Roman"/>
        <family val="1"/>
        <scheme val="none"/>
      </font>
      <numFmt numFmtId="15" formatCode="0.00E+00"/>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0"/>
        <color theme="1"/>
        <name val="Times New Roman"/>
        <family val="1"/>
        <scheme val="none"/>
      </font>
      <numFmt numFmtId="15" formatCode="0.00E+00"/>
      <fill>
        <patternFill patternType="none">
          <fgColor indexed="64"/>
          <bgColor auto="1"/>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92D05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92D05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rgb="FF000000"/>
        <name val="Times New Roman"/>
        <family val="1"/>
        <scheme val="none"/>
      </font>
      <fill>
        <patternFill patternType="solid">
          <fgColor indexed="64"/>
          <bgColor rgb="FFFFFF00"/>
        </patternFill>
      </fill>
      <alignment horizontal="center" vertical="center"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general" vertical="center" textRotation="0" wrapText="1" indent="0" justifyLastLine="0" shrinkToFit="0" readingOrder="0"/>
      <border diagonalUp="0" diagonalDown="0" outline="0">
        <left style="medium">
          <color auto="1"/>
        </left>
        <right style="medium">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border outline="0">
        <right style="thin">
          <color auto="1"/>
        </right>
      </border>
    </dxf>
    <dxf>
      <font>
        <b val="0"/>
        <i val="0"/>
        <strike val="0"/>
        <condense val="0"/>
        <extend val="0"/>
        <outline val="0"/>
        <shadow val="0"/>
        <u val="none"/>
        <vertAlign val="baseline"/>
        <sz val="10"/>
        <color theme="1"/>
        <name val="Times New Roman"/>
        <family val="1"/>
        <scheme val="none"/>
      </font>
    </dxf>
    <dxf>
      <font>
        <b val="0"/>
        <i val="0"/>
        <strike val="0"/>
        <condense val="0"/>
        <extend val="0"/>
        <outline val="0"/>
        <shadow val="0"/>
        <u val="none"/>
        <vertAlign val="baseline"/>
        <sz val="10"/>
        <color auto="1"/>
        <name val="Times New Roman"/>
        <family val="1"/>
        <scheme val="none"/>
      </font>
    </dxf>
    <dxf>
      <numFmt numFmtId="166" formatCode="0.0E+00"/>
    </dxf>
    <dxf>
      <numFmt numFmtId="1" formatCode="0"/>
    </dxf>
    <dxf>
      <numFmt numFmtId="2" formatCode="0.00"/>
    </dxf>
    <dxf>
      <numFmt numFmtId="166" formatCode="0.0E+00"/>
    </dxf>
    <dxf>
      <numFmt numFmtId="164" formatCode="0.0"/>
    </dxf>
    <dxf>
      <numFmt numFmtId="2" formatCode="0.00"/>
    </dxf>
    <dxf>
      <numFmt numFmtId="164" formatCode="0.0"/>
    </dxf>
    <dxf>
      <numFmt numFmtId="1" formatCode="0"/>
    </dxf>
    <dxf>
      <numFmt numFmtId="166" formatCode="0.0E+00"/>
    </dxf>
    <dxf>
      <numFmt numFmtId="166" formatCode="0.0E+00"/>
    </dxf>
    <dxf>
      <font>
        <color theme="0"/>
      </font>
      <numFmt numFmtId="1" formatCode="0"/>
      <fill>
        <patternFill>
          <bgColor theme="0"/>
        </patternFill>
      </fill>
    </dxf>
    <dxf>
      <fill>
        <patternFill>
          <bgColor theme="5"/>
        </patternFill>
      </fill>
    </dxf>
    <dxf>
      <fill>
        <patternFill>
          <bgColor rgb="FF00B050"/>
        </patternFill>
      </fill>
    </dxf>
    <dxf>
      <fill>
        <patternFill>
          <bgColor theme="0"/>
        </patternFill>
      </fill>
    </dxf>
    <dxf>
      <fill>
        <patternFill>
          <bgColor theme="5"/>
        </patternFill>
      </fill>
    </dxf>
    <dxf>
      <fill>
        <patternFill>
          <bgColor rgb="FF00B050"/>
        </patternFill>
      </fill>
    </dxf>
    <dxf>
      <font>
        <color theme="0"/>
      </font>
      <fill>
        <patternFill>
          <bgColor theme="0"/>
        </patternFill>
      </fill>
    </dxf>
    <dxf>
      <fill>
        <patternFill>
          <bgColor theme="0"/>
        </patternFill>
      </fill>
    </dxf>
    <dxf>
      <numFmt numFmtId="15" formatCode="0.00E+00"/>
    </dxf>
    <dxf>
      <numFmt numFmtId="166" formatCode="0.0E+00"/>
    </dxf>
    <dxf>
      <numFmt numFmtId="1" formatCode="0"/>
    </dxf>
    <dxf>
      <numFmt numFmtId="164" formatCode="0.0"/>
    </dxf>
    <dxf>
      <numFmt numFmtId="2" formatCode="0.00"/>
    </dxf>
    <dxf>
      <numFmt numFmtId="166" formatCode="0.0E+00"/>
    </dxf>
    <dxf>
      <numFmt numFmtId="171" formatCode="0;0;"/>
    </dxf>
    <dxf>
      <fill>
        <patternFill>
          <bgColor theme="0"/>
        </patternFill>
      </fill>
    </dxf>
    <dxf>
      <numFmt numFmtId="15" formatCode="0.00E+00"/>
    </dxf>
    <dxf>
      <numFmt numFmtId="164" formatCode="0.0"/>
    </dxf>
    <dxf>
      <numFmt numFmtId="3" formatCode="#,##0"/>
    </dxf>
    <dxf>
      <font>
        <color theme="0"/>
      </font>
      <fill>
        <patternFill>
          <bgColor theme="0"/>
        </patternFill>
      </fill>
    </dxf>
    <dxf>
      <font>
        <color theme="0"/>
      </font>
      <fill>
        <patternFill>
          <bgColor theme="0"/>
        </patternFill>
      </fill>
    </dxf>
    <dxf>
      <fill>
        <patternFill>
          <bgColor theme="0"/>
        </patternFill>
      </fill>
    </dxf>
    <dxf>
      <numFmt numFmtId="15" formatCode="0.00E+00"/>
    </dxf>
    <dxf>
      <numFmt numFmtId="164" formatCode="0.0"/>
    </dxf>
    <dxf>
      <numFmt numFmtId="3" formatCode="#,##0"/>
    </dxf>
    <dxf>
      <fill>
        <patternFill>
          <bgColor theme="0"/>
        </patternFill>
      </fill>
    </dxf>
    <dxf>
      <font>
        <color theme="0"/>
      </font>
      <fill>
        <patternFill>
          <bgColor theme="0"/>
        </patternFill>
      </fill>
    </dxf>
    <dxf>
      <numFmt numFmtId="15" formatCode="0.00E+00"/>
    </dxf>
    <dxf>
      <fill>
        <patternFill>
          <bgColor rgb="FF00B050"/>
        </patternFill>
      </fill>
    </dxf>
    <dxf>
      <fill>
        <patternFill>
          <bgColor theme="5"/>
        </patternFill>
      </fill>
    </dxf>
    <dxf>
      <numFmt numFmtId="1" formatCode="0"/>
    </dxf>
    <dxf>
      <numFmt numFmtId="172" formatCode="#,##0.0"/>
    </dxf>
    <dxf>
      <numFmt numFmtId="15" formatCode="0.00E+00"/>
    </dxf>
    <dxf>
      <font>
        <color theme="0"/>
      </font>
      <fill>
        <patternFill>
          <bgColor theme="0"/>
        </patternFill>
      </fill>
    </dxf>
    <dxf>
      <fill>
        <patternFill>
          <bgColor rgb="FF00B050"/>
        </patternFill>
      </fill>
    </dxf>
    <dxf>
      <fill>
        <patternFill>
          <bgColor theme="5"/>
        </patternFill>
      </fill>
    </dxf>
    <dxf>
      <numFmt numFmtId="2" formatCode="0.00"/>
    </dxf>
    <dxf>
      <numFmt numFmtId="171" formatCode="0;0;"/>
    </dxf>
    <dxf>
      <numFmt numFmtId="166" formatCode="0.0E+00"/>
    </dxf>
    <dxf>
      <numFmt numFmtId="164" formatCode="0.0"/>
    </dxf>
    <dxf>
      <numFmt numFmtId="1" formatCode="0"/>
    </dxf>
    <dxf>
      <numFmt numFmtId="166" formatCode="0.0E+00"/>
    </dxf>
    <dxf>
      <numFmt numFmtId="166" formatCode="0.0E+00"/>
    </dxf>
    <dxf>
      <numFmt numFmtId="171" formatCode="0;0;"/>
    </dxf>
    <dxf>
      <numFmt numFmtId="2" formatCode="0.00"/>
    </dxf>
    <dxf>
      <numFmt numFmtId="164" formatCode="0.0"/>
    </dxf>
    <dxf>
      <numFmt numFmtId="1" formatCode="0"/>
    </dxf>
    <dxf>
      <numFmt numFmtId="166" formatCode="0.0E+00"/>
    </dxf>
    <dxf>
      <font>
        <color theme="0"/>
      </font>
      <fill>
        <patternFill>
          <bgColor theme="0"/>
        </patternFill>
      </fill>
    </dxf>
    <dxf>
      <fill>
        <patternFill>
          <bgColor theme="0"/>
        </patternFill>
      </fill>
    </dxf>
    <dxf>
      <numFmt numFmtId="15" formatCode="0.00E+00"/>
    </dxf>
    <dxf>
      <numFmt numFmtId="164" formatCode="0.0"/>
    </dxf>
    <dxf>
      <numFmt numFmtId="3" formatCode="#,##0"/>
    </dxf>
    <dxf>
      <numFmt numFmtId="15" formatCode="0.00E+00"/>
    </dxf>
    <dxf>
      <numFmt numFmtId="164" formatCode="0.0"/>
    </dxf>
    <dxf>
      <numFmt numFmtId="3" formatCode="#,##0"/>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numFmt numFmtId="15" formatCode="0.00E+00"/>
    </dxf>
    <dxf>
      <numFmt numFmtId="15" formatCode="0.00E+00"/>
    </dxf>
    <dxf>
      <fill>
        <patternFill>
          <bgColor theme="0"/>
        </patternFill>
      </fill>
    </dxf>
    <dxf>
      <font>
        <color theme="0"/>
      </font>
      <fill>
        <patternFill>
          <bgColor theme="0"/>
        </patternFill>
      </fill>
    </dxf>
    <dxf>
      <fill>
        <patternFill>
          <bgColor theme="0"/>
        </patternFill>
      </fill>
    </dxf>
    <dxf>
      <numFmt numFmtId="15" formatCode="0.00E+00"/>
    </dxf>
    <dxf>
      <font>
        <color theme="0"/>
      </font>
      <fill>
        <patternFill>
          <bgColor theme="0"/>
        </patternFill>
      </fill>
    </dxf>
    <dxf>
      <numFmt numFmtId="166" formatCode="0.0E+00"/>
    </dxf>
    <dxf>
      <numFmt numFmtId="1" formatCode="0"/>
    </dxf>
    <dxf>
      <numFmt numFmtId="164" formatCode="0.0"/>
    </dxf>
    <dxf>
      <numFmt numFmtId="2" formatCode="0.00"/>
    </dxf>
    <dxf>
      <numFmt numFmtId="166" formatCode="0.0E+00"/>
    </dxf>
    <dxf>
      <numFmt numFmtId="171" formatCode="0;0;"/>
    </dxf>
    <dxf>
      <numFmt numFmtId="2" formatCode="0.00"/>
    </dxf>
    <dxf>
      <numFmt numFmtId="171" formatCode="0;0;"/>
    </dxf>
    <dxf>
      <numFmt numFmtId="166" formatCode="0.0E+00"/>
    </dxf>
    <dxf>
      <numFmt numFmtId="1" formatCode="0"/>
    </dxf>
    <dxf>
      <numFmt numFmtId="164" formatCode="0.0"/>
    </dxf>
    <dxf>
      <numFmt numFmtId="166" formatCode="0.0E+00"/>
    </dxf>
    <dxf>
      <fill>
        <patternFill>
          <bgColor rgb="FF00B050"/>
        </patternFill>
      </fill>
    </dxf>
    <dxf>
      <font>
        <strike val="0"/>
        <color auto="1"/>
      </font>
      <fill>
        <patternFill>
          <bgColor theme="5"/>
        </patternFill>
      </fill>
    </dxf>
    <dxf>
      <font>
        <color theme="0"/>
      </font>
      <fill>
        <patternFill>
          <bgColor theme="0"/>
        </patternFill>
      </fill>
    </dxf>
    <dxf>
      <numFmt numFmtId="1" formatCode="0"/>
    </dxf>
    <dxf>
      <numFmt numFmtId="166" formatCode="0.0E+00"/>
    </dxf>
    <dxf>
      <numFmt numFmtId="172" formatCode="#,##0.0"/>
    </dxf>
    <dxf>
      <fill>
        <patternFill>
          <bgColor theme="0"/>
        </patternFill>
      </fill>
    </dxf>
    <dxf>
      <fill>
        <patternFill>
          <bgColor theme="5"/>
        </patternFill>
      </fill>
    </dxf>
    <dxf>
      <fill>
        <patternFill>
          <bgColor rgb="FF00B050"/>
        </patternFill>
      </fill>
    </dxf>
    <dxf>
      <numFmt numFmtId="164" formatCode="0.0"/>
    </dxf>
    <dxf>
      <numFmt numFmtId="15" formatCode="0.00E+00"/>
    </dxf>
    <dxf>
      <fill>
        <patternFill>
          <bgColor theme="0"/>
        </patternFill>
      </fill>
    </dxf>
    <dxf>
      <font>
        <color theme="0"/>
      </font>
      <fill>
        <patternFill>
          <bgColor theme="0"/>
        </patternFill>
      </fill>
    </dxf>
    <dxf>
      <numFmt numFmtId="3" formatCode="#,##0"/>
    </dxf>
    <dxf>
      <fill>
        <patternFill>
          <bgColor theme="0"/>
        </patternFill>
      </fill>
    </dxf>
    <dxf>
      <numFmt numFmtId="3" formatCode="#,##0"/>
    </dxf>
    <dxf>
      <numFmt numFmtId="15" formatCode="0.00E+00"/>
    </dxf>
    <dxf>
      <numFmt numFmtId="164" formatCode="0.0"/>
    </dxf>
    <dxf>
      <font>
        <color theme="0"/>
      </font>
      <fill>
        <patternFill>
          <bgColor theme="0"/>
        </patternFill>
      </fill>
    </dxf>
    <dxf>
      <font>
        <color theme="0"/>
      </font>
      <fill>
        <patternFill>
          <bgColor theme="0"/>
        </patternFill>
      </fill>
    </dxf>
    <dxf>
      <fill>
        <patternFill>
          <bgColor theme="0"/>
        </patternFill>
      </fill>
    </dxf>
    <dxf>
      <numFmt numFmtId="15" formatCode="0.00E+00"/>
    </dxf>
    <dxf>
      <numFmt numFmtId="164" formatCode="0.0"/>
    </dxf>
    <dxf>
      <numFmt numFmtId="3" formatCode="#,##0"/>
    </dxf>
    <dxf>
      <fill>
        <patternFill>
          <bgColor theme="0"/>
        </patternFill>
      </fill>
    </dxf>
    <dxf>
      <numFmt numFmtId="15" formatCode="0.00E+00"/>
    </dxf>
    <dxf>
      <numFmt numFmtId="164" formatCode="0.0"/>
    </dxf>
    <dxf>
      <font>
        <color theme="0"/>
      </font>
      <fill>
        <patternFill>
          <bgColor theme="0"/>
        </patternFill>
      </fill>
    </dxf>
    <dxf>
      <numFmt numFmtId="3" formatCode="#,##0"/>
    </dxf>
    <dxf>
      <numFmt numFmtId="3" formatCode="#,##0"/>
    </dxf>
    <dxf>
      <font>
        <color theme="0"/>
      </font>
      <fill>
        <patternFill>
          <bgColor theme="0"/>
        </patternFill>
      </fill>
    </dxf>
    <dxf>
      <fill>
        <patternFill>
          <bgColor theme="0"/>
        </patternFill>
      </fill>
    </dxf>
    <dxf>
      <numFmt numFmtId="15" formatCode="0.00E+00"/>
    </dxf>
    <dxf>
      <numFmt numFmtId="164" formatCode="0.0"/>
    </dxf>
    <dxf>
      <numFmt numFmtId="15" formatCode="0.00E+00"/>
    </dxf>
    <dxf>
      <fill>
        <patternFill>
          <bgColor theme="0"/>
        </patternFill>
      </fill>
    </dxf>
    <dxf>
      <font>
        <color theme="0"/>
      </font>
      <fill>
        <patternFill>
          <bgColor theme="0"/>
        </patternFill>
      </fill>
    </dxf>
    <dxf>
      <fill>
        <patternFill>
          <bgColor rgb="FF00B050"/>
        </patternFill>
      </fill>
    </dxf>
    <dxf>
      <fill>
        <patternFill>
          <bgColor rgb="FF00B050"/>
        </patternFill>
      </fill>
    </dxf>
    <dxf>
      <fill>
        <patternFill>
          <bgColor theme="5"/>
        </patternFill>
      </fill>
    </dxf>
    <dxf>
      <fill>
        <patternFill>
          <bgColor theme="5"/>
        </patternFill>
      </fill>
    </dxf>
    <dxf>
      <fill>
        <patternFill>
          <bgColor rgb="FF00B050"/>
        </patternFill>
      </fill>
    </dxf>
    <dxf>
      <fill>
        <patternFill>
          <bgColor theme="5"/>
        </patternFill>
      </fill>
    </dxf>
    <dxf>
      <fill>
        <patternFill>
          <bgColor rgb="FF00B050"/>
        </patternFill>
      </fill>
    </dxf>
    <dxf>
      <fill>
        <patternFill>
          <bgColor theme="5"/>
        </patternFill>
      </fill>
    </dxf>
    <dxf>
      <fill>
        <patternFill>
          <bgColor theme="5"/>
        </patternFill>
      </fill>
    </dxf>
    <dxf>
      <fill>
        <patternFill>
          <bgColor rgb="FF00B050"/>
        </patternFill>
      </fill>
    </dxf>
    <dxf>
      <numFmt numFmtId="3" formatCode="#,##0"/>
    </dxf>
    <dxf>
      <numFmt numFmtId="164" formatCode="0.0"/>
    </dxf>
    <dxf>
      <numFmt numFmtId="15" formatCode="0.00E+00"/>
    </dxf>
    <dxf>
      <fill>
        <patternFill>
          <bgColor theme="0"/>
        </patternFill>
      </fill>
    </dxf>
    <dxf>
      <font>
        <color theme="0"/>
      </font>
      <fill>
        <patternFill>
          <bgColor theme="0"/>
        </patternFill>
      </fill>
    </dxf>
    <dxf>
      <font>
        <color theme="0"/>
      </font>
      <fill>
        <patternFill>
          <bgColor theme="0"/>
        </patternFill>
      </fill>
    </dxf>
    <dxf>
      <fill>
        <patternFill>
          <bgColor theme="0"/>
        </patternFill>
      </fill>
    </dxf>
    <dxf>
      <numFmt numFmtId="15" formatCode="0.00E+00"/>
    </dxf>
    <dxf>
      <numFmt numFmtId="164" formatCode="0.0"/>
    </dxf>
    <dxf>
      <numFmt numFmtId="3" formatCode="#,##0"/>
    </dxf>
    <dxf>
      <fill>
        <patternFill>
          <bgColor theme="0"/>
        </patternFill>
      </fill>
    </dxf>
    <dxf>
      <font>
        <color theme="0"/>
      </font>
      <fill>
        <patternFill>
          <bgColor theme="0"/>
        </patternFill>
      </fill>
    </dxf>
    <dxf>
      <numFmt numFmtId="3" formatCode="#,##0"/>
    </dxf>
    <dxf>
      <numFmt numFmtId="164" formatCode="0.0"/>
    </dxf>
    <dxf>
      <numFmt numFmtId="15" formatCode="0.00E+00"/>
    </dxf>
    <dxf>
      <fill>
        <patternFill>
          <bgColor theme="0"/>
        </patternFill>
      </fill>
    </dxf>
    <dxf>
      <font>
        <color theme="0"/>
      </font>
      <fill>
        <patternFill>
          <bgColor theme="0"/>
        </patternFill>
      </fill>
    </dxf>
    <dxf>
      <fill>
        <patternFill>
          <bgColor theme="5"/>
        </patternFill>
      </fill>
    </dxf>
    <dxf>
      <fill>
        <patternFill>
          <bgColor rgb="FF00B050"/>
        </patternFill>
      </fill>
    </dxf>
    <dxf>
      <numFmt numFmtId="3" formatCode="#,##0"/>
    </dxf>
    <dxf>
      <numFmt numFmtId="164" formatCode="0.0"/>
    </dxf>
    <dxf>
      <numFmt numFmtId="166" formatCode="0.0E+00"/>
    </dxf>
    <dxf>
      <fill>
        <patternFill>
          <bgColor theme="0"/>
        </patternFill>
      </fill>
    </dxf>
    <dxf>
      <font>
        <color theme="0"/>
      </font>
      <fill>
        <patternFill>
          <bgColor theme="0"/>
        </patternFill>
      </fill>
    </dxf>
    <dxf>
      <numFmt numFmtId="15" formatCode="0.00E+00"/>
    </dxf>
    <dxf>
      <numFmt numFmtId="3" formatCode="#,##0"/>
    </dxf>
    <dxf>
      <numFmt numFmtId="164" formatCode="0.0"/>
    </dxf>
    <dxf>
      <fill>
        <patternFill>
          <bgColor theme="0"/>
        </patternFill>
      </fill>
    </dxf>
    <dxf>
      <numFmt numFmtId="164" formatCode="0.0"/>
    </dxf>
    <dxf>
      <font>
        <color theme="0"/>
      </font>
      <fill>
        <patternFill>
          <bgColor theme="0"/>
        </patternFill>
      </fill>
    </dxf>
    <dxf>
      <numFmt numFmtId="3" formatCode="#,##0"/>
    </dxf>
    <dxf>
      <numFmt numFmtId="15" formatCode="0.00E+00"/>
    </dxf>
    <dxf>
      <fill>
        <patternFill>
          <bgColor theme="5"/>
        </patternFill>
      </fill>
    </dxf>
    <dxf>
      <fill>
        <patternFill>
          <bgColor rgb="FF00B050"/>
        </patternFill>
      </fill>
    </dxf>
    <dxf>
      <numFmt numFmtId="3" formatCode="#,##0"/>
    </dxf>
    <dxf>
      <numFmt numFmtId="166" formatCode="0.0E+00"/>
    </dxf>
    <dxf>
      <fill>
        <patternFill>
          <bgColor theme="0"/>
        </patternFill>
      </fill>
    </dxf>
    <dxf>
      <font>
        <color theme="0"/>
      </font>
      <fill>
        <patternFill>
          <bgColor theme="0"/>
        </patternFill>
      </fill>
    </dxf>
    <dxf>
      <numFmt numFmtId="164" formatCode="0.0"/>
    </dxf>
    <dxf>
      <numFmt numFmtId="164" formatCode="0.0"/>
    </dxf>
    <dxf>
      <numFmt numFmtId="3" formatCode="#,##0"/>
    </dxf>
    <dxf>
      <font>
        <color theme="0"/>
      </font>
      <fill>
        <patternFill>
          <bgColor theme="0"/>
        </patternFill>
      </fill>
    </dxf>
    <dxf>
      <fill>
        <patternFill>
          <bgColor theme="0"/>
        </patternFill>
      </fill>
    </dxf>
    <dxf>
      <numFmt numFmtId="166" formatCode="0.0E+00"/>
    </dxf>
    <dxf>
      <font>
        <color theme="0"/>
      </font>
      <fill>
        <patternFill>
          <bgColor theme="0"/>
        </patternFill>
      </fill>
    </dxf>
    <dxf>
      <font>
        <color theme="0"/>
      </font>
      <fill>
        <patternFill>
          <bgColor theme="0"/>
        </patternFill>
      </fill>
    </dxf>
    <dxf>
      <fill>
        <patternFill>
          <bgColor theme="0"/>
        </patternFill>
      </fill>
    </dxf>
    <dxf>
      <numFmt numFmtId="164" formatCode="0.0"/>
    </dxf>
    <dxf>
      <numFmt numFmtId="15" formatCode="0.00E+00"/>
    </dxf>
    <dxf>
      <numFmt numFmtId="3" formatCode="#,##0"/>
    </dxf>
    <dxf>
      <numFmt numFmtId="164" formatCode="0.0"/>
    </dxf>
    <dxf>
      <numFmt numFmtId="15" formatCode="0.00E+00"/>
    </dxf>
    <dxf>
      <font>
        <color theme="0"/>
      </font>
      <fill>
        <patternFill>
          <bgColor theme="0"/>
        </patternFill>
      </fill>
    </dxf>
    <dxf>
      <numFmt numFmtId="3" formatCode="#,##0"/>
    </dxf>
    <dxf>
      <fill>
        <patternFill>
          <bgColor theme="0"/>
        </patternFill>
      </fill>
    </dxf>
    <dxf>
      <fill>
        <patternFill>
          <bgColor theme="0"/>
        </patternFill>
      </fill>
    </dxf>
    <dxf>
      <numFmt numFmtId="166" formatCode="0.0E+00"/>
    </dxf>
    <dxf>
      <numFmt numFmtId="164" formatCode="0.0"/>
    </dxf>
    <dxf>
      <numFmt numFmtId="3" formatCode="#,##0"/>
    </dxf>
    <dxf>
      <font>
        <color theme="0"/>
      </font>
      <fill>
        <patternFill>
          <bgColor theme="0"/>
        </patternFill>
      </fill>
    </dxf>
    <dxf>
      <fill>
        <patternFill>
          <bgColor theme="0"/>
        </patternFill>
      </fill>
    </dxf>
    <dxf>
      <numFmt numFmtId="15" formatCode="0.00E+00"/>
    </dxf>
    <dxf>
      <font>
        <color theme="0"/>
      </font>
      <fill>
        <patternFill>
          <bgColor theme="0"/>
        </patternFill>
      </fill>
    </dxf>
    <dxf>
      <fill>
        <patternFill>
          <bgColor theme="0"/>
        </patternFill>
      </fill>
    </dxf>
    <dxf>
      <font>
        <color theme="0"/>
      </font>
      <fill>
        <patternFill>
          <bgColor theme="0"/>
        </patternFill>
      </fill>
    </dxf>
    <dxf>
      <fill>
        <patternFill>
          <bgColor theme="5"/>
        </patternFill>
      </fill>
    </dxf>
    <dxf>
      <fill>
        <patternFill>
          <bgColor rgb="FF00B050"/>
        </patternFill>
      </fill>
    </dxf>
    <dxf>
      <numFmt numFmtId="164" formatCode="0.0"/>
    </dxf>
    <dxf>
      <fill>
        <patternFill>
          <bgColor theme="5"/>
        </patternFill>
      </fill>
    </dxf>
    <dxf>
      <fill>
        <patternFill>
          <bgColor rgb="FF00B050"/>
        </patternFill>
      </fill>
    </dxf>
    <dxf>
      <numFmt numFmtId="3" formatCode="#,##0"/>
    </dxf>
    <dxf>
      <numFmt numFmtId="15" formatCode="0.00E+00"/>
    </dxf>
    <dxf>
      <fill>
        <patternFill>
          <bgColor theme="0"/>
        </patternFill>
      </fill>
    </dxf>
    <dxf>
      <fill>
        <patternFill>
          <bgColor theme="5"/>
        </patternFill>
      </fill>
    </dxf>
    <dxf>
      <font>
        <color theme="0"/>
      </font>
      <fill>
        <patternFill>
          <bgColor theme="0"/>
        </patternFill>
      </fill>
    </dxf>
    <dxf>
      <fill>
        <patternFill>
          <bgColor theme="0"/>
        </patternFill>
      </fill>
    </dxf>
    <dxf>
      <numFmt numFmtId="15" formatCode="0.00E+00"/>
    </dxf>
    <dxf>
      <numFmt numFmtId="3" formatCode="#,##0"/>
    </dxf>
    <dxf>
      <font>
        <color theme="0"/>
      </font>
      <fill>
        <patternFill>
          <bgColor theme="0"/>
        </patternFill>
      </fill>
    </dxf>
    <dxf>
      <fill>
        <patternFill>
          <bgColor theme="0"/>
        </patternFill>
      </fill>
    </dxf>
    <dxf>
      <numFmt numFmtId="164" formatCode="0.0"/>
    </dxf>
    <dxf>
      <numFmt numFmtId="15" formatCode="0.00E+00"/>
    </dxf>
    <dxf>
      <fill>
        <patternFill>
          <bgColor theme="5"/>
        </patternFill>
      </fill>
    </dxf>
    <dxf>
      <fill>
        <patternFill>
          <bgColor rgb="FF00B050"/>
        </patternFill>
      </fill>
    </dxf>
    <dxf>
      <numFmt numFmtId="3" formatCode="#,##0"/>
    </dxf>
    <dxf>
      <numFmt numFmtId="164" formatCode="0.0"/>
    </dxf>
    <dxf>
      <fill>
        <patternFill>
          <bgColor rgb="FF00B050"/>
        </patternFill>
      </fill>
    </dxf>
    <dxf>
      <fill>
        <patternFill>
          <bgColor theme="5"/>
        </patternFill>
      </fill>
    </dxf>
    <dxf>
      <fill>
        <patternFill>
          <bgColor rgb="FF00B050"/>
        </patternFill>
      </fill>
    </dxf>
    <dxf>
      <numFmt numFmtId="3" formatCode="#,##0"/>
    </dxf>
    <dxf>
      <numFmt numFmtId="164" formatCode="0.0"/>
    </dxf>
    <dxf>
      <numFmt numFmtId="15" formatCode="0.00E+00"/>
    </dxf>
    <dxf>
      <fill>
        <patternFill>
          <bgColor theme="0"/>
        </patternFill>
      </fill>
    </dxf>
    <dxf>
      <font>
        <color theme="0"/>
      </font>
      <fill>
        <patternFill>
          <bgColor theme="0"/>
        </patternFill>
      </fill>
    </dxf>
    <dxf>
      <fill>
        <patternFill>
          <bgColor theme="5"/>
        </patternFill>
      </fill>
    </dxf>
    <dxf>
      <fill>
        <patternFill>
          <bgColor rgb="FF00B050"/>
        </patternFill>
      </fill>
    </dxf>
    <dxf>
      <fill>
        <patternFill>
          <bgColor theme="5"/>
        </patternFill>
      </fill>
    </dxf>
    <dxf>
      <fill>
        <patternFill>
          <bgColor rgb="FF00B050"/>
        </patternFill>
      </fill>
    </dxf>
    <dxf>
      <numFmt numFmtId="15" formatCode="0.00E+00"/>
    </dxf>
    <dxf>
      <fill>
        <patternFill>
          <bgColor theme="0"/>
        </patternFill>
      </fill>
    </dxf>
    <dxf>
      <font>
        <color theme="0"/>
      </font>
      <fill>
        <patternFill>
          <bgColor theme="0"/>
        </patternFill>
      </fill>
    </dxf>
    <dxf>
      <fill>
        <patternFill>
          <bgColor theme="5"/>
        </patternFill>
      </fill>
    </dxf>
    <dxf>
      <numFmt numFmtId="3" formatCode="#,##0"/>
    </dxf>
    <dxf>
      <numFmt numFmtId="164" formatCode="0.0"/>
    </dxf>
    <dxf>
      <numFmt numFmtId="166" formatCode="0.0E+00"/>
    </dxf>
    <dxf>
      <fill>
        <patternFill>
          <bgColor theme="0"/>
        </patternFill>
      </fill>
    </dxf>
    <dxf>
      <font>
        <color theme="0"/>
      </font>
      <fill>
        <patternFill>
          <bgColor theme="0"/>
        </patternFill>
      </fill>
    </dxf>
    <dxf>
      <fill>
        <patternFill>
          <bgColor theme="5"/>
        </patternFill>
      </fill>
    </dxf>
    <dxf>
      <fill>
        <patternFill>
          <bgColor rgb="FF00B050"/>
        </patternFill>
      </fill>
    </dxf>
    <dxf>
      <numFmt numFmtId="3" formatCode="#,##0"/>
    </dxf>
    <dxf>
      <numFmt numFmtId="164" formatCode="0.0"/>
    </dxf>
    <dxf>
      <numFmt numFmtId="166" formatCode="0.0E+00"/>
    </dxf>
    <dxf>
      <font>
        <color theme="0"/>
      </font>
      <fill>
        <patternFill>
          <bgColor theme="0"/>
        </patternFill>
      </fill>
    </dxf>
    <dxf>
      <fill>
        <patternFill>
          <bgColor rgb="FF00B050"/>
        </patternFill>
      </fill>
    </dxf>
    <dxf>
      <fill>
        <patternFill>
          <bgColor theme="0"/>
        </patternFill>
      </fill>
    </dxf>
    <dxf>
      <font>
        <color theme="0"/>
      </font>
      <fill>
        <patternFill>
          <bgColor theme="0"/>
        </patternFill>
      </fill>
    </dxf>
    <dxf>
      <numFmt numFmtId="15" formatCode="0.00E+00"/>
    </dxf>
    <dxf>
      <fill>
        <patternFill>
          <bgColor theme="0"/>
        </patternFill>
      </fill>
    </dxf>
    <dxf>
      <numFmt numFmtId="164" formatCode="0.0"/>
    </dxf>
    <dxf>
      <numFmt numFmtId="3" formatCode="#,##0"/>
    </dxf>
    <dxf>
      <numFmt numFmtId="15" formatCode="0.00E+00"/>
    </dxf>
    <dxf>
      <fill>
        <patternFill>
          <bgColor theme="0"/>
        </patternFill>
      </fill>
    </dxf>
    <dxf>
      <numFmt numFmtId="3" formatCode="#,##0"/>
    </dxf>
    <dxf>
      <numFmt numFmtId="164" formatCode="0.0"/>
    </dxf>
    <dxf>
      <fill>
        <patternFill>
          <bgColor rgb="FF00B050"/>
        </patternFill>
      </fill>
    </dxf>
    <dxf>
      <fill>
        <patternFill>
          <bgColor theme="0"/>
        </patternFill>
      </fill>
    </dxf>
    <dxf>
      <numFmt numFmtId="15" formatCode="0.00E+00"/>
    </dxf>
    <dxf>
      <numFmt numFmtId="3" formatCode="#,##0"/>
    </dxf>
    <dxf>
      <numFmt numFmtId="164" formatCode="0.0"/>
    </dxf>
    <dxf>
      <font>
        <color theme="0"/>
      </font>
      <fill>
        <patternFill>
          <bgColor theme="0"/>
        </patternFill>
      </fill>
    </dxf>
    <dxf>
      <fill>
        <patternFill>
          <bgColor theme="5"/>
        </patternFill>
      </fill>
    </dxf>
    <dxf>
      <fill>
        <patternFill>
          <bgColor theme="5"/>
        </patternFill>
      </fill>
    </dxf>
    <dxf>
      <fill>
        <patternFill>
          <bgColor rgb="FF00B050"/>
        </patternFill>
      </fill>
    </dxf>
    <dxf>
      <numFmt numFmtId="15" formatCode="0.00E+00"/>
    </dxf>
    <dxf>
      <font>
        <color theme="0"/>
      </font>
      <fill>
        <patternFill>
          <bgColor theme="0"/>
        </patternFill>
      </fill>
    </dxf>
    <dxf>
      <fill>
        <patternFill>
          <bgColor theme="0"/>
        </patternFill>
      </fill>
    </dxf>
    <dxf>
      <numFmt numFmtId="3" formatCode="#,##0"/>
    </dxf>
    <dxf>
      <numFmt numFmtId="164" formatCode="0.0"/>
    </dxf>
    <dxf>
      <numFmt numFmtId="2" formatCode="0.00"/>
    </dxf>
    <dxf>
      <numFmt numFmtId="164" formatCode="0.0"/>
    </dxf>
    <dxf>
      <numFmt numFmtId="166" formatCode="0.0E+00"/>
    </dxf>
    <dxf>
      <numFmt numFmtId="171" formatCode="0;0;"/>
    </dxf>
    <dxf>
      <numFmt numFmtId="1" formatCode="0"/>
    </dxf>
    <dxf>
      <numFmt numFmtId="166" formatCode="0.0E+00"/>
    </dxf>
    <dxf>
      <numFmt numFmtId="3" formatCode="#,##0"/>
    </dxf>
    <dxf>
      <numFmt numFmtId="15" formatCode="0.00E+00"/>
    </dxf>
    <dxf>
      <fill>
        <patternFill>
          <bgColor theme="0"/>
        </patternFill>
      </fill>
    </dxf>
    <dxf>
      <font>
        <color theme="0"/>
      </font>
      <fill>
        <patternFill>
          <bgColor theme="0"/>
        </patternFill>
      </fill>
    </dxf>
    <dxf>
      <numFmt numFmtId="164" formatCode="0.0"/>
    </dxf>
    <dxf>
      <font>
        <color theme="0"/>
      </font>
      <fill>
        <patternFill>
          <bgColor theme="0"/>
        </patternFill>
      </fill>
    </dxf>
    <dxf>
      <numFmt numFmtId="15" formatCode="0.00E+00"/>
    </dxf>
    <dxf>
      <fill>
        <patternFill>
          <bgColor theme="0"/>
        </patternFill>
      </fill>
    </dxf>
    <dxf>
      <fill>
        <patternFill>
          <bgColor rgb="FF00B050"/>
        </patternFill>
      </fill>
    </dxf>
    <dxf>
      <numFmt numFmtId="164" formatCode="0.0"/>
    </dxf>
    <dxf>
      <numFmt numFmtId="166" formatCode="0.0E+00"/>
    </dxf>
    <dxf>
      <fill>
        <patternFill>
          <bgColor theme="0"/>
        </patternFill>
      </fill>
    </dxf>
    <dxf>
      <font>
        <color theme="0"/>
      </font>
      <fill>
        <patternFill>
          <bgColor theme="0"/>
        </patternFill>
      </fill>
    </dxf>
    <dxf>
      <numFmt numFmtId="3" formatCode="#,##0"/>
    </dxf>
    <dxf>
      <fill>
        <patternFill>
          <bgColor theme="5"/>
        </patternFill>
      </fill>
    </dxf>
    <dxf>
      <fill>
        <patternFill>
          <bgColor rgb="FF00B050"/>
        </patternFill>
      </fill>
    </dxf>
    <dxf>
      <fill>
        <patternFill>
          <bgColor theme="5"/>
        </patternFill>
      </fill>
    </dxf>
    <dxf>
      <font>
        <color theme="0"/>
      </font>
      <fill>
        <patternFill>
          <bgColor theme="0"/>
        </patternFill>
      </fill>
    </dxf>
    <dxf>
      <numFmt numFmtId="3" formatCode="#,##0"/>
    </dxf>
    <dxf>
      <numFmt numFmtId="164" formatCode="0.0"/>
    </dxf>
    <dxf>
      <fill>
        <patternFill>
          <bgColor theme="0"/>
        </patternFill>
      </fill>
    </dxf>
    <dxf>
      <numFmt numFmtId="15" formatCode="0.00E+00"/>
    </dxf>
    <dxf>
      <font>
        <color theme="0"/>
      </font>
      <fill>
        <patternFill>
          <bgColor theme="0"/>
        </patternFill>
      </fill>
    </dxf>
    <dxf>
      <fill>
        <patternFill>
          <bgColor theme="5"/>
        </patternFill>
      </fill>
    </dxf>
    <dxf>
      <fill>
        <patternFill>
          <bgColor rgb="FF00B050"/>
        </patternFill>
      </fill>
    </dxf>
    <dxf>
      <numFmt numFmtId="171" formatCode="0;0;"/>
    </dxf>
    <dxf>
      <numFmt numFmtId="1" formatCode="0"/>
    </dxf>
    <dxf>
      <numFmt numFmtId="166" formatCode="0.0E+00"/>
    </dxf>
    <dxf>
      <numFmt numFmtId="2" formatCode="0.00"/>
    </dxf>
    <dxf>
      <numFmt numFmtId="166" formatCode="0.0E+00"/>
    </dxf>
    <dxf>
      <numFmt numFmtId="164" formatCode="0.0"/>
    </dxf>
    <dxf>
      <numFmt numFmtId="166" formatCode="0.0E+00"/>
    </dxf>
    <dxf>
      <numFmt numFmtId="164" formatCode="0.0"/>
    </dxf>
    <dxf>
      <numFmt numFmtId="3" formatCode="#,##0"/>
    </dxf>
    <dxf>
      <fill>
        <patternFill>
          <bgColor theme="0"/>
        </patternFill>
      </fill>
    </dxf>
    <dxf>
      <numFmt numFmtId="15" formatCode="0.00E+00"/>
    </dxf>
    <dxf>
      <fill>
        <patternFill>
          <bgColor theme="0"/>
        </patternFill>
      </fill>
    </dxf>
    <dxf>
      <font>
        <color theme="0"/>
      </font>
      <fill>
        <patternFill>
          <bgColor theme="0"/>
        </patternFill>
      </fill>
    </dxf>
  </dxfs>
  <tableStyles count="0" defaultTableStyle="TableStyleMedium2" defaultPivotStyle="PivotStyleLight16"/>
  <colors>
    <mruColors>
      <color rgb="FFDCE6F1"/>
      <color rgb="FFF04B18"/>
      <color rgb="FFD43D0E"/>
      <color rgb="FFF15A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"Inhalation Cancer Risk Estimates"</c:f>
          <c:strCache>
            <c:ptCount val="1"/>
            <c:pt idx="0">
              <c:v>Inhalation Cancer Risk Estimates</c:v>
            </c:pt>
          </c:strCache>
        </c:strRef>
      </c:tx>
      <c:layout>
        <c:manualLayout>
          <c:xMode val="edge"/>
          <c:yMode val="edge"/>
          <c:x val="0.35379421156466734"/>
          <c:y val="5.118886630776833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150842647774607"/>
          <c:y val="0.21054931230848406"/>
          <c:w val="0.57646326211389221"/>
          <c:h val="0.58920985270720716"/>
        </c:manualLayout>
      </c:layout>
      <c:barChart>
        <c:barDir val="bar"/>
        <c:grouping val="stacked"/>
        <c:varyColors val="0"/>
        <c:ser>
          <c:idx val="4"/>
          <c:order val="0"/>
          <c:tx>
            <c:strRef>
              <c:f>Dashboard!$E$67</c:f>
              <c:strCache>
                <c:ptCount val="1"/>
                <c:pt idx="0">
                  <c:v>Cancer Risk with APF of 10</c:v>
                </c:pt>
              </c:strCache>
            </c:strRef>
          </c:tx>
          <c:spPr>
            <a:solidFill>
              <a:schemeClr val="accent5"/>
            </a:solidFill>
            <a:ln>
              <a:noFill/>
            </a:ln>
            <a:effectLst/>
          </c:spPr>
          <c:invertIfNegative val="0"/>
          <c:cat>
            <c:strRef>
              <c:f>Dashboard!$C$68:$C$71</c:f>
              <c:strCache>
                <c:ptCount val="4"/>
                <c:pt idx="0">
                  <c:v>ONU: 50th Percentile</c:v>
                </c:pt>
                <c:pt idx="1">
                  <c:v>ONU: 95th Percentile</c:v>
                </c:pt>
                <c:pt idx="2">
                  <c:v>Worker: 50th Percentile</c:v>
                </c:pt>
                <c:pt idx="3">
                  <c:v>Worker: 95th Percentile</c:v>
                </c:pt>
              </c:strCache>
            </c:strRef>
          </c:cat>
          <c:val>
            <c:numRef>
              <c:f>Dashboard!$E$68:$E$71</c:f>
              <c:numCache>
                <c:formatCode>0.00E+00</c:formatCode>
                <c:ptCount val="4"/>
                <c:pt idx="0">
                  <c:v>0</c:v>
                </c:pt>
                <c:pt idx="1">
                  <c:v>0</c:v>
                </c:pt>
                <c:pt idx="2">
                  <c:v>0</c:v>
                </c:pt>
                <c:pt idx="3">
                  <c:v>0</c:v>
                </c:pt>
              </c:numCache>
            </c:numRef>
          </c:val>
          <c:extLst>
            <c:ext xmlns:c16="http://schemas.microsoft.com/office/drawing/2014/chart" uri="{C3380CC4-5D6E-409C-BE32-E72D297353CC}">
              <c16:uniqueId val="{00000000-711A-46F9-818E-EF3CDD75C90A}"/>
            </c:ext>
          </c:extLst>
        </c:ser>
        <c:ser>
          <c:idx val="0"/>
          <c:order val="1"/>
          <c:tx>
            <c:strRef>
              <c:f>Dashboard!$D$67</c:f>
              <c:strCache>
                <c:ptCount val="1"/>
                <c:pt idx="0">
                  <c:v>Cancer Risk</c:v>
                </c:pt>
              </c:strCache>
            </c:strRef>
          </c:tx>
          <c:spPr>
            <a:solidFill>
              <a:schemeClr val="accent1"/>
            </a:solidFill>
            <a:ln>
              <a:noFill/>
            </a:ln>
            <a:effectLst/>
          </c:spPr>
          <c:invertIfNegative val="0"/>
          <c:cat>
            <c:strRef>
              <c:f>Dashboard!$C$68:$C$71</c:f>
              <c:strCache>
                <c:ptCount val="4"/>
                <c:pt idx="0">
                  <c:v>ONU: 50th Percentile</c:v>
                </c:pt>
                <c:pt idx="1">
                  <c:v>ONU: 95th Percentile</c:v>
                </c:pt>
                <c:pt idx="2">
                  <c:v>Worker: 50th Percentile</c:v>
                </c:pt>
                <c:pt idx="3">
                  <c:v>Worker: 95th Percentile</c:v>
                </c:pt>
              </c:strCache>
            </c:strRef>
          </c:cat>
          <c:val>
            <c:numRef>
              <c:f>Dashboard!$D$68:$D$71</c:f>
              <c:numCache>
                <c:formatCode>0.00E+00</c:formatCode>
                <c:ptCount val="4"/>
                <c:pt idx="0">
                  <c:v>0</c:v>
                </c:pt>
                <c:pt idx="1">
                  <c:v>0</c:v>
                </c:pt>
                <c:pt idx="2">
                  <c:v>0</c:v>
                </c:pt>
                <c:pt idx="3">
                  <c:v>0</c:v>
                </c:pt>
              </c:numCache>
            </c:numRef>
          </c:val>
          <c:extLst>
            <c:ext xmlns:c16="http://schemas.microsoft.com/office/drawing/2014/chart" uri="{C3380CC4-5D6E-409C-BE32-E72D297353CC}">
              <c16:uniqueId val="{00000009-711A-46F9-818E-EF3CDD75C90A}"/>
            </c:ext>
          </c:extLst>
        </c:ser>
        <c:dLbls>
          <c:showLegendKey val="0"/>
          <c:showVal val="0"/>
          <c:showCatName val="0"/>
          <c:showSerName val="0"/>
          <c:showPercent val="0"/>
          <c:showBubbleSize val="0"/>
        </c:dLbls>
        <c:gapWidth val="150"/>
        <c:overlap val="100"/>
        <c:axId val="580062808"/>
        <c:axId val="580066744"/>
      </c:barChart>
      <c:scatterChart>
        <c:scatterStyle val="lineMarker"/>
        <c:varyColors val="0"/>
        <c:ser>
          <c:idx val="1"/>
          <c:order val="2"/>
          <c:tx>
            <c:v>1.00E-06</c:v>
          </c:tx>
          <c:spPr>
            <a:ln w="28575" cap="rnd">
              <a:solidFill>
                <a:srgbClr val="FF0000"/>
              </a:solidFill>
              <a:round/>
            </a:ln>
            <a:effectLst/>
          </c:spPr>
          <c:marker>
            <c:symbol val="none"/>
          </c:marker>
          <c:xVal>
            <c:numLit>
              <c:formatCode>General</c:formatCode>
              <c:ptCount val="6"/>
              <c:pt idx="0">
                <c:v>9.9999999999999995E-7</c:v>
              </c:pt>
              <c:pt idx="1">
                <c:v>9.9999999999999995E-7</c:v>
              </c:pt>
              <c:pt idx="2">
                <c:v>9.9999999999999995E-7</c:v>
              </c:pt>
              <c:pt idx="3">
                <c:v>9.9999999999999995E-7</c:v>
              </c:pt>
              <c:pt idx="4">
                <c:v>9.9999999999999995E-7</c:v>
              </c:pt>
              <c:pt idx="5">
                <c:v>9.9999999999999995E-7</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A-711A-46F9-818E-EF3CDD75C90A}"/>
            </c:ext>
          </c:extLst>
        </c:ser>
        <c:ser>
          <c:idx val="2"/>
          <c:order val="3"/>
          <c:tx>
            <c:v>1.00E-05</c:v>
          </c:tx>
          <c:spPr>
            <a:ln w="28575" cap="rnd">
              <a:solidFill>
                <a:srgbClr val="FF0000"/>
              </a:solidFill>
              <a:round/>
            </a:ln>
            <a:effectLst/>
          </c:spPr>
          <c:marker>
            <c:symbol val="none"/>
          </c:marker>
          <c:xVal>
            <c:numLit>
              <c:formatCode>General</c:formatCode>
              <c:ptCount val="6"/>
              <c:pt idx="0">
                <c:v>1.0000000000000001E-5</c:v>
              </c:pt>
              <c:pt idx="1">
                <c:v>1.0000000000000001E-5</c:v>
              </c:pt>
              <c:pt idx="2">
                <c:v>1.0000000000000001E-5</c:v>
              </c:pt>
              <c:pt idx="3">
                <c:v>1.0000000000000001E-5</c:v>
              </c:pt>
              <c:pt idx="4">
                <c:v>1.0000000000000001E-5</c:v>
              </c:pt>
              <c:pt idx="5">
                <c:v>1.0000000000000001E-5</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B-711A-46F9-818E-EF3CDD75C90A}"/>
            </c:ext>
          </c:extLst>
        </c:ser>
        <c:ser>
          <c:idx val="3"/>
          <c:order val="4"/>
          <c:tx>
            <c:v>1.00E-04</c:v>
          </c:tx>
          <c:spPr>
            <a:ln w="28575" cap="rnd">
              <a:solidFill>
                <a:srgbClr val="FF0000"/>
              </a:solidFill>
              <a:round/>
            </a:ln>
            <a:effectLst/>
          </c:spPr>
          <c:marker>
            <c:symbol val="none"/>
          </c:marker>
          <c:xVal>
            <c:numLit>
              <c:formatCode>General</c:formatCode>
              <c:ptCount val="6"/>
              <c:pt idx="0">
                <c:v>1E-4</c:v>
              </c:pt>
              <c:pt idx="1">
                <c:v>1E-4</c:v>
              </c:pt>
              <c:pt idx="2">
                <c:v>1E-4</c:v>
              </c:pt>
              <c:pt idx="3">
                <c:v>1E-4</c:v>
              </c:pt>
              <c:pt idx="4">
                <c:v>1E-4</c:v>
              </c:pt>
              <c:pt idx="5">
                <c:v>1E-4</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C-711A-46F9-818E-EF3CDD75C90A}"/>
            </c:ext>
          </c:extLst>
        </c:ser>
        <c:dLbls>
          <c:showLegendKey val="0"/>
          <c:showVal val="0"/>
          <c:showCatName val="0"/>
          <c:showSerName val="0"/>
          <c:showPercent val="0"/>
          <c:showBubbleSize val="0"/>
        </c:dLbls>
        <c:axId val="599810312"/>
        <c:axId val="599814248"/>
      </c:scatterChart>
      <c:catAx>
        <c:axId val="58006280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6744"/>
        <c:crosses val="autoZero"/>
        <c:auto val="1"/>
        <c:lblAlgn val="ctr"/>
        <c:lblOffset val="100"/>
        <c:noMultiLvlLbl val="0"/>
      </c:catAx>
      <c:valAx>
        <c:axId val="580066744"/>
        <c:scaling>
          <c:logBase val="10"/>
          <c:orientation val="minMax"/>
          <c:min val="1.0000000000000005E-7"/>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solidFill>
                      <a:sysClr val="windowText" lastClr="000000"/>
                    </a:solidFill>
                  </a:rPr>
                  <a:t>Excess Cancer Risk</a:t>
                </a:r>
              </a:p>
            </c:rich>
          </c:tx>
          <c:layout>
            <c:manualLayout>
              <c:xMode val="edge"/>
              <c:yMode val="edge"/>
              <c:x val="0.36584643797039879"/>
              <c:y val="0.9103309379643723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E+0" sourceLinked="0"/>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2808"/>
        <c:crosses val="autoZero"/>
        <c:crossBetween val="between"/>
      </c:valAx>
      <c:valAx>
        <c:axId val="599814248"/>
        <c:scaling>
          <c:orientation val="minMax"/>
          <c:max val="7"/>
        </c:scaling>
        <c:delete val="1"/>
        <c:axPos val="l"/>
        <c:numFmt formatCode="General" sourceLinked="1"/>
        <c:majorTickMark val="out"/>
        <c:minorTickMark val="none"/>
        <c:tickLblPos val="nextTo"/>
        <c:crossAx val="599810312"/>
        <c:crosses val="autoZero"/>
        <c:crossBetween val="midCat"/>
      </c:valAx>
      <c:valAx>
        <c:axId val="599810312"/>
        <c:scaling>
          <c:logBase val="10"/>
          <c:orientation val="minMax"/>
          <c:max val="1"/>
          <c:min val="1.0000000000000005E-7"/>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4248"/>
        <c:crosses val="max"/>
        <c:crossBetween val="midCat"/>
      </c:valAx>
      <c:spPr>
        <a:noFill/>
        <a:ln>
          <a:solidFill>
            <a:sysClr val="windowText" lastClr="000000"/>
          </a:solidFill>
        </a:ln>
        <a:effectLst/>
      </c:spPr>
    </c:plotArea>
    <c:legend>
      <c:legendPos val="r"/>
      <c:legendEntry>
        <c:idx val="2"/>
        <c:delete val="1"/>
      </c:legendEntry>
      <c:legendEntry>
        <c:idx val="3"/>
        <c:delete val="1"/>
      </c:legendEntry>
      <c:legendEntry>
        <c:idx val="4"/>
        <c:delete val="1"/>
      </c:legendEntry>
      <c:layout>
        <c:manualLayout>
          <c:xMode val="edge"/>
          <c:yMode val="edge"/>
          <c:x val="0.78144800973247541"/>
          <c:y val="0.48592904914666896"/>
          <c:w val="0.20873604061175266"/>
          <c:h val="0.1010115760437011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"Dermal Cancer Risk Estimates"</c:f>
          <c:strCache>
            <c:ptCount val="1"/>
            <c:pt idx="0">
              <c:v>Dermal Cancer Risk Estimates</c:v>
            </c:pt>
          </c:strCache>
        </c:strRef>
      </c:tx>
      <c:layout>
        <c:manualLayout>
          <c:xMode val="edge"/>
          <c:yMode val="edge"/>
          <c:x val="0.36062458254174651"/>
          <c:y val="3.74142531318897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4201544053601726"/>
          <c:y val="0.21054931230848406"/>
          <c:w val="0.59535948857066312"/>
          <c:h val="0.64409953815536147"/>
        </c:manualLayout>
      </c:layout>
      <c:barChart>
        <c:barDir val="bar"/>
        <c:grouping val="stacked"/>
        <c:varyColors val="0"/>
        <c:ser>
          <c:idx val="4"/>
          <c:order val="0"/>
          <c:tx>
            <c:strRef>
              <c:f>Dashboard!$M$67</c:f>
              <c:strCache>
                <c:ptCount val="1"/>
                <c:pt idx="0">
                  <c:v>High-End</c:v>
                </c:pt>
              </c:strCache>
            </c:strRef>
          </c:tx>
          <c:spPr>
            <a:solidFill>
              <a:schemeClr val="accent5"/>
            </a:solidFill>
            <a:ln>
              <a:noFill/>
            </a:ln>
            <a:effectLst/>
          </c:spPr>
          <c:invertIfNegative val="0"/>
          <c:cat>
            <c:multiLvlStrRef>
              <c:f>(Dashboard!$O$32,Dashboard!$Q$32)</c:f>
              <c:multiLvlStrCache>
                <c:ptCount val="1"/>
                <c:lvl>
                  <c:pt idx="0">
                    <c:v>Gloves: PF of 5</c:v>
                  </c:pt>
                </c:lvl>
                <c:lvl>
                  <c:pt idx="0">
                    <c:v>Worker No Gloves</c:v>
                  </c:pt>
                </c:lvl>
              </c:multiLvlStrCache>
            </c:multiLvlStrRef>
          </c:cat>
          <c:val>
            <c:numRef>
              <c:f>Dashboard!$M$68:$M$69</c:f>
              <c:numCache>
                <c:formatCode>0.00E+00</c:formatCode>
                <c:ptCount val="2"/>
                <c:pt idx="0">
                  <c:v>0</c:v>
                </c:pt>
                <c:pt idx="1">
                  <c:v>0</c:v>
                </c:pt>
              </c:numCache>
            </c:numRef>
          </c:val>
          <c:extLst>
            <c:ext xmlns:c16="http://schemas.microsoft.com/office/drawing/2014/chart" uri="{C3380CC4-5D6E-409C-BE32-E72D297353CC}">
              <c16:uniqueId val="{00000000-1E4C-4BAD-88BF-7259784D8F46}"/>
            </c:ext>
          </c:extLst>
        </c:ser>
        <c:ser>
          <c:idx val="0"/>
          <c:order val="1"/>
          <c:tx>
            <c:strRef>
              <c:f>Dashboard!$N$67</c:f>
              <c:strCache>
                <c:ptCount val="1"/>
                <c:pt idx="0">
                  <c:v>Central Tendency</c:v>
                </c:pt>
              </c:strCache>
            </c:strRef>
          </c:tx>
          <c:spPr>
            <a:solidFill>
              <a:schemeClr val="accent1"/>
            </a:solidFill>
            <a:ln>
              <a:noFill/>
            </a:ln>
            <a:effectLst/>
          </c:spPr>
          <c:invertIfNegative val="0"/>
          <c:dPt>
            <c:idx val="3"/>
            <c:invertIfNegative val="0"/>
            <c:bubble3D val="0"/>
            <c:spPr>
              <a:solidFill>
                <a:schemeClr val="accent5">
                  <a:lumMod val="75000"/>
                </a:schemeClr>
              </a:solidFill>
              <a:ln>
                <a:noFill/>
              </a:ln>
              <a:effectLst/>
            </c:spPr>
            <c:extLst>
              <c:ext xmlns:c16="http://schemas.microsoft.com/office/drawing/2014/chart" uri="{C3380CC4-5D6E-409C-BE32-E72D297353CC}">
                <c16:uniqueId val="{00000008-1E4C-4BAD-88BF-7259784D8F46}"/>
              </c:ext>
            </c:extLst>
          </c:dPt>
          <c:cat>
            <c:multiLvlStrRef>
              <c:f>(Dashboard!$O$32,Dashboard!$Q$32)</c:f>
              <c:multiLvlStrCache>
                <c:ptCount val="1"/>
                <c:lvl>
                  <c:pt idx="0">
                    <c:v>Gloves: PF of 5</c:v>
                  </c:pt>
                </c:lvl>
                <c:lvl>
                  <c:pt idx="0">
                    <c:v>Worker No Gloves</c:v>
                  </c:pt>
                </c:lvl>
              </c:multiLvlStrCache>
            </c:multiLvlStrRef>
          </c:cat>
          <c:val>
            <c:numRef>
              <c:f>Dashboard!$N$68:$N$69</c:f>
              <c:numCache>
                <c:formatCode>0.00E+00</c:formatCode>
                <c:ptCount val="2"/>
                <c:pt idx="0">
                  <c:v>0</c:v>
                </c:pt>
                <c:pt idx="1">
                  <c:v>0</c:v>
                </c:pt>
              </c:numCache>
            </c:numRef>
          </c:val>
          <c:extLst>
            <c:ext xmlns:c16="http://schemas.microsoft.com/office/drawing/2014/chart" uri="{C3380CC4-5D6E-409C-BE32-E72D297353CC}">
              <c16:uniqueId val="{00000009-1E4C-4BAD-88BF-7259784D8F46}"/>
            </c:ext>
          </c:extLst>
        </c:ser>
        <c:dLbls>
          <c:showLegendKey val="0"/>
          <c:showVal val="0"/>
          <c:showCatName val="0"/>
          <c:showSerName val="0"/>
          <c:showPercent val="0"/>
          <c:showBubbleSize val="0"/>
        </c:dLbls>
        <c:gapWidth val="150"/>
        <c:overlap val="100"/>
        <c:axId val="580062808"/>
        <c:axId val="580066744"/>
      </c:barChart>
      <c:scatterChart>
        <c:scatterStyle val="lineMarker"/>
        <c:varyColors val="0"/>
        <c:ser>
          <c:idx val="1"/>
          <c:order val="2"/>
          <c:tx>
            <c:v>1.00E-06</c:v>
          </c:tx>
          <c:spPr>
            <a:ln w="28575" cap="rnd">
              <a:solidFill>
                <a:srgbClr val="FF0000"/>
              </a:solidFill>
              <a:round/>
            </a:ln>
            <a:effectLst/>
          </c:spPr>
          <c:marker>
            <c:symbol val="none"/>
          </c:marker>
          <c:xVal>
            <c:numLit>
              <c:formatCode>General</c:formatCode>
              <c:ptCount val="6"/>
              <c:pt idx="0">
                <c:v>9.9999999999999995E-7</c:v>
              </c:pt>
              <c:pt idx="1">
                <c:v>9.9999999999999995E-7</c:v>
              </c:pt>
              <c:pt idx="2">
                <c:v>9.9999999999999995E-7</c:v>
              </c:pt>
              <c:pt idx="3">
                <c:v>9.9999999999999995E-7</c:v>
              </c:pt>
              <c:pt idx="4">
                <c:v>9.9999999999999995E-7</c:v>
              </c:pt>
              <c:pt idx="5">
                <c:v>9.9999999999999995E-7</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A-1E4C-4BAD-88BF-7259784D8F46}"/>
            </c:ext>
          </c:extLst>
        </c:ser>
        <c:ser>
          <c:idx val="2"/>
          <c:order val="3"/>
          <c:tx>
            <c:v>1.00E-05</c:v>
          </c:tx>
          <c:spPr>
            <a:ln w="28575" cap="rnd">
              <a:solidFill>
                <a:srgbClr val="FF0000"/>
              </a:solidFill>
              <a:round/>
            </a:ln>
            <a:effectLst/>
          </c:spPr>
          <c:marker>
            <c:symbol val="none"/>
          </c:marker>
          <c:xVal>
            <c:numLit>
              <c:formatCode>General</c:formatCode>
              <c:ptCount val="6"/>
              <c:pt idx="0">
                <c:v>1.0000000000000001E-5</c:v>
              </c:pt>
              <c:pt idx="1">
                <c:v>1.0000000000000001E-5</c:v>
              </c:pt>
              <c:pt idx="2">
                <c:v>1.0000000000000001E-5</c:v>
              </c:pt>
              <c:pt idx="3">
                <c:v>1.0000000000000001E-5</c:v>
              </c:pt>
              <c:pt idx="4">
                <c:v>1.0000000000000001E-5</c:v>
              </c:pt>
              <c:pt idx="5">
                <c:v>1.0000000000000001E-5</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B-1E4C-4BAD-88BF-7259784D8F46}"/>
            </c:ext>
          </c:extLst>
        </c:ser>
        <c:ser>
          <c:idx val="3"/>
          <c:order val="4"/>
          <c:tx>
            <c:v>1.00E-04</c:v>
          </c:tx>
          <c:spPr>
            <a:ln w="28575" cap="rnd">
              <a:solidFill>
                <a:srgbClr val="FF0000"/>
              </a:solidFill>
              <a:round/>
            </a:ln>
            <a:effectLst/>
          </c:spPr>
          <c:marker>
            <c:symbol val="none"/>
          </c:marker>
          <c:xVal>
            <c:numLit>
              <c:formatCode>General</c:formatCode>
              <c:ptCount val="6"/>
              <c:pt idx="0">
                <c:v>1E-4</c:v>
              </c:pt>
              <c:pt idx="1">
                <c:v>1E-4</c:v>
              </c:pt>
              <c:pt idx="2">
                <c:v>1E-4</c:v>
              </c:pt>
              <c:pt idx="3">
                <c:v>1E-4</c:v>
              </c:pt>
              <c:pt idx="4">
                <c:v>1E-4</c:v>
              </c:pt>
              <c:pt idx="5">
                <c:v>1E-4</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C-1E4C-4BAD-88BF-7259784D8F46}"/>
            </c:ext>
          </c:extLst>
        </c:ser>
        <c:dLbls>
          <c:showLegendKey val="0"/>
          <c:showVal val="0"/>
          <c:showCatName val="0"/>
          <c:showSerName val="0"/>
          <c:showPercent val="0"/>
          <c:showBubbleSize val="0"/>
        </c:dLbls>
        <c:axId val="599810312"/>
        <c:axId val="599814248"/>
      </c:scatterChart>
      <c:catAx>
        <c:axId val="58006280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6744"/>
        <c:crosses val="autoZero"/>
        <c:auto val="0"/>
        <c:lblAlgn val="ctr"/>
        <c:lblOffset val="100"/>
        <c:noMultiLvlLbl val="0"/>
      </c:catAx>
      <c:valAx>
        <c:axId val="580066744"/>
        <c:scaling>
          <c:logBase val="10"/>
          <c:orientation val="minMax"/>
          <c:min val="1.0000000000000005E-7"/>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000">
                    <a:solidFill>
                      <a:sysClr val="windowText" lastClr="000000"/>
                    </a:solidFill>
                  </a:rPr>
                  <a:t>Excess Cancer Risk</a:t>
                </a:r>
              </a:p>
            </c:rich>
          </c:tx>
          <c:layout>
            <c:manualLayout>
              <c:xMode val="edge"/>
              <c:yMode val="edge"/>
              <c:x val="0.36584643797039879"/>
              <c:y val="0.9103309379643723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E+0" sourceLinked="0"/>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2808"/>
        <c:crosses val="autoZero"/>
        <c:crossBetween val="between"/>
      </c:valAx>
      <c:valAx>
        <c:axId val="599814248"/>
        <c:scaling>
          <c:orientation val="minMax"/>
          <c:max val="7"/>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0312"/>
        <c:crosses val="autoZero"/>
        <c:crossBetween val="midCat"/>
      </c:valAx>
      <c:valAx>
        <c:axId val="599810312"/>
        <c:scaling>
          <c:logBase val="10"/>
          <c:orientation val="minMax"/>
          <c:max val="1"/>
          <c:min val="1.0000000000000005E-7"/>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4248"/>
        <c:crosses val="max"/>
        <c:crossBetween val="midCat"/>
      </c:valAx>
      <c:spPr>
        <a:noFill/>
        <a:ln>
          <a:solidFill>
            <a:schemeClr val="tx1"/>
          </a:solidFill>
        </a:ln>
        <a:effectLst/>
      </c:spPr>
    </c:plotArea>
    <c:legend>
      <c:legendPos val="r"/>
      <c:legendEntry>
        <c:idx val="2"/>
        <c:delete val="1"/>
      </c:legendEntry>
      <c:legendEntry>
        <c:idx val="3"/>
        <c:delete val="1"/>
      </c:legendEntry>
      <c:legendEntry>
        <c:idx val="4"/>
        <c:delete val="1"/>
      </c:legendEntry>
      <c:layout>
        <c:manualLayout>
          <c:xMode val="edge"/>
          <c:yMode val="edge"/>
          <c:x val="0.84666892501423174"/>
          <c:y val="0.46328339630668497"/>
          <c:w val="0.14389088631019784"/>
          <c:h val="0.1223401570488091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Aggregate Cancer Risk Estimates</a:t>
            </a:r>
          </a:p>
        </c:rich>
      </c:tx>
      <c:layout>
        <c:manualLayout>
          <c:xMode val="edge"/>
          <c:yMode val="edge"/>
          <c:x val="0.36062458254174651"/>
          <c:y val="3.74142531318897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4201544053601726"/>
          <c:y val="0.21054931230848406"/>
          <c:w val="0.59535948857066312"/>
          <c:h val="0.64409953815536147"/>
        </c:manualLayout>
      </c:layout>
      <c:barChart>
        <c:barDir val="bar"/>
        <c:grouping val="stacked"/>
        <c:varyColors val="0"/>
        <c:ser>
          <c:idx val="4"/>
          <c:order val="0"/>
          <c:tx>
            <c:strRef>
              <c:f>Dashboard!$U$67</c:f>
              <c:strCache>
                <c:ptCount val="1"/>
                <c:pt idx="0">
                  <c:v>High-End</c:v>
                </c:pt>
              </c:strCache>
            </c:strRef>
          </c:tx>
          <c:spPr>
            <a:solidFill>
              <a:schemeClr val="accent5"/>
            </a:solidFill>
            <a:ln>
              <a:noFill/>
            </a:ln>
            <a:effectLst/>
          </c:spPr>
          <c:invertIfNegative val="0"/>
          <c:val>
            <c:numRef>
              <c:f>Dashboard!$U$68:$U$71</c:f>
              <c:numCache>
                <c:formatCode>0.00E+00</c:formatCode>
                <c:ptCount val="4"/>
                <c:pt idx="0">
                  <c:v>0</c:v>
                </c:pt>
                <c:pt idx="1">
                  <c:v>0</c:v>
                </c:pt>
                <c:pt idx="2">
                  <c:v>0</c:v>
                </c:pt>
                <c:pt idx="3">
                  <c:v>0</c:v>
                </c:pt>
              </c:numCache>
            </c:numRef>
          </c:val>
          <c:extLst>
            <c:ext xmlns:c15="http://schemas.microsoft.com/office/drawing/2012/chart" uri="{02D57815-91ED-43cb-92C2-25804820EDAC}">
              <c15:filteredCategoryTitle>
                <c15:cat>
                  <c:strRef>
                    <c:extLst>
                      <c:ext uri="{02D57815-91ED-43cb-92C2-25804820EDAC}">
                        <c15:formulaRef>
                          <c15:sqref>Dashboard!$T$68:$T$71</c15:sqref>
                        </c15:formulaRef>
                      </c:ext>
                    </c:extLst>
                    <c:strCache>
                      <c:ptCount val="4"/>
                      <c:pt idx="0">
                        <c:v>Baseline Worker</c:v>
                      </c:pt>
                      <c:pt idx="1">
                        <c:v>Respirator-Only Scenario: APF of 10</c:v>
                      </c:pt>
                      <c:pt idx="2">
                        <c:v>Gloved-only Scenario: APF of 5</c:v>
                      </c:pt>
                      <c:pt idx="3">
                        <c:v>Respirator and Glove Scenario</c:v>
                      </c:pt>
                    </c:strCache>
                  </c:strRef>
                </c15:cat>
              </c15:filteredCategoryTitle>
            </c:ext>
            <c:ext xmlns:c16="http://schemas.microsoft.com/office/drawing/2014/chart" uri="{C3380CC4-5D6E-409C-BE32-E72D297353CC}">
              <c16:uniqueId val="{00000000-3B55-4CB3-BDAB-2D02D0235C9D}"/>
            </c:ext>
          </c:extLst>
        </c:ser>
        <c:ser>
          <c:idx val="0"/>
          <c:order val="1"/>
          <c:tx>
            <c:strRef>
              <c:f>Dashboard!$V$67</c:f>
              <c:strCache>
                <c:ptCount val="1"/>
                <c:pt idx="0">
                  <c:v>Central Tendency</c:v>
                </c:pt>
              </c:strCache>
            </c:strRef>
          </c:tx>
          <c:spPr>
            <a:solidFill>
              <a:schemeClr val="accent1"/>
            </a:solidFill>
            <a:ln>
              <a:noFill/>
            </a:ln>
            <a:effectLst/>
          </c:spPr>
          <c:invertIfNegative val="0"/>
          <c:val>
            <c:numRef>
              <c:f>Dashboard!$V$68:$V$71</c:f>
              <c:numCache>
                <c:formatCode>0.00E+00</c:formatCode>
                <c:ptCount val="4"/>
                <c:pt idx="0">
                  <c:v>0</c:v>
                </c:pt>
                <c:pt idx="1">
                  <c:v>0</c:v>
                </c:pt>
                <c:pt idx="2">
                  <c:v>0</c:v>
                </c:pt>
                <c:pt idx="3">
                  <c:v>0</c:v>
                </c:pt>
              </c:numCache>
            </c:numRef>
          </c:val>
          <c:extLst>
            <c:ext xmlns:c15="http://schemas.microsoft.com/office/drawing/2012/chart" uri="{02D57815-91ED-43cb-92C2-25804820EDAC}">
              <c15:filteredCategoryTitle>
                <c15:cat>
                  <c:strRef>
                    <c:extLst>
                      <c:ext uri="{02D57815-91ED-43cb-92C2-25804820EDAC}">
                        <c15:formulaRef>
                          <c15:sqref>Dashboard!$T$68:$T$71</c15:sqref>
                        </c15:formulaRef>
                      </c:ext>
                    </c:extLst>
                    <c:strCache>
                      <c:ptCount val="4"/>
                      <c:pt idx="0">
                        <c:v>Baseline Worker</c:v>
                      </c:pt>
                      <c:pt idx="1">
                        <c:v>Respirator-Only Scenario: APF of 10</c:v>
                      </c:pt>
                      <c:pt idx="2">
                        <c:v>Gloved-only Scenario: APF of 5</c:v>
                      </c:pt>
                      <c:pt idx="3">
                        <c:v>Respirator and Glove Scenario</c:v>
                      </c:pt>
                    </c:strCache>
                  </c:strRef>
                </c15:cat>
              </c15:filteredCategoryTitle>
            </c:ext>
            <c:ext xmlns:c16="http://schemas.microsoft.com/office/drawing/2014/chart" uri="{C3380CC4-5D6E-409C-BE32-E72D297353CC}">
              <c16:uniqueId val="{00000003-3B55-4CB3-BDAB-2D02D0235C9D}"/>
            </c:ext>
          </c:extLst>
        </c:ser>
        <c:dLbls>
          <c:showLegendKey val="0"/>
          <c:showVal val="0"/>
          <c:showCatName val="0"/>
          <c:showSerName val="0"/>
          <c:showPercent val="0"/>
          <c:showBubbleSize val="0"/>
        </c:dLbls>
        <c:gapWidth val="150"/>
        <c:overlap val="100"/>
        <c:axId val="580062808"/>
        <c:axId val="580066744"/>
      </c:barChart>
      <c:scatterChart>
        <c:scatterStyle val="lineMarker"/>
        <c:varyColors val="0"/>
        <c:ser>
          <c:idx val="1"/>
          <c:order val="2"/>
          <c:tx>
            <c:v>1.00E-06</c:v>
          </c:tx>
          <c:spPr>
            <a:ln w="28575" cap="rnd">
              <a:solidFill>
                <a:srgbClr val="FF0000"/>
              </a:solidFill>
              <a:round/>
            </a:ln>
            <a:effectLst/>
          </c:spPr>
          <c:marker>
            <c:symbol val="none"/>
          </c:marker>
          <c:xVal>
            <c:numLit>
              <c:formatCode>General</c:formatCode>
              <c:ptCount val="6"/>
              <c:pt idx="0">
                <c:v>9.9999999999999995E-7</c:v>
              </c:pt>
              <c:pt idx="1">
                <c:v>9.9999999999999995E-7</c:v>
              </c:pt>
              <c:pt idx="2">
                <c:v>9.9999999999999995E-7</c:v>
              </c:pt>
              <c:pt idx="3">
                <c:v>9.9999999999999995E-7</c:v>
              </c:pt>
              <c:pt idx="4">
                <c:v>9.9999999999999995E-7</c:v>
              </c:pt>
              <c:pt idx="5">
                <c:v>9.9999999999999995E-7</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4-3B55-4CB3-BDAB-2D02D0235C9D}"/>
            </c:ext>
          </c:extLst>
        </c:ser>
        <c:ser>
          <c:idx val="2"/>
          <c:order val="3"/>
          <c:tx>
            <c:v>1.00E-05</c:v>
          </c:tx>
          <c:spPr>
            <a:ln w="28575" cap="rnd">
              <a:solidFill>
                <a:srgbClr val="FF0000"/>
              </a:solidFill>
              <a:round/>
            </a:ln>
            <a:effectLst/>
          </c:spPr>
          <c:marker>
            <c:symbol val="none"/>
          </c:marker>
          <c:xVal>
            <c:numLit>
              <c:formatCode>General</c:formatCode>
              <c:ptCount val="6"/>
              <c:pt idx="0">
                <c:v>1.0000000000000001E-5</c:v>
              </c:pt>
              <c:pt idx="1">
                <c:v>1.0000000000000001E-5</c:v>
              </c:pt>
              <c:pt idx="2">
                <c:v>1.0000000000000001E-5</c:v>
              </c:pt>
              <c:pt idx="3">
                <c:v>1.0000000000000001E-5</c:v>
              </c:pt>
              <c:pt idx="4">
                <c:v>1.0000000000000001E-5</c:v>
              </c:pt>
              <c:pt idx="5">
                <c:v>1.0000000000000001E-5</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5-3B55-4CB3-BDAB-2D02D0235C9D}"/>
            </c:ext>
          </c:extLst>
        </c:ser>
        <c:ser>
          <c:idx val="3"/>
          <c:order val="4"/>
          <c:tx>
            <c:v>1.00E-04</c:v>
          </c:tx>
          <c:spPr>
            <a:ln w="28575" cap="rnd">
              <a:solidFill>
                <a:srgbClr val="FF0000"/>
              </a:solidFill>
              <a:round/>
            </a:ln>
            <a:effectLst/>
          </c:spPr>
          <c:marker>
            <c:symbol val="none"/>
          </c:marker>
          <c:xVal>
            <c:numLit>
              <c:formatCode>General</c:formatCode>
              <c:ptCount val="6"/>
              <c:pt idx="0">
                <c:v>1E-4</c:v>
              </c:pt>
              <c:pt idx="1">
                <c:v>1E-4</c:v>
              </c:pt>
              <c:pt idx="2">
                <c:v>1E-4</c:v>
              </c:pt>
              <c:pt idx="3">
                <c:v>1E-4</c:v>
              </c:pt>
              <c:pt idx="4">
                <c:v>1E-4</c:v>
              </c:pt>
              <c:pt idx="5">
                <c:v>1E-4</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6-3B55-4CB3-BDAB-2D02D0235C9D}"/>
            </c:ext>
          </c:extLst>
        </c:ser>
        <c:dLbls>
          <c:showLegendKey val="0"/>
          <c:showVal val="0"/>
          <c:showCatName val="0"/>
          <c:showSerName val="0"/>
          <c:showPercent val="0"/>
          <c:showBubbleSize val="0"/>
        </c:dLbls>
        <c:axId val="599810312"/>
        <c:axId val="599814248"/>
      </c:scatterChart>
      <c:catAx>
        <c:axId val="58006280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6744"/>
        <c:crosses val="autoZero"/>
        <c:auto val="0"/>
        <c:lblAlgn val="ctr"/>
        <c:lblOffset val="100"/>
        <c:noMultiLvlLbl val="0"/>
      </c:catAx>
      <c:valAx>
        <c:axId val="580066744"/>
        <c:scaling>
          <c:logBase val="10"/>
          <c:orientation val="minMax"/>
          <c:min val="1.0000000000000005E-7"/>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000">
                    <a:solidFill>
                      <a:sysClr val="windowText" lastClr="000000"/>
                    </a:solidFill>
                  </a:rPr>
                  <a:t>Excess Cancer Risk</a:t>
                </a:r>
              </a:p>
            </c:rich>
          </c:tx>
          <c:layout>
            <c:manualLayout>
              <c:xMode val="edge"/>
              <c:yMode val="edge"/>
              <c:x val="0.36584643797039879"/>
              <c:y val="0.9103309379643723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E+0" sourceLinked="0"/>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2808"/>
        <c:crosses val="autoZero"/>
        <c:crossBetween val="between"/>
      </c:valAx>
      <c:valAx>
        <c:axId val="599814248"/>
        <c:scaling>
          <c:orientation val="minMax"/>
          <c:max val="7"/>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0312"/>
        <c:crosses val="autoZero"/>
        <c:crossBetween val="midCat"/>
      </c:valAx>
      <c:valAx>
        <c:axId val="599810312"/>
        <c:scaling>
          <c:logBase val="10"/>
          <c:orientation val="minMax"/>
          <c:max val="1"/>
          <c:min val="1.0000000000000005E-7"/>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4248"/>
        <c:crosses val="max"/>
        <c:crossBetween val="midCat"/>
      </c:valAx>
      <c:spPr>
        <a:noFill/>
        <a:ln>
          <a:solidFill>
            <a:schemeClr val="tx1"/>
          </a:solidFill>
        </a:ln>
        <a:effectLst/>
      </c:spPr>
    </c:plotArea>
    <c:legend>
      <c:legendPos val="r"/>
      <c:legendEntry>
        <c:idx val="2"/>
        <c:delete val="1"/>
      </c:legendEntry>
      <c:legendEntry>
        <c:idx val="3"/>
        <c:delete val="1"/>
      </c:legendEntry>
      <c:legendEntry>
        <c:idx val="4"/>
        <c:delete val="1"/>
      </c:legendEntry>
      <c:layout>
        <c:manualLayout>
          <c:xMode val="edge"/>
          <c:yMode val="edge"/>
          <c:x val="0.84666892501423174"/>
          <c:y val="0.46328339630668497"/>
          <c:w val="0.14389088631019784"/>
          <c:h val="0.1223401570488091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947207</xdr:colOff>
      <xdr:row>79</xdr:row>
      <xdr:rowOff>52916</xdr:rowOff>
    </xdr:from>
    <xdr:to>
      <xdr:col>8</xdr:col>
      <xdr:colOff>912812</xdr:colOff>
      <xdr:row>109</xdr:row>
      <xdr:rowOff>88305</xdr:rowOff>
    </xdr:to>
    <xdr:graphicFrame macro="">
      <xdr:nvGraphicFramePr>
        <xdr:cNvPr id="2" name="Chart 1">
          <a:extLst>
            <a:ext uri="{FF2B5EF4-FFF2-40B4-BE49-F238E27FC236}">
              <a16:creationId xmlns:a16="http://schemas.microsoft.com/office/drawing/2014/main" id="{336E37D1-9157-4832-8D78-BBF54087BB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624417</xdr:colOff>
      <xdr:row>35</xdr:row>
      <xdr:rowOff>74083</xdr:rowOff>
    </xdr:from>
    <xdr:to>
      <xdr:col>15</xdr:col>
      <xdr:colOff>547688</xdr:colOff>
      <xdr:row>64</xdr:row>
      <xdr:rowOff>77522</xdr:rowOff>
    </xdr:to>
    <xdr:graphicFrame macro="">
      <xdr:nvGraphicFramePr>
        <xdr:cNvPr id="3" name="Chart 2">
          <a:extLst>
            <a:ext uri="{FF2B5EF4-FFF2-40B4-BE49-F238E27FC236}">
              <a16:creationId xmlns:a16="http://schemas.microsoft.com/office/drawing/2014/main" id="{24BED884-0E58-47CA-9D22-2C97DD19BF23}"/>
            </a:ext>
            <a:ext uri="{147F2762-F138-4A5C-976F-8EAC2B608ADB}">
              <a16:predDERef xmlns:a16="http://schemas.microsoft.com/office/drawing/2014/main" pred="{336E37D1-9157-4832-8D78-BBF54087BB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338667</xdr:colOff>
      <xdr:row>36</xdr:row>
      <xdr:rowOff>42334</xdr:rowOff>
    </xdr:from>
    <xdr:to>
      <xdr:col>23</xdr:col>
      <xdr:colOff>304272</xdr:colOff>
      <xdr:row>65</xdr:row>
      <xdr:rowOff>45773</xdr:rowOff>
    </xdr:to>
    <xdr:graphicFrame macro="">
      <xdr:nvGraphicFramePr>
        <xdr:cNvPr id="4" name="Chart 3">
          <a:extLst>
            <a:ext uri="{FF2B5EF4-FFF2-40B4-BE49-F238E27FC236}">
              <a16:creationId xmlns:a16="http://schemas.microsoft.com/office/drawing/2014/main" id="{C55DC01D-AACD-4CAE-9642-850E08A369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7</xdr:row>
      <xdr:rowOff>171449</xdr:rowOff>
    </xdr:from>
    <xdr:to>
      <xdr:col>4</xdr:col>
      <xdr:colOff>676275</xdr:colOff>
      <xdr:row>11</xdr:row>
      <xdr:rowOff>38100</xdr:rowOff>
    </xdr:to>
    <xdr:sp macro="" textlink="">
      <xdr:nvSpPr>
        <xdr:cNvPr id="3" name="TextBox 2">
          <a:extLst>
            <a:ext uri="{FF2B5EF4-FFF2-40B4-BE49-F238E27FC236}">
              <a16:creationId xmlns:a16="http://schemas.microsoft.com/office/drawing/2014/main" id="{00C24D45-490A-452B-9CC3-B52F76EE2535}"/>
            </a:ext>
          </a:extLst>
        </xdr:cNvPr>
        <xdr:cNvSpPr txBox="1"/>
      </xdr:nvSpPr>
      <xdr:spPr>
        <a:xfrm>
          <a:off x="247650" y="2438399"/>
          <a:ext cx="3552825" cy="106680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000" b="1"/>
            <a:t>Key</a:t>
          </a:r>
          <a:endParaRPr lang="en-US" sz="1000"/>
        </a:p>
        <a:p>
          <a:r>
            <a:rPr lang="en-US" sz="1000"/>
            <a:t>             =  </a:t>
          </a:r>
          <a:r>
            <a:rPr lang="en-US" sz="1000">
              <a:solidFill>
                <a:srgbClr val="FF0000"/>
              </a:solidFill>
            </a:rPr>
            <a:t>Risk</a:t>
          </a:r>
          <a:r>
            <a:rPr lang="en-US" sz="1000"/>
            <a:t>.  </a:t>
          </a:r>
          <a:r>
            <a:rPr lang="en-US" sz="1000" baseline="0"/>
            <a:t>       </a:t>
          </a:r>
          <a:r>
            <a:rPr lang="en-US" sz="1000" i="1"/>
            <a:t>MOE</a:t>
          </a:r>
          <a:r>
            <a:rPr lang="en-US" sz="1000" i="1" baseline="-25000"/>
            <a:t>acute or chronic</a:t>
          </a:r>
          <a:r>
            <a:rPr lang="en-US" sz="1000" i="1" baseline="0"/>
            <a:t> &lt; MOE</a:t>
          </a:r>
          <a:r>
            <a:rPr lang="en-US" sz="1000" i="1" baseline="-25000"/>
            <a:t>benchmark</a:t>
          </a:r>
          <a:endParaRPr lang="en-US" sz="1000" i="0" baseline="0"/>
        </a:p>
        <a:p>
          <a:r>
            <a:rPr lang="en-US" sz="1000" i="0" baseline="0"/>
            <a:t>                                  </a:t>
          </a:r>
          <a:r>
            <a:rPr lang="en-US" sz="1000" i="1" baseline="0"/>
            <a:t>Cancer Risk &gt; Benchmark Cancer Risk Level</a:t>
          </a:r>
        </a:p>
        <a:p>
          <a:endParaRPr lang="en-US" sz="1000" i="1" baseline="0"/>
        </a:p>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latin typeface="+mn-lt"/>
              <a:ea typeface="+mn-ea"/>
              <a:cs typeface="+mn-cs"/>
            </a:rPr>
            <a:t>             =  </a:t>
          </a:r>
          <a:r>
            <a:rPr lang="en-US" sz="1000">
              <a:solidFill>
                <a:srgbClr val="339933"/>
              </a:solidFill>
              <a:latin typeface="+mn-lt"/>
              <a:ea typeface="+mn-ea"/>
              <a:cs typeface="+mn-cs"/>
            </a:rPr>
            <a:t>No Risk</a:t>
          </a:r>
          <a:r>
            <a:rPr lang="en-US" sz="1000">
              <a:solidFill>
                <a:schemeClr val="dk1"/>
              </a:solidFill>
              <a:latin typeface="+mn-lt"/>
              <a:ea typeface="+mn-ea"/>
              <a:cs typeface="+mn-cs"/>
            </a:rPr>
            <a:t>.   </a:t>
          </a:r>
          <a:r>
            <a:rPr lang="en-US" sz="1000" i="1">
              <a:solidFill>
                <a:schemeClr val="dk1"/>
              </a:solidFill>
              <a:latin typeface="+mn-lt"/>
              <a:ea typeface="+mn-ea"/>
              <a:cs typeface="+mn-cs"/>
            </a:rPr>
            <a:t>MOE</a:t>
          </a:r>
          <a:r>
            <a:rPr lang="en-US" sz="1000" i="1" baseline="-25000">
              <a:solidFill>
                <a:schemeClr val="dk1"/>
              </a:solidFill>
              <a:latin typeface="+mn-lt"/>
              <a:ea typeface="+mn-ea"/>
              <a:cs typeface="+mn-cs"/>
            </a:rPr>
            <a:t>acute or chronic</a:t>
          </a:r>
          <a:r>
            <a:rPr lang="en-US" sz="1000" i="1" baseline="0">
              <a:solidFill>
                <a:schemeClr val="dk1"/>
              </a:solidFill>
              <a:latin typeface="+mn-lt"/>
              <a:ea typeface="+mn-ea"/>
              <a:cs typeface="+mn-cs"/>
            </a:rPr>
            <a:t> ≥ MOE</a:t>
          </a:r>
          <a:r>
            <a:rPr lang="en-US" sz="1000" i="1" baseline="-25000">
              <a:solidFill>
                <a:schemeClr val="dk1"/>
              </a:solidFill>
              <a:latin typeface="+mn-lt"/>
              <a:ea typeface="+mn-ea"/>
              <a:cs typeface="+mn-cs"/>
            </a:rPr>
            <a:t>benchmark</a:t>
          </a:r>
          <a:endParaRPr lang="en-US" sz="1000" i="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i="0" baseline="0">
              <a:solidFill>
                <a:schemeClr val="dk1"/>
              </a:solidFill>
              <a:latin typeface="+mn-lt"/>
              <a:ea typeface="+mn-ea"/>
              <a:cs typeface="+mn-cs"/>
            </a:rPr>
            <a:t>                                  </a:t>
          </a:r>
          <a:r>
            <a:rPr lang="en-US" sz="1000" i="1" baseline="0">
              <a:solidFill>
                <a:schemeClr val="dk1"/>
              </a:solidFill>
              <a:latin typeface="+mn-lt"/>
              <a:ea typeface="+mn-ea"/>
              <a:cs typeface="+mn-cs"/>
            </a:rPr>
            <a:t>Cancer Risk ≤ Benchmark Cancer Risk Level</a:t>
          </a:r>
          <a:endParaRPr lang="en-US" sz="1000" i="1">
            <a:solidFill>
              <a:schemeClr val="dk1"/>
            </a:solidFill>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981075</xdr:colOff>
      <xdr:row>1</xdr:row>
      <xdr:rowOff>19049</xdr:rowOff>
    </xdr:from>
    <xdr:to>
      <xdr:col>11</xdr:col>
      <xdr:colOff>400050</xdr:colOff>
      <xdr:row>3</xdr:row>
      <xdr:rowOff>245268</xdr:rowOff>
    </xdr:to>
    <xdr:sp macro="" textlink="">
      <xdr:nvSpPr>
        <xdr:cNvPr id="4" name="TextBox 3">
          <a:extLst>
            <a:ext uri="{FF2B5EF4-FFF2-40B4-BE49-F238E27FC236}">
              <a16:creationId xmlns:a16="http://schemas.microsoft.com/office/drawing/2014/main" id="{2C23DA81-FB55-437E-9302-C2E02213CA4A}"/>
            </a:ext>
          </a:extLst>
        </xdr:cNvPr>
        <xdr:cNvSpPr txBox="1"/>
      </xdr:nvSpPr>
      <xdr:spPr>
        <a:xfrm>
          <a:off x="5267325" y="190499"/>
          <a:ext cx="4152900" cy="123586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000" b="1"/>
            <a:t>Key</a:t>
          </a:r>
          <a:endParaRPr lang="en-US" sz="1000"/>
        </a:p>
        <a:p>
          <a:r>
            <a:rPr lang="en-US" sz="1000"/>
            <a:t>             =  </a:t>
          </a:r>
          <a:r>
            <a:rPr lang="en-US" sz="1000">
              <a:solidFill>
                <a:srgbClr val="FF0000"/>
              </a:solidFill>
            </a:rPr>
            <a:t>Risk</a:t>
          </a:r>
          <a:r>
            <a:rPr lang="en-US" sz="1000"/>
            <a:t>.  </a:t>
          </a:r>
          <a:r>
            <a:rPr lang="en-US" sz="1000" baseline="0"/>
            <a:t>       </a:t>
          </a:r>
          <a:r>
            <a:rPr lang="en-US" sz="1000" i="1"/>
            <a:t>MOE</a:t>
          </a:r>
          <a:r>
            <a:rPr lang="en-US" sz="1000" i="1" baseline="-25000"/>
            <a:t>acute or chronic</a:t>
          </a:r>
          <a:r>
            <a:rPr lang="en-US" sz="1000" i="1" baseline="0"/>
            <a:t> &lt; MOE</a:t>
          </a:r>
          <a:r>
            <a:rPr lang="en-US" sz="1000" i="1" baseline="-25000"/>
            <a:t>benchmark</a:t>
          </a:r>
          <a:endParaRPr lang="en-US" sz="1000" i="0" baseline="0"/>
        </a:p>
        <a:p>
          <a:r>
            <a:rPr lang="en-US" sz="1000" i="0" baseline="0"/>
            <a:t>                                  </a:t>
          </a:r>
          <a:r>
            <a:rPr lang="en-US" sz="1000" i="1" baseline="0"/>
            <a:t>Cancer Risk &gt; Benchmark Cancer Risk Level</a:t>
          </a:r>
        </a:p>
        <a:p>
          <a:endParaRPr lang="en-US" sz="1000" i="1" baseline="0"/>
        </a:p>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latin typeface="+mn-lt"/>
              <a:ea typeface="+mn-ea"/>
              <a:cs typeface="+mn-cs"/>
            </a:rPr>
            <a:t>             =  </a:t>
          </a:r>
          <a:r>
            <a:rPr lang="en-US" sz="1000">
              <a:solidFill>
                <a:srgbClr val="339933"/>
              </a:solidFill>
              <a:latin typeface="+mn-lt"/>
              <a:ea typeface="+mn-ea"/>
              <a:cs typeface="+mn-cs"/>
            </a:rPr>
            <a:t>No Risk</a:t>
          </a:r>
          <a:r>
            <a:rPr lang="en-US" sz="1000">
              <a:solidFill>
                <a:schemeClr val="dk1"/>
              </a:solidFill>
              <a:latin typeface="+mn-lt"/>
              <a:ea typeface="+mn-ea"/>
              <a:cs typeface="+mn-cs"/>
            </a:rPr>
            <a:t>.   </a:t>
          </a:r>
          <a:r>
            <a:rPr lang="en-US" sz="1000" i="1">
              <a:solidFill>
                <a:schemeClr val="dk1"/>
              </a:solidFill>
              <a:latin typeface="+mn-lt"/>
              <a:ea typeface="+mn-ea"/>
              <a:cs typeface="+mn-cs"/>
            </a:rPr>
            <a:t>MOE</a:t>
          </a:r>
          <a:r>
            <a:rPr lang="en-US" sz="1000" i="1" baseline="-25000">
              <a:solidFill>
                <a:schemeClr val="dk1"/>
              </a:solidFill>
              <a:latin typeface="+mn-lt"/>
              <a:ea typeface="+mn-ea"/>
              <a:cs typeface="+mn-cs"/>
            </a:rPr>
            <a:t>acute or chronic</a:t>
          </a:r>
          <a:r>
            <a:rPr lang="en-US" sz="1000" i="1" baseline="0">
              <a:solidFill>
                <a:schemeClr val="dk1"/>
              </a:solidFill>
              <a:latin typeface="+mn-lt"/>
              <a:ea typeface="+mn-ea"/>
              <a:cs typeface="+mn-cs"/>
            </a:rPr>
            <a:t> ≥ MOE</a:t>
          </a:r>
          <a:r>
            <a:rPr lang="en-US" sz="1000" i="1" baseline="-25000">
              <a:solidFill>
                <a:schemeClr val="dk1"/>
              </a:solidFill>
              <a:latin typeface="+mn-lt"/>
              <a:ea typeface="+mn-ea"/>
              <a:cs typeface="+mn-cs"/>
            </a:rPr>
            <a:t>benchmark</a:t>
          </a:r>
          <a:endParaRPr lang="en-US" sz="1000" i="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i="0" baseline="0">
              <a:solidFill>
                <a:schemeClr val="dk1"/>
              </a:solidFill>
              <a:latin typeface="+mn-lt"/>
              <a:ea typeface="+mn-ea"/>
              <a:cs typeface="+mn-cs"/>
            </a:rPr>
            <a:t>                                  </a:t>
          </a:r>
          <a:r>
            <a:rPr lang="en-US" sz="1000" i="1" baseline="0">
              <a:solidFill>
                <a:schemeClr val="dk1"/>
              </a:solidFill>
              <a:latin typeface="+mn-lt"/>
              <a:ea typeface="+mn-ea"/>
              <a:cs typeface="+mn-cs"/>
            </a:rPr>
            <a:t>Cancer Risk ≤ Benchmark Cancer Risk Level</a:t>
          </a:r>
          <a:endParaRPr lang="en-US" sz="1000" i="1">
            <a:solidFill>
              <a:schemeClr val="dk1"/>
            </a:solidFill>
            <a:latin typeface="+mn-lt"/>
            <a:ea typeface="+mn-ea"/>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401935-84AF-4270-8FB1-5E2E43DBF2D4}" name="Inhalation_Exp" displayName="Inhalation_Exp" ref="A4:V55" totalsRowShown="0" headerRowDxfId="199" dataDxfId="198">
  <autoFilter ref="A4:V55" xr:uid="{D8401935-84AF-4270-8FB1-5E2E43DBF2D4}"/>
  <tableColumns count="22">
    <tableColumn id="1" xr3:uid="{8B9E498B-E535-487D-BD43-3A1DC38F8269}" name="Column1" dataDxfId="197"/>
    <tableColumn id="3" xr3:uid="{C54AC08B-2171-4932-9675-344FCE6A4CAE}" name="OES" dataDxfId="196"/>
    <tableColumn id="4" xr3:uid="{F737B7D7-234B-4298-9FE4-C56434A78344}" name="Worker Type" dataDxfId="195"/>
    <tableColumn id="5" xr3:uid="{89394E55-C669-41DA-8B58-BEB3216B6932}" name="Vapor Exposure Scenario" dataDxfId="194"/>
    <tableColumn id="6" xr3:uid="{CDFD586A-A503-40F6-B1F2-119C056FF477}" name="ED_High-End" dataDxfId="193"/>
    <tableColumn id="7" xr3:uid="{1E4E25BD-BB7A-4F49-9926-3FF8EB0F649B}" name="ED_Central Tendency" dataDxfId="192"/>
    <tableColumn id="8" xr3:uid="{1F235D25-0699-476A-999A-BAE54EB68501}" name="TWA_High-End" dataDxfId="191"/>
    <tableColumn id="9" xr3:uid="{7CE221CF-6ABC-4C39-BB1F-EE22EB921A7E}" name="TWA_Central Tendency" dataDxfId="190"/>
    <tableColumn id="10" xr3:uid="{2D1C3CBB-2959-4240-BE7F-3DA4DB464EB8}" name="Dust_High-End" dataDxfId="189"/>
    <tableColumn id="11" xr3:uid="{CF089516-A289-41C8-9217-FC8260BBAEC8}" name="Dust_Central Tendency" dataDxfId="188"/>
    <tableColumn id="14" xr3:uid="{D8D13849-0619-4A64-8E83-8771B61FFED2}" name="24hr_High-End" dataDxfId="187">
      <calculatedColumnFormula>((G5*ED_8+(I5*ED_8))*WorkBreathRate)/IF(Inhalation_Exp[[#This Row],[Worker Type]]="Female of Reproductive Age",BW_F,BW_default)</calculatedColumnFormula>
    </tableColumn>
    <tableColumn id="15" xr3:uid="{59BA6381-8B7F-4F1F-A431-183C58C00B76}" name="24hr_Central Tendency" dataDxfId="186">
      <calculatedColumnFormula>((H5*ED_8+(J5*ED_8))*WorkBreathRate)/IF(Inhalation_Exp[[#This Row],[Worker Type]]="Female of Reproductive Age",BW_F,BW_default)</calculatedColumnFormula>
    </tableColumn>
    <tableColumn id="18" xr3:uid="{34A66C89-4510-4FFE-8377-0BAD909E0C24}" name="Int_High-End" dataDxfId="185">
      <calculatedColumnFormula>IF(EFID&gt;Inhalation_Exp[[#This Row],[ED_High-End]],Inhalation_Exp[[#This Row],[24hr_High-End]]*Inhalation_Exp[[#This Row],[ED_High-End]]/ID,Inhalation_Exp[[#This Row],[24hr_High-End]]*EFID/ID)</calculatedColumnFormula>
    </tableColumn>
    <tableColumn id="19" xr3:uid="{72F83336-E929-4C33-964A-3EB6EB40A105}" name="Int_Central Tendency" dataDxfId="184">
      <calculatedColumnFormula>IF(EFID&gt;Inhalation_Exp[[#This Row],[ED_Central Tendency]],Inhalation_Exp[[#This Row],[24hr_Central Tendency]]*Inhalation_Exp[[#This Row],[ED_Central Tendency]]/ID,Inhalation_Exp[[#This Row],[24hr_Central Tendency]]*EFID/ID)</calculatedColumnFormula>
    </tableColumn>
    <tableColumn id="24" xr3:uid="{2EF85EA6-053F-499C-9BF0-0F5656E94B6D}" name="ADD_High-End" dataDxfId="183">
      <calculatedColumnFormula>K5*E5*WY_high/(WY_high*365)</calculatedColumnFormula>
    </tableColumn>
    <tableColumn id="25" xr3:uid="{36CF039B-AE1A-42DA-856B-8E000BED49A0}" name="ADD_Central Tendency" dataDxfId="182">
      <calculatedColumnFormula>L5*F5*WY_mid/(WY_mid*365)</calculatedColumnFormula>
    </tableColumn>
    <tableColumn id="26" xr3:uid="{3A77D090-2E90-4046-AED4-F7BE62ECBB01}" name="LADD_High-End" dataDxfId="181">
      <calculatedColumnFormula>K5*E5*WY_high/(LT*365)</calculatedColumnFormula>
    </tableColumn>
    <tableColumn id="27" xr3:uid="{B2E4B413-F9F2-4C69-AD7F-9F9B83B1F9E1}" name="LADD_Central Tendency" dataDxfId="180">
      <calculatedColumnFormula>L5*F5*WY_mid/(LT*365)</calculatedColumnFormula>
    </tableColumn>
    <tableColumn id="20" xr3:uid="{D66C692A-95A3-46A6-B519-23B552732334}" name="Eight-Hour TWA Data Points" dataDxfId="179"/>
    <tableColumn id="21" xr3:uid="{95F01858-982C-4E6C-B071-590CFEA5B034}" name="Total Data Points" dataDxfId="178"/>
    <tableColumn id="22" xr3:uid="{3D024B1C-C570-43E2-A1C7-77868DE73688}" name="Sources &amp; Notes" dataDxfId="177"/>
    <tableColumn id="23" xr3:uid="{14E1BB3A-BA6D-4CB5-8802-3B7332A0EEA5}" name="Data Type" dataDxfId="17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E0F39C-8328-4698-9F18-12CEF82BB456}" name="Dermal_Exp" displayName="Dermal_Exp" ref="A3:Q54" totalsRowShown="0" headerRowDxfId="87" dataDxfId="86" tableBorderDxfId="85">
  <autoFilter ref="A3:Q54" xr:uid="{4DE0F39C-8328-4698-9F18-12CEF82BB456}"/>
  <tableColumns count="17">
    <tableColumn id="5" xr3:uid="{0201E299-ACE7-41CE-89FF-44176D0FE674}" name="sort" dataDxfId="84"/>
    <tableColumn id="2" xr3:uid="{01B060B3-40B7-4FDE-AA23-E13A2121A0C7}" name="OES" dataDxfId="83"/>
    <tableColumn id="11" xr3:uid="{2F31C538-873A-4287-9C89-B20290605EE9}" name="Worker Type" dataDxfId="82"/>
    <tableColumn id="10" xr3:uid="{116A4532-98BD-4EDF-B594-BE709576A9B6}" name="ED_High-End" dataDxfId="81">
      <calculatedColumnFormula>'Inhalation Exposure'!E5</calculatedColumnFormula>
    </tableColumn>
    <tableColumn id="9" xr3:uid="{4B7F3F7C-93BF-4171-87B1-BBB8D1899EA6}" name="ED_Central Tendency" dataDxfId="80">
      <calculatedColumnFormula>'Inhalation Exposure'!F5</calculatedColumnFormula>
    </tableColumn>
    <tableColumn id="12" xr3:uid="{C7648BE0-0833-4475-87EF-BC432104B35D}" name="High-End Exposure to Liquid" dataDxfId="79"/>
    <tableColumn id="13" xr3:uid="{A5995FE9-0A48-495E-BD77-893C549EACE2}" name=" Central Tendency Exposure to Liquids" dataDxfId="78"/>
    <tableColumn id="3" xr3:uid="{7C011295-03C7-4BDF-89A2-E6A13D93574B}" name="High-End Exposure to Solids" dataDxfId="77"/>
    <tableColumn id="4" xr3:uid="{E09F1D04-39E4-4DBB-B848-59F151856E71}" name="Central Tendency  Exposure to Solids" dataDxfId="76"/>
    <tableColumn id="6" xr3:uid="{45D16D1A-3B38-4BFA-A319-40AD303429C3}" name="High-End AD (mg/kg-day)" dataDxfId="75">
      <calculatedColumnFormula>MAX(Dermal_Exp[[#This Row],[High-End Exposure to Liquid]],Dermal_Exp[[#This Row],[High-End Exposure to Solids]])/(IF(Dermal_Exp[[#This Row],[Worker Type]]="Female of Reproductive Age",BW_F,BW_default))</calculatedColumnFormula>
    </tableColumn>
    <tableColumn id="14" xr3:uid="{1B601C22-CB24-41BB-BD6C-305E4E626652}" name="Central Tendency AD (mg/kg-day)" dataDxfId="74">
      <calculatedColumnFormula>MAX(Dermal_Exp[[#This Row],[ Central Tendency Exposure to Liquids]],Dermal_Exp[[#This Row],[Central Tendency  Exposure to Solids]])/(IF(Dermal_Exp[[#This Row],[Worker Type]]="Female of Reproductive Age",BW_F,BW_default))</calculatedColumnFormula>
    </tableColumn>
    <tableColumn id="1" xr3:uid="{14C869CE-3DCC-42FD-B791-771CF8BE7F4A}" name="High-End IADD (mg/kg-day)" dataDxfId="73">
      <calculatedColumnFormula>IFERROR(Dermal_Exp[[#This Row],[High-End AD (mg/kg-day)]]*IF(Dermal_Exp[[#This Row],[ED_High-End]]&gt;EFID,EFID,Dermal_Exp[[#This Row],[ED_High-End]])/ID,"Not Assessed")</calculatedColumnFormula>
    </tableColumn>
    <tableColumn id="17" xr3:uid="{9EFC90CB-A461-4ADE-A8B4-75F6D64EE2CD}" name="Central Tendency IADD (mg/kg-day)" dataDxfId="72">
      <calculatedColumnFormula>IFERROR(Dermal_Exp[[#This Row],[Central Tendency AD (mg/kg-day)]]*IF(Dermal_Exp[[#This Row],[ED_Central Tendency]]&gt;EFID,EFID,Dermal_Exp[[#This Row],[ED_Central Tendency]])/ID,"Not Assessed")</calculatedColumnFormula>
    </tableColumn>
    <tableColumn id="7" xr3:uid="{A473226B-926A-43B0-8063-C950222670D0}" name="High-End ADD (mg/kg-day)" dataDxfId="71">
      <calculatedColumnFormula>IFERROR(Dermal_Exp[[#This Row],[High-End AD (mg/kg-day)]]*Dermal_Exp[[#This Row],[ED_High-End]]*WY_high/(365*WY_high),"Not Assessed")</calculatedColumnFormula>
    </tableColumn>
    <tableColumn id="18" xr3:uid="{04D45394-DB7F-4B02-BB50-A4A68373A612}" name="Central Tendency ADD (mg/kg-day)" dataDxfId="70">
      <calculatedColumnFormula>IFERROR(Dermal_Exp[[#This Row],[Central Tendency AD (mg/kg-day)]]*Dermal_Exp[[#This Row],[ED_Central Tendency]]*WY_mid/(365*WY_mid),"Not Assessed")</calculatedColumnFormula>
    </tableColumn>
    <tableColumn id="8" xr3:uid="{20F74786-E9A7-4230-8932-3462A12F8F91}" name="High-End LADD (mg/kg-day)" dataDxfId="69">
      <calculatedColumnFormula>IFERROR(Dermal_Exp[[#This Row],[High-End AD (mg/kg-day)]]*Dermal_Exp[[#This Row],[ED_High-End]]*WY_high/(365*LT),"Not Assessed")</calculatedColumnFormula>
    </tableColumn>
    <tableColumn id="19" xr3:uid="{3C989027-0728-4C9E-9D69-7608287CC55C}" name="Central Tendency LADD (mg/kg-day)" dataDxfId="68">
      <calculatedColumnFormula>IFERROR(Dermal_Exp[[#This Row],[Central Tendency AD (mg/kg-day)]]*Dermal_Exp[[#This Row],[ED_Central Tendency]]*WY_mid/(365*LT),"Not Assessed")</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3DC64D-8EB3-4501-870A-D2291E5D1931}" name="Tox_Table" displayName="Tox_Table" ref="B11:L16" totalsRowShown="0" headerRowDxfId="27" dataDxfId="26" headerRowBorderDxfId="24" tableBorderDxfId="25">
  <autoFilter ref="B11:L16" xr:uid="{E33DC64D-8EB3-4501-870A-D2291E5D1931}"/>
  <tableColumns count="11">
    <tableColumn id="1" xr3:uid="{EE67F4A7-6CA6-4037-85CB-90F21462F8D8}" name="Exposure Type" dataDxfId="23"/>
    <tableColumn id="3" xr3:uid="{8043AA1D-35D8-4428-A2DB-4CD78DBBEADD}" name="Health Effect" dataDxfId="22"/>
    <tableColumn id="4" xr3:uid="{3E18B802-0F43-4860-ACE8-BECBFB6A254B}" name="Endpoint" dataDxfId="21"/>
    <tableColumn id="5" xr3:uid="{3832D19D-7F09-45DE-8FF8-E748D2DF228E}" name="Study" dataDxfId="20"/>
    <tableColumn id="6" xr3:uid="{86FA5EF5-8257-4B7D-B67F-81533F26169D}" name="Code" dataDxfId="19"/>
    <tableColumn id="7" xr3:uid="{167C2AF7-F3D6-4569-BA48-0421171478DF}" name="HEC (mg/m3)" dataDxfId="18"/>
    <tableColumn id="8" xr3:uid="{CBBF44F9-78BA-4F5D-B479-0AE98FEBF3BF}" name="HEC (ppm)" dataDxfId="17"/>
    <tableColumn id="9" xr3:uid="{BEF18460-7978-4A17-89D2-4AE396E867BC}" name="HED / POD (mg/kg/day)" dataDxfId="16"/>
    <tableColumn id="10" xr3:uid="{9E0456CF-018C-45C3-867D-D19DEF864DBE}" name="Benchmark MOE" dataDxfId="15"/>
    <tableColumn id="11" xr3:uid="{8A108CB0-4931-41ED-BAFA-789F9D4AC56A}" name="IUR (ppm-1)" dataDxfId="14"/>
    <tableColumn id="12" xr3:uid="{6108CA2F-F7B0-4D12-AEB6-AE3B95A6A2DD}" name="CSF (mg/kg-day-1)" dataDxfId="13"/>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7559093-7373-429C-8127-29E318B09181}" name="AEGL_Table" displayName="AEGL_Table" ref="B5:K7" totalsRowShown="0" headerRowDxfId="12" dataDxfId="11" tableBorderDxfId="10">
  <autoFilter ref="B5:K7" xr:uid="{77559093-7373-429C-8127-29E318B09181}"/>
  <tableColumns count="10">
    <tableColumn id="1" xr3:uid="{E09A7697-B506-4F05-8E1E-79D8EA865ACB}" name="Column1" dataDxfId="9"/>
    <tableColumn id="3" xr3:uid="{C788C624-DA81-49B0-8B69-054D97CFFA8C}" name="Toxicity Endpoint" dataDxfId="8"/>
    <tableColumn id="4" xr3:uid="{F86D2B03-EBA9-4512-9A55-456C97028BF6}" name="Study" dataDxfId="7"/>
    <tableColumn id="5" xr3:uid="{A7D48F76-C8C6-471E-B609-F3652DCF0AFD}" name="Code" dataDxfId="6"/>
    <tableColumn id="6" xr3:uid="{2CD20B61-A298-438F-A315-51319315A567}" name="AEGL-1 HEC (mg/m3)" dataDxfId="5"/>
    <tableColumn id="7" xr3:uid="{A3BEF587-F8BD-49BC-9BAF-C3CEC1AC28A7}" name="AEGL-1 HEC (ppm)" dataDxfId="4"/>
    <tableColumn id="8" xr3:uid="{647F1209-AF4A-4FB1-90F2-7FFB5644970E}" name="AEGL-2 HEC (mg/m3)" dataDxfId="3"/>
    <tableColumn id="9" xr3:uid="{ED1AEC0B-DEA7-433A-BF7A-BC77E3385ED2}" name="AEGL-2 HEC (ppm)" dataDxfId="2"/>
    <tableColumn id="10" xr3:uid="{0C4B6FE2-A202-4184-A282-CFEFF98F5C3C}" name="AEGL-3 HEC (mg/m3)" dataDxfId="1"/>
    <tableColumn id="11" xr3:uid="{3AA98D77-89DB-4638-B474-ADB02DA19559}" name="AEGL-3 HEC (ppm)"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F0537-E5C4-4707-A268-AEAA2A512243}">
  <sheetPr codeName="Sheet6">
    <tabColor rgb="FF92D050"/>
  </sheetPr>
  <dimension ref="A1:AB38"/>
  <sheetViews>
    <sheetView workbookViewId="0">
      <selection activeCell="AD5" sqref="AD5"/>
    </sheetView>
  </sheetViews>
  <sheetFormatPr defaultColWidth="9.140625" defaultRowHeight="15"/>
  <cols>
    <col min="1" max="1" width="13.42578125" style="4" customWidth="1"/>
    <col min="2" max="2" width="11.5703125" style="4" customWidth="1"/>
    <col min="3" max="3" width="10.85546875" style="4" customWidth="1"/>
    <col min="4" max="4" width="11.42578125" style="4" customWidth="1"/>
    <col min="5" max="5" width="11.85546875" style="4" customWidth="1"/>
    <col min="6" max="16384" width="9.140625" style="4"/>
  </cols>
  <sheetData>
    <row r="1" spans="1:28" ht="13.9">
      <c r="A1" s="113"/>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row>
    <row r="2" spans="1:28" ht="13.9">
      <c r="A2" s="113"/>
      <c r="B2" s="113"/>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row>
    <row r="3" spans="1:28" ht="36.75" customHeight="1">
      <c r="A3" s="113"/>
      <c r="B3" s="463" t="s">
        <v>0</v>
      </c>
      <c r="C3" s="463"/>
      <c r="D3" s="463"/>
      <c r="E3" s="463"/>
      <c r="F3" s="463"/>
      <c r="G3" s="113"/>
      <c r="H3" s="113"/>
      <c r="I3" s="113"/>
      <c r="J3" s="113"/>
      <c r="K3" s="113"/>
      <c r="L3" s="113"/>
      <c r="M3" s="113"/>
      <c r="N3" s="113"/>
      <c r="O3" s="113"/>
      <c r="P3" s="113"/>
      <c r="Q3" s="113"/>
      <c r="R3" s="113"/>
      <c r="S3" s="113"/>
      <c r="T3" s="113"/>
      <c r="U3" s="113"/>
      <c r="V3" s="113"/>
      <c r="W3" s="113"/>
      <c r="X3" s="113"/>
      <c r="Y3" s="113"/>
      <c r="Z3" s="113"/>
      <c r="AA3" s="113"/>
      <c r="AB3" s="113"/>
    </row>
    <row r="4" spans="1:28" ht="20.100000000000001" customHeight="1">
      <c r="A4" s="113"/>
      <c r="B4" s="463"/>
      <c r="C4" s="463"/>
      <c r="D4" s="463"/>
      <c r="E4" s="463"/>
      <c r="F4" s="463"/>
      <c r="G4" s="113"/>
      <c r="H4" s="113"/>
      <c r="I4" s="113"/>
      <c r="J4" s="113"/>
      <c r="K4" s="113"/>
      <c r="L4" s="113"/>
      <c r="M4" s="113"/>
      <c r="N4" s="113"/>
      <c r="O4" s="113"/>
      <c r="P4" s="113"/>
      <c r="Q4" s="113"/>
      <c r="R4" s="113"/>
      <c r="S4" s="113"/>
      <c r="T4" s="113"/>
      <c r="U4" s="113"/>
      <c r="V4" s="113"/>
      <c r="W4" s="113"/>
      <c r="X4" s="113"/>
      <c r="Y4" s="113"/>
      <c r="Z4" s="113"/>
      <c r="AA4" s="113"/>
      <c r="AB4" s="113"/>
    </row>
    <row r="5" spans="1:28" ht="13.9">
      <c r="A5" s="113"/>
      <c r="B5" s="113"/>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row>
    <row r="6" spans="1:28" ht="13.9">
      <c r="A6" s="113"/>
      <c r="B6" s="113"/>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row>
    <row r="7" spans="1:28" ht="63" customHeight="1">
      <c r="A7" s="113"/>
      <c r="B7" s="463" t="s">
        <v>1</v>
      </c>
      <c r="C7" s="463"/>
      <c r="D7" s="463"/>
      <c r="E7" s="463"/>
      <c r="F7" s="463"/>
      <c r="G7" s="113"/>
      <c r="H7" s="113"/>
      <c r="I7" s="113"/>
      <c r="J7" s="113"/>
      <c r="K7" s="113"/>
      <c r="L7" s="113"/>
      <c r="M7" s="113"/>
      <c r="N7" s="113"/>
      <c r="O7" s="113"/>
      <c r="P7" s="113"/>
      <c r="Q7" s="113"/>
      <c r="R7" s="113"/>
      <c r="S7" s="113"/>
      <c r="T7" s="113"/>
      <c r="U7" s="113"/>
      <c r="V7" s="113"/>
      <c r="W7" s="113"/>
      <c r="X7" s="113"/>
      <c r="Y7" s="113"/>
      <c r="Z7" s="113"/>
      <c r="AA7" s="113"/>
      <c r="AB7" s="113"/>
    </row>
    <row r="8" spans="1:28" ht="13.9">
      <c r="A8" s="113"/>
      <c r="B8" s="113"/>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row>
    <row r="9" spans="1:28" ht="20.45">
      <c r="A9" s="113"/>
      <c r="B9" s="463" t="s">
        <v>2</v>
      </c>
      <c r="C9" s="463"/>
      <c r="D9" s="463"/>
      <c r="E9" s="463"/>
      <c r="F9" s="463"/>
      <c r="G9" s="113"/>
      <c r="H9" s="113"/>
      <c r="I9" s="113"/>
      <c r="J9" s="113"/>
      <c r="K9" s="113"/>
      <c r="L9" s="113"/>
      <c r="M9" s="113"/>
      <c r="N9" s="113"/>
      <c r="O9" s="113"/>
      <c r="P9" s="113"/>
      <c r="Q9" s="113"/>
      <c r="R9" s="113"/>
      <c r="S9" s="113"/>
      <c r="T9" s="113"/>
      <c r="U9" s="113"/>
      <c r="V9" s="113"/>
      <c r="W9" s="113"/>
      <c r="X9" s="113"/>
      <c r="Y9" s="113"/>
      <c r="Z9" s="113"/>
      <c r="AA9" s="113"/>
      <c r="AB9" s="113"/>
    </row>
    <row r="10" spans="1:28">
      <c r="A10" s="113"/>
      <c r="B10" s="113"/>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row>
    <row r="11" spans="1:28" ht="19.5">
      <c r="A11" s="113"/>
      <c r="B11" s="464" t="s">
        <v>3</v>
      </c>
      <c r="C11" s="465"/>
      <c r="D11" s="465"/>
      <c r="E11" s="465"/>
      <c r="F11" s="465"/>
      <c r="G11" s="113"/>
      <c r="H11" s="113"/>
      <c r="I11" s="113"/>
      <c r="J11" s="113"/>
      <c r="K11" s="113"/>
      <c r="L11" s="113"/>
      <c r="M11" s="113"/>
      <c r="N11" s="113"/>
      <c r="O11" s="113"/>
      <c r="P11" s="113"/>
      <c r="Q11" s="113"/>
      <c r="R11" s="113"/>
      <c r="S11" s="113"/>
      <c r="T11" s="113"/>
      <c r="U11" s="113"/>
      <c r="V11" s="113"/>
      <c r="W11" s="113"/>
      <c r="X11" s="113"/>
      <c r="Y11" s="113"/>
      <c r="Z11" s="113"/>
      <c r="AA11" s="113"/>
      <c r="AB11" s="113"/>
    </row>
    <row r="12" spans="1:28">
      <c r="A12" s="113"/>
      <c r="B12" s="113"/>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row>
    <row r="13" spans="1:28" ht="13.9">
      <c r="A13" s="113"/>
      <c r="B13" s="113"/>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row>
    <row r="14" spans="1:28" ht="13.9">
      <c r="A14" s="113"/>
      <c r="B14" s="113"/>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row>
    <row r="15" spans="1:28" ht="13.9">
      <c r="A15" s="113"/>
      <c r="B15" s="113"/>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row>
    <row r="16" spans="1:28" ht="13.9">
      <c r="A16" s="113"/>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row>
    <row r="17" spans="1:28" ht="13.9">
      <c r="A17" s="113"/>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row>
    <row r="18" spans="1:28">
      <c r="A18" s="113"/>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row>
    <row r="19" spans="1:28">
      <c r="A19" s="113"/>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row>
    <row r="20" spans="1:28">
      <c r="A20" s="113"/>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row>
    <row r="21" spans="1:28">
      <c r="A21" s="113"/>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row>
    <row r="22" spans="1:28">
      <c r="A22" s="113"/>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row>
    <row r="23" spans="1:28">
      <c r="A23" s="113"/>
      <c r="B23" s="113"/>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row>
    <row r="24" spans="1:28">
      <c r="A24" s="113"/>
      <c r="B24" s="113"/>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row>
    <row r="25" spans="1:28">
      <c r="A25" s="113"/>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row>
    <row r="26" spans="1:28">
      <c r="A26" s="113"/>
      <c r="B26" s="113"/>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row>
    <row r="27" spans="1:28">
      <c r="A27" s="113"/>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row>
    <row r="28" spans="1:28">
      <c r="A28" s="113"/>
      <c r="B28" s="113"/>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row>
    <row r="29" spans="1:28">
      <c r="A29" s="113"/>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row>
    <row r="30" spans="1:28">
      <c r="A30" s="113"/>
      <c r="B30" s="113"/>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row>
    <row r="31" spans="1:28">
      <c r="A31" s="113"/>
      <c r="B31" s="113"/>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row>
    <row r="32" spans="1:28">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row>
    <row r="33" spans="1:28">
      <c r="A33" s="11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row>
    <row r="34" spans="1:28">
      <c r="A34" s="113"/>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row>
    <row r="35" spans="1:28">
      <c r="A35" s="113"/>
      <c r="B35" s="113"/>
      <c r="C35" s="113"/>
      <c r="D35" s="113"/>
      <c r="E35" s="113"/>
      <c r="F35" s="113"/>
      <c r="G35" s="113"/>
      <c r="H35" s="113"/>
      <c r="I35" s="113"/>
      <c r="J35" s="113"/>
      <c r="K35" s="113"/>
      <c r="L35" s="113"/>
      <c r="M35" s="113"/>
      <c r="N35" s="113"/>
      <c r="O35" s="113"/>
      <c r="P35" s="113"/>
      <c r="Q35" s="113"/>
      <c r="R35" s="113"/>
      <c r="S35" s="113"/>
      <c r="T35" s="113"/>
      <c r="U35" s="113"/>
      <c r="V35" s="113"/>
      <c r="W35" s="113"/>
      <c r="X35" s="113"/>
      <c r="Y35" s="113"/>
      <c r="Z35" s="113"/>
      <c r="AA35" s="113"/>
      <c r="AB35" s="113"/>
    </row>
    <row r="36" spans="1:28">
      <c r="A36" s="113"/>
      <c r="B36" s="113"/>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c r="AB36" s="113"/>
    </row>
    <row r="37" spans="1:28">
      <c r="A37" s="113"/>
      <c r="B37" s="113"/>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row>
    <row r="38" spans="1:28">
      <c r="A38" s="113"/>
      <c r="B38" s="113"/>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row>
  </sheetData>
  <sheetProtection sheet="1" objects="1" scenarios="1"/>
  <mergeCells count="4">
    <mergeCell ref="B3:F4"/>
    <mergeCell ref="B7:F7"/>
    <mergeCell ref="B9:F9"/>
    <mergeCell ref="B11:F1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5426-BDBC-475C-88AC-FB17AC9ACD28}">
  <sheetPr codeName="Sheet12">
    <tabColor rgb="FFFFFF00"/>
  </sheetPr>
  <dimension ref="A1:FG44"/>
  <sheetViews>
    <sheetView workbookViewId="0"/>
  </sheetViews>
  <sheetFormatPr defaultColWidth="8.85546875" defaultRowHeight="12.75"/>
  <cols>
    <col min="1" max="1" width="4.5703125" style="17" customWidth="1"/>
    <col min="2" max="2" width="5.140625" style="14" hidden="1" customWidth="1"/>
    <col min="3" max="3" width="23.140625" style="17" customWidth="1"/>
    <col min="4" max="4" width="43.42578125" style="14" customWidth="1"/>
    <col min="5" max="5" width="18" style="17" bestFit="1" customWidth="1"/>
    <col min="6" max="6" width="10.42578125" style="17" bestFit="1" customWidth="1"/>
    <col min="7" max="10" width="10.140625" style="17" customWidth="1"/>
    <col min="11" max="11" width="2.85546875" style="17" customWidth="1"/>
    <col min="12" max="12" width="25.85546875" style="17" bestFit="1" customWidth="1"/>
    <col min="13" max="13" width="67" style="17" bestFit="1" customWidth="1"/>
    <col min="14" max="14" width="18" style="17" bestFit="1" customWidth="1"/>
    <col min="15" max="15" width="13.85546875" style="17" customWidth="1"/>
    <col min="16" max="16" width="11.5703125" style="17" customWidth="1"/>
    <col min="17" max="17" width="13" style="17" customWidth="1"/>
    <col min="18" max="18" width="8.5703125" style="17" customWidth="1"/>
    <col min="19" max="19" width="2.5703125" style="17" customWidth="1"/>
    <col min="20" max="20" width="23.140625" style="17" customWidth="1"/>
    <col min="21" max="21" width="36.42578125" style="17" bestFit="1" customWidth="1"/>
    <col min="22" max="23" width="17.42578125" style="17" customWidth="1"/>
    <col min="24" max="27" width="20.42578125" style="17" customWidth="1"/>
    <col min="28" max="29" width="18.85546875" style="17" customWidth="1"/>
    <col min="30" max="30" width="28.42578125" style="3" customWidth="1"/>
    <col min="31" max="31" width="26.85546875" style="3" customWidth="1"/>
    <col min="32" max="32" width="15.140625" style="3" customWidth="1"/>
    <col min="33" max="33" width="17.85546875" style="3" customWidth="1"/>
    <col min="34" max="34" width="22.42578125" style="3" customWidth="1"/>
    <col min="35" max="35" width="21.85546875" style="3" customWidth="1"/>
    <col min="36" max="36" width="17.42578125" style="3" customWidth="1"/>
    <col min="37" max="37" width="14.5703125" style="17" customWidth="1"/>
    <col min="38" max="38" width="17.140625" style="17" customWidth="1"/>
    <col min="39" max="39" width="16" style="17" customWidth="1"/>
    <col min="40" max="40" width="24.140625" style="17" customWidth="1"/>
    <col min="41" max="41" width="15.5703125" style="17" customWidth="1"/>
    <col min="42" max="42" width="14.140625" style="17" customWidth="1"/>
    <col min="43" max="44" width="8.85546875" style="17"/>
    <col min="45" max="45" width="18.42578125" style="17" customWidth="1"/>
    <col min="46" max="46" width="15" style="17" customWidth="1"/>
    <col min="47" max="47" width="21.42578125" style="17" customWidth="1"/>
    <col min="48" max="48" width="15.42578125" style="17" customWidth="1"/>
    <col min="49" max="49" width="16.5703125" style="17" customWidth="1"/>
    <col min="50" max="51" width="8.85546875" style="17"/>
    <col min="52" max="52" width="17.85546875" style="17" customWidth="1"/>
    <col min="53" max="53" width="14.42578125" style="17" customWidth="1"/>
    <col min="54" max="54" width="18.5703125" style="17" customWidth="1"/>
    <col min="55" max="55" width="13.5703125" style="17" customWidth="1"/>
    <col min="56" max="56" width="15.140625" style="17" customWidth="1"/>
    <col min="57" max="58" width="8.85546875" style="17"/>
    <col min="59" max="59" width="16.140625" style="17" customWidth="1"/>
    <col min="60" max="60" width="12" style="17" customWidth="1"/>
    <col min="61" max="61" width="18" style="17" customWidth="1"/>
    <col min="62" max="62" width="16.140625" style="17" customWidth="1"/>
    <col min="63" max="63" width="14.140625" style="17" customWidth="1"/>
    <col min="64" max="64" width="10.140625" style="17" customWidth="1"/>
    <col min="65" max="16384" width="8.85546875" style="17"/>
  </cols>
  <sheetData>
    <row r="1" spans="1:163" ht="13.5" thickBot="1">
      <c r="J1" s="19"/>
      <c r="K1" s="19"/>
      <c r="L1" s="19"/>
      <c r="AD1" s="17"/>
      <c r="AE1" s="17"/>
      <c r="AF1" s="17"/>
      <c r="AG1" s="17"/>
      <c r="AH1" s="17"/>
      <c r="AI1" s="17"/>
      <c r="AJ1" s="17"/>
    </row>
    <row r="2" spans="1:163" s="19" customFormat="1" ht="27.75" thickBot="1">
      <c r="B2" s="28"/>
      <c r="C2" s="98" t="s">
        <v>64</v>
      </c>
      <c r="D2" s="340" t="s">
        <v>277</v>
      </c>
      <c r="H2" s="117"/>
    </row>
    <row r="3" spans="1:163" s="19" customFormat="1" ht="25.5">
      <c r="B3" s="28"/>
      <c r="C3" s="99" t="s">
        <v>68</v>
      </c>
      <c r="D3" s="341" t="s">
        <v>69</v>
      </c>
      <c r="H3" s="117"/>
    </row>
    <row r="4" spans="1:163" s="19" customFormat="1" ht="57" customHeight="1">
      <c r="B4" s="28"/>
      <c r="C4" s="23" t="s">
        <v>214</v>
      </c>
      <c r="D4" s="342" t="str">
        <f>_xlfn.XLOOKUP($C$4,Inhalation_Exp[OES],Inhalation_Exp[Data Type])</f>
        <v>Monitoring Data</v>
      </c>
      <c r="H4" s="117"/>
    </row>
    <row r="5" spans="1:163" s="19" customFormat="1">
      <c r="B5" s="28"/>
      <c r="C5" s="35"/>
      <c r="D5" s="35"/>
      <c r="E5" s="35"/>
      <c r="H5" s="21"/>
      <c r="I5" s="106"/>
      <c r="L5" s="35"/>
    </row>
    <row r="6" spans="1:163" ht="13.5">
      <c r="A6" s="19"/>
      <c r="C6" s="20" t="s">
        <v>75</v>
      </c>
      <c r="D6" s="28"/>
      <c r="E6" s="28"/>
      <c r="F6" s="21"/>
      <c r="G6" s="21"/>
      <c r="H6" s="21"/>
      <c r="I6" s="21"/>
      <c r="J6" s="21"/>
      <c r="L6" s="20" t="s">
        <v>67</v>
      </c>
      <c r="N6" s="19"/>
      <c r="O6" s="19"/>
      <c r="P6" s="21"/>
      <c r="Q6" s="21"/>
      <c r="T6" s="20" t="s">
        <v>76</v>
      </c>
      <c r="U6" s="28"/>
      <c r="V6" s="21"/>
      <c r="W6" s="21"/>
      <c r="X6" s="21"/>
      <c r="Y6" s="21"/>
      <c r="Z6" s="19"/>
      <c r="AA6" s="19"/>
      <c r="AB6" s="19"/>
      <c r="AC6" s="19"/>
      <c r="AD6" s="17"/>
      <c r="AE6" s="17"/>
      <c r="AF6" s="17"/>
      <c r="AG6" s="17"/>
      <c r="AH6" s="17"/>
      <c r="AI6" s="17"/>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row>
    <row r="7" spans="1:163" ht="13.5" thickBot="1">
      <c r="A7" s="19"/>
      <c r="C7" s="22" t="s">
        <v>77</v>
      </c>
      <c r="E7" s="14"/>
      <c r="H7" s="107"/>
      <c r="I7" s="107"/>
      <c r="J7" s="108"/>
      <c r="L7" s="22" t="s">
        <v>77</v>
      </c>
      <c r="O7" s="15"/>
      <c r="P7" s="21"/>
      <c r="Q7" s="21"/>
      <c r="T7" s="22" t="s">
        <v>77</v>
      </c>
      <c r="U7" s="14"/>
      <c r="W7" s="107"/>
      <c r="X7" s="107"/>
      <c r="Y7" s="108"/>
      <c r="AD7" s="17"/>
      <c r="AE7" s="17"/>
      <c r="AF7" s="17"/>
      <c r="AG7" s="17"/>
      <c r="AH7" s="17"/>
      <c r="AI7" s="17"/>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row>
    <row r="8" spans="1:163" ht="25.5" customHeight="1">
      <c r="A8" s="19"/>
      <c r="C8" s="506" t="s">
        <v>78</v>
      </c>
      <c r="D8" s="479" t="s">
        <v>79</v>
      </c>
      <c r="E8" s="479" t="s">
        <v>278</v>
      </c>
      <c r="F8" s="479" t="s">
        <v>279</v>
      </c>
      <c r="G8" s="445" t="s">
        <v>80</v>
      </c>
      <c r="H8" s="445" t="s">
        <v>81</v>
      </c>
      <c r="I8" s="445" t="s">
        <v>82</v>
      </c>
      <c r="J8" s="24" t="s">
        <v>83</v>
      </c>
      <c r="K8" s="34"/>
      <c r="L8" s="506" t="s">
        <v>78</v>
      </c>
      <c r="M8" s="510" t="s">
        <v>79</v>
      </c>
      <c r="N8" s="479" t="s">
        <v>280</v>
      </c>
      <c r="O8" s="445" t="s">
        <v>80</v>
      </c>
      <c r="P8" s="445" t="s">
        <v>81</v>
      </c>
      <c r="Q8" s="445" t="s">
        <v>82</v>
      </c>
      <c r="R8" s="24" t="s">
        <v>83</v>
      </c>
      <c r="T8" s="506" t="s">
        <v>78</v>
      </c>
      <c r="U8" s="479" t="s">
        <v>79</v>
      </c>
      <c r="V8" s="445" t="s">
        <v>80</v>
      </c>
      <c r="W8" s="445" t="s">
        <v>84</v>
      </c>
      <c r="X8" s="445" t="s">
        <v>82</v>
      </c>
      <c r="Y8" s="24" t="s">
        <v>83</v>
      </c>
      <c r="Z8" s="34"/>
      <c r="AA8" s="34"/>
      <c r="AB8" s="34"/>
      <c r="AC8" s="34"/>
      <c r="AD8" s="34"/>
      <c r="AE8" s="17"/>
      <c r="AF8" s="17"/>
      <c r="AG8" s="17"/>
      <c r="AH8" s="17"/>
      <c r="AI8" s="17"/>
      <c r="AJ8" s="17"/>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row>
    <row r="9" spans="1:163" ht="51.75" thickBot="1">
      <c r="A9" s="19"/>
      <c r="C9" s="507"/>
      <c r="D9" s="494"/>
      <c r="E9" s="480"/>
      <c r="F9" s="480"/>
      <c r="G9" s="446" t="s">
        <v>85</v>
      </c>
      <c r="H9" s="446" t="s">
        <v>86</v>
      </c>
      <c r="I9" s="446" t="s">
        <v>87</v>
      </c>
      <c r="J9" s="30" t="s">
        <v>88</v>
      </c>
      <c r="K9" s="34"/>
      <c r="L9" s="618"/>
      <c r="M9" s="511"/>
      <c r="N9" s="480"/>
      <c r="O9" s="446" t="s">
        <v>85</v>
      </c>
      <c r="P9" s="446" t="s">
        <v>86</v>
      </c>
      <c r="Q9" s="446" t="s">
        <v>89</v>
      </c>
      <c r="R9" s="30" t="s">
        <v>90</v>
      </c>
      <c r="T9" s="507"/>
      <c r="U9" s="494"/>
      <c r="V9" s="446" t="s">
        <v>91</v>
      </c>
      <c r="W9" s="446" t="s">
        <v>86</v>
      </c>
      <c r="X9" s="446" t="s">
        <v>87</v>
      </c>
      <c r="Y9" s="30" t="s">
        <v>88</v>
      </c>
      <c r="Z9" s="34"/>
      <c r="AA9" s="34"/>
      <c r="AB9" s="34"/>
      <c r="AC9" s="34"/>
      <c r="AD9" s="34"/>
      <c r="AE9" s="17"/>
      <c r="AF9" s="17"/>
      <c r="AG9" s="17"/>
      <c r="AH9" s="17"/>
      <c r="AI9" s="17"/>
      <c r="AJ9" s="17"/>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row>
    <row r="10" spans="1:163" ht="27.75" customHeight="1">
      <c r="A10" s="19"/>
      <c r="C10" s="302" t="s">
        <v>74</v>
      </c>
      <c r="D10" s="615" t="s">
        <v>92</v>
      </c>
      <c r="E10" s="242">
        <f>SUMIFS(Inhalation_Exp[TWA_High-End],Inhalation_Exp[OES],$C$4,Inhalation_Exp[Worker Type],$C10,Inhalation_Exp[Data Type],$D$4)</f>
        <v>8.5000000000000006E-2</v>
      </c>
      <c r="F10" s="242">
        <f>SUMIFS(Inhalation_Exp[Dust_High-End],Inhalation_Exp[OES],$C$4,Inhalation_Exp[Worker Type],$C10,Inhalation_Exp[Data Type],$D$4)</f>
        <v>0</v>
      </c>
      <c r="G10" s="242">
        <f>SUMIFS(Inhalation_Exp[24hr_High-End],Inhalation_Exp[OES],$C$4,Inhalation_Exp[Worker Type],$C10,Inhalation_Exp[Data Type],$D$4)</f>
        <v>1.0625000000000001E-2</v>
      </c>
      <c r="H10" s="242">
        <f>SUMIFS(Inhalation_Exp[Int_High-End],Inhalation_Exp[OES],$C$4,Inhalation_Exp[Worker Type],$C10,Inhalation_Exp[Data Type],$D$4)</f>
        <v>7.7916666666666672E-3</v>
      </c>
      <c r="I10" s="242">
        <f>SUMIFS(Inhalation_Exp[ADD_High-End],Inhalation_Exp[OES],$C$4,Inhalation_Exp[Worker Type],$C10,Inhalation_Exp[Data Type],$D$4)</f>
        <v>7.2773972602739722E-3</v>
      </c>
      <c r="J10" s="240">
        <f>SUMIFS(Inhalation_Exp[LADD_High-End],Inhalation_Exp[OES],$C$4,Inhalation_Exp[Worker Type],$C10,Inhalation_Exp[Data Type],$D$4)</f>
        <v>3.7319985950122936E-3</v>
      </c>
      <c r="K10" s="34"/>
      <c r="L10" s="302" t="s">
        <v>74</v>
      </c>
      <c r="M10" s="615" t="s">
        <v>92</v>
      </c>
      <c r="N10" s="242">
        <f>O10*BW_default</f>
        <v>0.41088000000000002</v>
      </c>
      <c r="O10" s="242">
        <f>SUMIFS(Dermal_Exp[High-End AD (mg/kg-day)],Dermal_Exp[Worker Type],$L10,Dermal_Exp[OES],$C$4)</f>
        <v>5.1359999999999999E-3</v>
      </c>
      <c r="P10" s="242">
        <f>SUMIFS(Dermal_Exp[High-End IADD (mg/kg-day)],Dermal_Exp[Worker Type],$L10,Dermal_Exp[OES],$C$4)</f>
        <v>3.7664E-3</v>
      </c>
      <c r="Q10" s="242">
        <f>SUMIFS(Dermal_Exp[High-End ADD (mg/kg-day)],Dermal_Exp[Worker Type],$L10,Dermal_Exp[OES],$C$4)</f>
        <v>3.5178082191780822E-3</v>
      </c>
      <c r="R10" s="240">
        <f>SUMIFS(Dermal_Exp[High-End LADD (mg/kg-day)],Dermal_Exp[Worker Type],$L10,Dermal_Exp[OES],$C$4)</f>
        <v>1.804004214963119E-3</v>
      </c>
      <c r="T10" s="302" t="s">
        <v>74</v>
      </c>
      <c r="U10" s="615" t="s">
        <v>92</v>
      </c>
      <c r="V10" s="242">
        <f>O10+G10</f>
        <v>1.5761000000000001E-2</v>
      </c>
      <c r="W10" s="242">
        <f>P10+H10</f>
        <v>1.1558066666666667E-2</v>
      </c>
      <c r="X10" s="242">
        <f>Q10+I10</f>
        <v>1.0795205479452055E-2</v>
      </c>
      <c r="Y10" s="240">
        <f>R10+J10</f>
        <v>5.5360028099754131E-3</v>
      </c>
      <c r="Z10" s="34"/>
      <c r="AA10" s="34"/>
      <c r="AB10" s="34"/>
      <c r="AC10" s="34"/>
      <c r="AD10" s="34"/>
      <c r="AE10" s="17"/>
      <c r="AF10" s="17"/>
      <c r="AG10" s="17"/>
      <c r="AH10" s="17"/>
      <c r="AI10" s="17"/>
      <c r="AJ10" s="17"/>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row>
    <row r="11" spans="1:163" ht="15" customHeight="1">
      <c r="A11" s="19"/>
      <c r="C11" s="303" t="s">
        <v>206</v>
      </c>
      <c r="D11" s="616"/>
      <c r="E11" s="282">
        <f>SUMIFS(Inhalation_Exp[TWA_High-End],Inhalation_Exp[OES],$C$4,Inhalation_Exp[Worker Type],$C11,Inhalation_Exp[Data Type],$D$4)</f>
        <v>8.5000000000000006E-2</v>
      </c>
      <c r="F11" s="282">
        <f>SUMIFS(Inhalation_Exp[Dust_High-End],Inhalation_Exp[OES],$C$4,Inhalation_Exp[Worker Type],$C11,Inhalation_Exp[Data Type],$D$4)</f>
        <v>0</v>
      </c>
      <c r="G11" s="282">
        <f>SUMIFS(Inhalation_Exp[24hr_High-End],Inhalation_Exp[OES],$C$4,Inhalation_Exp[Worker Type],$C11,Inhalation_Exp[Data Type],$D$4)</f>
        <v>1.1736278909216431E-2</v>
      </c>
      <c r="H11" s="282">
        <f>SUMIFS(Inhalation_Exp[Int_High-End],Inhalation_Exp[OES],$C$4,Inhalation_Exp[Worker Type],$C11,Inhalation_Exp[Data Type],$D$4)</f>
        <v>8.6066045334253823E-3</v>
      </c>
      <c r="I11" s="282">
        <f>SUMIFS(Inhalation_Exp[ADD_High-End],Inhalation_Exp[OES],$C$4,Inhalation_Exp[Worker Type],$C11,Inhalation_Exp[Data Type],$D$4)</f>
        <v>8.0385471980934462E-3</v>
      </c>
      <c r="J11" s="301">
        <f>SUMIFS(Inhalation_Exp[LADD_High-End],Inhalation_Exp[OES],$C$4,Inhalation_Exp[Worker Type],$C11,Inhalation_Exp[Data Type],$D$4)</f>
        <v>4.1223318964581776E-3</v>
      </c>
      <c r="K11" s="59"/>
      <c r="L11" s="303" t="s">
        <v>206</v>
      </c>
      <c r="M11" s="616"/>
      <c r="N11" s="282">
        <f>O11*BW_F</f>
        <v>0.34176000000000001</v>
      </c>
      <c r="O11" s="282">
        <f>SUMIFS(Dermal_Exp[High-End AD (mg/kg-day)],Dermal_Exp[Worker Type],$L11,Dermal_Exp[OES],$C$4)</f>
        <v>4.718812564722126E-3</v>
      </c>
      <c r="P11" s="282">
        <f>SUMIFS(Dermal_Exp[High-End IADD (mg/kg-day)],Dermal_Exp[Worker Type],$L11,Dermal_Exp[OES],$C$4)</f>
        <v>3.4604625474628924E-3</v>
      </c>
      <c r="Q11" s="282">
        <f>SUMIFS(Dermal_Exp[High-End ADD (mg/kg-day)],Dermal_Exp[Worker Type],$L11,Dermal_Exp[OES],$C$4)</f>
        <v>3.2320634004946065E-3</v>
      </c>
      <c r="R11" s="301">
        <f>SUMIFS(Dermal_Exp[High-End LADD (mg/kg-day)],Dermal_Exp[Worker Type],$L11,Dermal_Exp[OES],$C$4)</f>
        <v>1.6574684105100546E-3</v>
      </c>
      <c r="T11" s="303" t="s">
        <v>206</v>
      </c>
      <c r="U11" s="616"/>
      <c r="V11" s="282">
        <f t="shared" ref="V11:Y12" si="0">G11+O11</f>
        <v>1.6455091473938557E-2</v>
      </c>
      <c r="W11" s="282">
        <f t="shared" si="0"/>
        <v>1.2067067080888274E-2</v>
      </c>
      <c r="X11" s="282">
        <f>I11+Q11</f>
        <v>1.1270610598588053E-2</v>
      </c>
      <c r="Y11" s="301">
        <f t="shared" si="0"/>
        <v>5.779800306968232E-3</v>
      </c>
      <c r="Z11" s="59"/>
      <c r="AA11" s="59"/>
      <c r="AB11" s="59"/>
      <c r="AC11" s="59"/>
      <c r="AD11" s="59"/>
      <c r="AE11" s="17"/>
      <c r="AF11" s="17"/>
      <c r="AG11" s="17"/>
      <c r="AH11" s="17"/>
      <c r="AI11" s="17"/>
      <c r="AJ11" s="17"/>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row>
    <row r="12" spans="1:163" ht="15.75" customHeight="1" thickBot="1">
      <c r="A12" s="19"/>
      <c r="C12" s="32" t="s">
        <v>94</v>
      </c>
      <c r="D12" s="617"/>
      <c r="E12" s="243">
        <f>SUMIFS(Inhalation_Exp[TWA_High-End],Inhalation_Exp[OES],$C$4,Inhalation_Exp[Worker Type],$C12,Inhalation_Exp[Data Type],$D$4)</f>
        <v>8.5000000000000006E-2</v>
      </c>
      <c r="F12" s="243">
        <f>SUMIFS(Inhalation_Exp[Dust_High-End],Inhalation_Exp[OES],$C$4,Inhalation_Exp[Worker Type],$C12,Inhalation_Exp[Data Type],$D$4)</f>
        <v>0</v>
      </c>
      <c r="G12" s="243">
        <f>SUMIFS(Inhalation_Exp[24hr_High-End],Inhalation_Exp[OES],$C$4,Inhalation_Exp[Worker Type],$C12,Inhalation_Exp[Data Type],$D$4)</f>
        <v>1.0625000000000001E-2</v>
      </c>
      <c r="H12" s="243">
        <f>SUMIFS(Inhalation_Exp[Int_High-End],Inhalation_Exp[OES],$C$4,Inhalation_Exp[Worker Type],$C12,Inhalation_Exp[Data Type],$D$4)</f>
        <v>7.7916666666666672E-3</v>
      </c>
      <c r="I12" s="243">
        <f>SUMIFS(Inhalation_Exp[ADD_High-End],Inhalation_Exp[OES],$C$4,Inhalation_Exp[Worker Type],$C12,Inhalation_Exp[Data Type],$D$4)</f>
        <v>7.2773972602739722E-3</v>
      </c>
      <c r="J12" s="241">
        <f>SUMIFS(Inhalation_Exp[LADD_High-End],Inhalation_Exp[OES],$C$4,Inhalation_Exp[Worker Type],$C12,Inhalation_Exp[Data Type],$D$4)</f>
        <v>3.7319985950122936E-3</v>
      </c>
      <c r="K12" s="59"/>
      <c r="L12" s="32" t="s">
        <v>94</v>
      </c>
      <c r="M12" s="617"/>
      <c r="N12" s="243">
        <f>O12*BW_default</f>
        <v>0.20544000000000001</v>
      </c>
      <c r="O12" s="243">
        <f>SUMIFS(Dermal_Exp[High-End AD (mg/kg-day)],Dermal_Exp[Worker Type],$L12,Dermal_Exp[OES],$C$4)</f>
        <v>2.568E-3</v>
      </c>
      <c r="P12" s="243">
        <f>SUMIFS(Dermal_Exp[High-End IADD (mg/kg-day)],Dermal_Exp[Worker Type],$L12,Dermal_Exp[OES],$C$4)</f>
        <v>1.8832E-3</v>
      </c>
      <c r="Q12" s="243">
        <f>SUMIFS(Dermal_Exp[High-End ADD (mg/kg-day)],Dermal_Exp[Worker Type],$L12,Dermal_Exp[OES],$C$4)</f>
        <v>1.7589041095890411E-3</v>
      </c>
      <c r="R12" s="241">
        <f>SUMIFS(Dermal_Exp[High-End LADD (mg/kg-day)],Dermal_Exp[Worker Type],$L12,Dermal_Exp[OES],$C$4)</f>
        <v>9.0200210748155952E-4</v>
      </c>
      <c r="T12" s="32" t="s">
        <v>94</v>
      </c>
      <c r="U12" s="617"/>
      <c r="V12" s="243">
        <f t="shared" si="0"/>
        <v>1.3193E-2</v>
      </c>
      <c r="W12" s="243">
        <f t="shared" si="0"/>
        <v>9.674866666666667E-3</v>
      </c>
      <c r="X12" s="243">
        <f t="shared" si="0"/>
        <v>9.0363013698630135E-3</v>
      </c>
      <c r="Y12" s="241">
        <f t="shared" si="0"/>
        <v>4.6340007024938531E-3</v>
      </c>
      <c r="Z12" s="59"/>
      <c r="AA12" s="59"/>
      <c r="AB12" s="59"/>
      <c r="AC12" s="59"/>
      <c r="AD12" s="59"/>
      <c r="AE12" s="17"/>
      <c r="AF12" s="17"/>
      <c r="AG12" s="17"/>
      <c r="AH12" s="17"/>
      <c r="AI12" s="17"/>
      <c r="AJ12" s="17"/>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row>
    <row r="13" spans="1:163" ht="15.75" customHeight="1">
      <c r="A13" s="19"/>
      <c r="C13" s="298" t="s">
        <v>74</v>
      </c>
      <c r="D13" s="615" t="s">
        <v>93</v>
      </c>
      <c r="E13" s="299">
        <f>SUMIFS(Inhalation_Exp[TWA_Central Tendency],Inhalation_Exp[OES],$C$4,Inhalation_Exp[Worker Type],$C10,Inhalation_Exp[Data Type],$D$4)</f>
        <v>8.5000000000000006E-2</v>
      </c>
      <c r="F13" s="299">
        <f>SUMIFS(Inhalation_Exp[Dust_Central Tendency],Inhalation_Exp[OES],$C$4,Inhalation_Exp[Worker Type],$C10,Inhalation_Exp[Data Type],$D$4)</f>
        <v>0</v>
      </c>
      <c r="G13" s="299">
        <f>SUMIFS(Inhalation_Exp[24hr_Central Tendency],Inhalation_Exp[OES],$C$4,Inhalation_Exp[Worker Type],$C13,Inhalation_Exp[Data Type],$D$4)</f>
        <v>1.0625000000000001E-2</v>
      </c>
      <c r="H13" s="299">
        <f>SUMIFS(Inhalation_Exp[Int_Central Tendency],Inhalation_Exp[OES],$C$4,Inhalation_Exp[Worker Type],$C13,Inhalation_Exp[Data Type],$D$4)</f>
        <v>7.7916666666666672E-3</v>
      </c>
      <c r="I13" s="299">
        <f>SUMIFS(Inhalation_Exp[ADD_Central Tendency],Inhalation_Exp[OES],$C$4,Inhalation_Exp[Worker Type],$C13,Inhalation_Exp[Data Type],$D$4)</f>
        <v>7.2773972602739722E-3</v>
      </c>
      <c r="J13" s="300">
        <f>SUMIFS(Inhalation_Exp[LADD_Central Tendency],Inhalation_Exp[OES],$C$4,Inhalation_Exp[Worker Type],$C13,Inhalation_Exp[Data Type],$D$4)</f>
        <v>2.8922989111345274E-3</v>
      </c>
      <c r="K13" s="59"/>
      <c r="L13" s="303" t="s">
        <v>74</v>
      </c>
      <c r="M13" s="615" t="s">
        <v>93</v>
      </c>
      <c r="N13" s="242">
        <f>O13*BW_default</f>
        <v>0.20544000000000001</v>
      </c>
      <c r="O13" s="242">
        <f>SUMIFS(Dermal_Exp[Central Tendency AD (mg/kg-day)],Dermal_Exp[Worker Type],$L13,Dermal_Exp[OES],$C$4)</f>
        <v>2.568E-3</v>
      </c>
      <c r="P13" s="242">
        <f>SUMIFS(Dermal_Exp[Central Tendency IADD (mg/kg-day)],Dermal_Exp[Worker Type],$L13,Dermal_Exp[OES],$C$4)</f>
        <v>1.8832E-3</v>
      </c>
      <c r="Q13" s="242">
        <f>SUMIFS(Dermal_Exp[Central Tendency ADD (mg/kg-day)],Dermal_Exp[Worker Type],$L13,Dermal_Exp[OES],$C$4)</f>
        <v>1.7589041095890411E-3</v>
      </c>
      <c r="R13" s="240">
        <f>SUMIFS(Dermal_Exp[Central Tendency LADD (mg/kg-day)],Dermal_Exp[Worker Type],$L13,Dermal_Exp[OES],$C$4)</f>
        <v>6.990516332982087E-4</v>
      </c>
      <c r="T13" s="303" t="s">
        <v>74</v>
      </c>
      <c r="U13" s="615" t="s">
        <v>93</v>
      </c>
      <c r="V13" s="299">
        <f>O13+G13</f>
        <v>1.3193E-2</v>
      </c>
      <c r="W13" s="299">
        <f>P13+H13</f>
        <v>9.674866666666667E-3</v>
      </c>
      <c r="X13" s="299">
        <f>Q13+I13</f>
        <v>9.0363013698630135E-3</v>
      </c>
      <c r="Y13" s="300">
        <f>R13+J13</f>
        <v>3.591350544432736E-3</v>
      </c>
      <c r="Z13" s="59"/>
      <c r="AA13" s="59"/>
      <c r="AB13" s="59"/>
      <c r="AC13" s="59"/>
      <c r="AD13" s="59"/>
      <c r="AE13" s="17"/>
      <c r="AF13" s="17"/>
      <c r="AG13" s="17"/>
      <c r="AH13" s="17"/>
      <c r="AI13" s="17"/>
      <c r="AJ13" s="17"/>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row>
    <row r="14" spans="1:163" ht="15" customHeight="1">
      <c r="A14" s="19"/>
      <c r="C14" s="303" t="s">
        <v>206</v>
      </c>
      <c r="D14" s="616"/>
      <c r="E14" s="282">
        <f>SUMIFS(Inhalation_Exp[TWA_Central Tendency],Inhalation_Exp[OES],$C$4,Inhalation_Exp[Worker Type],$C11,Inhalation_Exp[Data Type],$D$4)</f>
        <v>8.5000000000000006E-2</v>
      </c>
      <c r="F14" s="282">
        <f>SUMIFS(Inhalation_Exp[Dust_Central Tendency],Inhalation_Exp[OES],$C$4,Inhalation_Exp[Worker Type],$C11,Inhalation_Exp[Data Type],$D$4)</f>
        <v>0</v>
      </c>
      <c r="G14" s="282">
        <f>SUMIFS(Inhalation_Exp[24hr_Central Tendency],Inhalation_Exp[OES],$C$4,Inhalation_Exp[Worker Type],$C14,Inhalation_Exp[Data Type],$D$4)</f>
        <v>1.1736278909216431E-2</v>
      </c>
      <c r="H14" s="282">
        <f>SUMIFS(Inhalation_Exp[Int_Central Tendency],Inhalation_Exp[OES],$C$4,Inhalation_Exp[Worker Type],$C14,Inhalation_Exp[Data Type],$D$4)</f>
        <v>8.6066045334253823E-3</v>
      </c>
      <c r="I14" s="282">
        <f>SUMIFS(Inhalation_Exp[ADD_Central Tendency],Inhalation_Exp[OES],$C$4,Inhalation_Exp[Worker Type],$C14,Inhalation_Exp[Data Type],$D$4)</f>
        <v>8.0385471980934462E-3</v>
      </c>
      <c r="J14" s="301">
        <f>SUMIFS(Inhalation_Exp[LADD_Central Tendency],Inhalation_Exp[OES],$C$4,Inhalation_Exp[Worker Type],$C14,Inhalation_Exp[Data Type],$D$4)</f>
        <v>3.1948072197550874E-3</v>
      </c>
      <c r="K14" s="59"/>
      <c r="L14" s="303" t="s">
        <v>206</v>
      </c>
      <c r="M14" s="616"/>
      <c r="N14" s="282">
        <f>O14*BW_F</f>
        <v>0.17088</v>
      </c>
      <c r="O14" s="282">
        <f>SUMIFS(Dermal_Exp[Central Tendency AD (mg/kg-day)],Dermal_Exp[Worker Type],$L14,Dermal_Exp[OES],$C$4)</f>
        <v>2.359406282361063E-3</v>
      </c>
      <c r="P14" s="282">
        <f>SUMIFS(Dermal_Exp[Central Tendency IADD (mg/kg-day)],Dermal_Exp[Worker Type],$L14,Dermal_Exp[OES],$C$4)</f>
        <v>1.7302312737314462E-3</v>
      </c>
      <c r="Q14" s="282">
        <f>SUMIFS(Dermal_Exp[Central Tendency ADD (mg/kg-day)],Dermal_Exp[Worker Type],$L14,Dermal_Exp[OES],$C$4)</f>
        <v>1.6160317002473033E-3</v>
      </c>
      <c r="R14" s="301">
        <f>SUMIFS(Dermal_Exp[Central Tendency LADD (mg/kg-day)],Dermal_Exp[Worker Type],$L14,Dermal_Exp[OES],$C$4)</f>
        <v>6.4226900907264617E-4</v>
      </c>
      <c r="T14" s="303" t="s">
        <v>206</v>
      </c>
      <c r="U14" s="616"/>
      <c r="V14" s="282">
        <f t="shared" ref="V14:Y15" si="1">G14+O14</f>
        <v>1.4095685191577494E-2</v>
      </c>
      <c r="W14" s="282">
        <f t="shared" si="1"/>
        <v>1.0336835807156828E-2</v>
      </c>
      <c r="X14" s="282">
        <f t="shared" si="1"/>
        <v>9.6545788983407495E-3</v>
      </c>
      <c r="Y14" s="301">
        <f t="shared" si="1"/>
        <v>3.8370762288277337E-3</v>
      </c>
      <c r="Z14" s="59"/>
      <c r="AA14" s="59"/>
      <c r="AB14" s="59"/>
      <c r="AC14" s="59"/>
      <c r="AD14" s="59"/>
      <c r="AE14" s="17"/>
      <c r="AF14" s="17"/>
      <c r="AG14" s="17"/>
      <c r="AH14" s="17"/>
      <c r="AI14" s="17"/>
      <c r="AJ14" s="17"/>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row>
    <row r="15" spans="1:163" ht="15.75" customHeight="1" thickBot="1">
      <c r="A15" s="19"/>
      <c r="C15" s="32" t="s">
        <v>94</v>
      </c>
      <c r="D15" s="617"/>
      <c r="E15" s="243">
        <f>SUMIFS(Inhalation_Exp[TWA_Central Tendency],Inhalation_Exp[OES],$C$4,Inhalation_Exp[Worker Type],$C12,Inhalation_Exp[Data Type],$D$4)</f>
        <v>8.5000000000000006E-2</v>
      </c>
      <c r="F15" s="243">
        <f>SUMIFS(Inhalation_Exp[Dust_Central Tendency],Inhalation_Exp[OES],$C$4,Inhalation_Exp[Worker Type],$C12,Inhalation_Exp[Data Type],$D$4)</f>
        <v>0</v>
      </c>
      <c r="G15" s="243">
        <f>SUMIFS(Inhalation_Exp[24hr_Central Tendency],Inhalation_Exp[OES],$C$4,Inhalation_Exp[Worker Type],$C15,Inhalation_Exp[Data Type],$D$4)</f>
        <v>1.0625000000000001E-2</v>
      </c>
      <c r="H15" s="243">
        <f>SUMIFS(Inhalation_Exp[Int_Central Tendency],Inhalation_Exp[OES],$C$4,Inhalation_Exp[Worker Type],$C15,Inhalation_Exp[Data Type],$D$4)</f>
        <v>7.7916666666666672E-3</v>
      </c>
      <c r="I15" s="243">
        <f>SUMIFS(Inhalation_Exp[ADD_Central Tendency],Inhalation_Exp[OES],$C$4,Inhalation_Exp[Worker Type],$C15,Inhalation_Exp[Data Type],$D$4)</f>
        <v>7.2773972602739722E-3</v>
      </c>
      <c r="J15" s="241">
        <f>SUMIFS(Inhalation_Exp[LADD_Central Tendency],Inhalation_Exp[OES],$C$4,Inhalation_Exp[Worker Type],$C15,Inhalation_Exp[Data Type],$D$4)</f>
        <v>2.8922989111345274E-3</v>
      </c>
      <c r="K15" s="59"/>
      <c r="L15" s="32" t="s">
        <v>94</v>
      </c>
      <c r="M15" s="617"/>
      <c r="N15" s="243">
        <f>O15*BW_default</f>
        <v>0.20544000000000001</v>
      </c>
      <c r="O15" s="243">
        <f>SUMIFS(Dermal_Exp[Central Tendency AD (mg/kg-day)],Dermal_Exp[Worker Type],$L15,Dermal_Exp[OES],$C$4)</f>
        <v>2.568E-3</v>
      </c>
      <c r="P15" s="243">
        <f>SUMIFS(Dermal_Exp[Central Tendency IADD (mg/kg-day)],Dermal_Exp[Worker Type],$L15,Dermal_Exp[OES],$C$4)</f>
        <v>1.8832E-3</v>
      </c>
      <c r="Q15" s="243">
        <f>SUMIFS(Dermal_Exp[Central Tendency ADD (mg/kg-day)],Dermal_Exp[Worker Type],$L15,Dermal_Exp[OES],$C$4)</f>
        <v>1.7589041095890411E-3</v>
      </c>
      <c r="R15" s="241">
        <f>SUMIFS(Dermal_Exp[Central Tendency LADD (mg/kg-day)],Dermal_Exp[Worker Type],$L15,Dermal_Exp[OES],$C$4)</f>
        <v>6.990516332982087E-4</v>
      </c>
      <c r="S15" s="255"/>
      <c r="T15" s="32" t="s">
        <v>94</v>
      </c>
      <c r="U15" s="617"/>
      <c r="V15" s="243">
        <f t="shared" si="1"/>
        <v>1.3193E-2</v>
      </c>
      <c r="W15" s="243">
        <f t="shared" si="1"/>
        <v>9.674866666666667E-3</v>
      </c>
      <c r="X15" s="243">
        <f t="shared" si="1"/>
        <v>9.0363013698630135E-3</v>
      </c>
      <c r="Y15" s="241">
        <f t="shared" si="1"/>
        <v>3.591350544432736E-3</v>
      </c>
      <c r="Z15" s="59"/>
      <c r="AA15" s="59"/>
      <c r="AB15" s="59"/>
      <c r="AC15" s="59"/>
      <c r="AD15" s="59"/>
      <c r="AE15" s="17"/>
      <c r="AF15" s="17"/>
      <c r="AG15" s="17"/>
      <c r="AH15" s="17"/>
      <c r="AI15" s="17"/>
      <c r="AJ15" s="17"/>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row>
    <row r="16" spans="1:163" s="3" customFormat="1">
      <c r="A16" s="19"/>
      <c r="B16" s="17"/>
      <c r="C16" s="36"/>
      <c r="D16" s="36"/>
      <c r="E16" s="34"/>
      <c r="F16" s="34"/>
      <c r="G16" s="34"/>
      <c r="H16" s="34"/>
      <c r="I16" s="106"/>
      <c r="J16" s="17"/>
      <c r="K16" s="14"/>
      <c r="L16" s="17"/>
      <c r="M16" s="17"/>
      <c r="N16" s="17"/>
      <c r="O16" s="17"/>
      <c r="P16" s="17"/>
      <c r="Q16" s="17"/>
      <c r="R16" s="17"/>
      <c r="S16" s="19"/>
      <c r="T16" s="19"/>
      <c r="U16" s="19"/>
      <c r="V16" s="19"/>
      <c r="W16" s="19"/>
      <c r="X16" s="19"/>
      <c r="Y16" s="19"/>
      <c r="Z16" s="19"/>
      <c r="AA16" s="19"/>
      <c r="AB16" s="19"/>
      <c r="AC16" s="17"/>
      <c r="AD16" s="17"/>
      <c r="AE16" s="17"/>
      <c r="AF16" s="17"/>
      <c r="AG16" s="17"/>
      <c r="AH16" s="17"/>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row>
    <row r="17" spans="1:163" s="360" customFormat="1" ht="14.45" customHeight="1">
      <c r="A17" s="356"/>
      <c r="B17" s="357"/>
      <c r="C17" s="353" t="s">
        <v>281</v>
      </c>
      <c r="D17" s="350" t="s">
        <v>282</v>
      </c>
      <c r="E17" s="354" t="s">
        <v>93</v>
      </c>
      <c r="F17" s="355" t="s">
        <v>283</v>
      </c>
      <c r="G17" s="358"/>
      <c r="H17" s="358"/>
      <c r="I17" s="359"/>
      <c r="J17" s="357"/>
      <c r="K17" s="357"/>
      <c r="L17" s="349" t="s">
        <v>281</v>
      </c>
      <c r="M17" s="350" t="s">
        <v>282</v>
      </c>
      <c r="N17" s="350" t="s">
        <v>93</v>
      </c>
      <c r="O17" s="351" t="s">
        <v>283</v>
      </c>
      <c r="P17" s="357"/>
      <c r="Q17" s="357"/>
      <c r="R17" s="357"/>
      <c r="S17" s="357"/>
      <c r="T17" s="296" t="s">
        <v>281</v>
      </c>
      <c r="U17" s="297" t="s">
        <v>282</v>
      </c>
      <c r="V17" s="297" t="s">
        <v>93</v>
      </c>
      <c r="W17" s="297" t="s">
        <v>283</v>
      </c>
      <c r="X17" s="356"/>
      <c r="Y17" s="356"/>
      <c r="Z17" s="356"/>
      <c r="AA17" s="356"/>
      <c r="AB17" s="356"/>
      <c r="AC17" s="357"/>
      <c r="AD17" s="357"/>
      <c r="AE17" s="357"/>
      <c r="AF17" s="357"/>
      <c r="AG17" s="357"/>
      <c r="AH17" s="357"/>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6"/>
      <c r="BF17" s="356"/>
      <c r="BG17" s="356"/>
      <c r="BH17" s="356"/>
      <c r="BI17" s="356"/>
      <c r="BJ17" s="356"/>
      <c r="BK17" s="356"/>
      <c r="BL17" s="356"/>
      <c r="BM17" s="356"/>
      <c r="BN17" s="356"/>
      <c r="BO17" s="356"/>
      <c r="BP17" s="356"/>
      <c r="BQ17" s="356"/>
      <c r="BR17" s="357"/>
      <c r="BS17" s="357"/>
      <c r="BT17" s="357"/>
      <c r="BU17" s="357"/>
      <c r="BV17" s="357"/>
      <c r="BW17" s="357"/>
      <c r="BX17" s="357"/>
      <c r="BY17" s="357"/>
      <c r="BZ17" s="357"/>
      <c r="CA17" s="357"/>
      <c r="CB17" s="357"/>
      <c r="CC17" s="357"/>
      <c r="CD17" s="357"/>
      <c r="CE17" s="357"/>
      <c r="CF17" s="357"/>
      <c r="CG17" s="357"/>
      <c r="CH17" s="357"/>
      <c r="CI17" s="357"/>
      <c r="CJ17" s="357"/>
      <c r="CK17" s="357"/>
      <c r="CL17" s="357"/>
      <c r="CM17" s="357"/>
      <c r="CN17" s="357"/>
      <c r="CO17" s="357"/>
      <c r="CP17" s="357"/>
      <c r="CQ17" s="357"/>
      <c r="CR17" s="357"/>
      <c r="CS17" s="357"/>
      <c r="CT17" s="357"/>
      <c r="CU17" s="357"/>
      <c r="CV17" s="357"/>
      <c r="CW17" s="357"/>
      <c r="CX17" s="357"/>
      <c r="CY17" s="357"/>
      <c r="CZ17" s="357"/>
      <c r="DA17" s="357"/>
      <c r="DB17" s="357"/>
      <c r="DC17" s="357"/>
      <c r="DD17" s="357"/>
      <c r="DE17" s="357"/>
      <c r="DF17" s="357"/>
      <c r="DG17" s="357"/>
      <c r="DH17" s="357"/>
      <c r="DI17" s="357"/>
      <c r="DJ17" s="357"/>
      <c r="DK17" s="357"/>
      <c r="DL17" s="357"/>
      <c r="DM17" s="357"/>
      <c r="DN17" s="357"/>
      <c r="DO17" s="357"/>
      <c r="DP17" s="357"/>
      <c r="DQ17" s="357"/>
      <c r="DR17" s="357"/>
      <c r="DS17" s="357"/>
      <c r="DT17" s="357"/>
      <c r="DU17" s="357"/>
      <c r="DV17" s="357"/>
      <c r="DW17" s="357"/>
      <c r="DX17" s="357"/>
      <c r="DY17" s="357"/>
      <c r="DZ17" s="357"/>
      <c r="EA17" s="357"/>
      <c r="EB17" s="357"/>
      <c r="EC17" s="357"/>
      <c r="ED17" s="357"/>
      <c r="EE17" s="357"/>
      <c r="EF17" s="357"/>
      <c r="EG17" s="357"/>
      <c r="EH17" s="357"/>
      <c r="EI17" s="357"/>
      <c r="EJ17" s="357"/>
      <c r="EK17" s="357"/>
      <c r="EL17" s="357"/>
      <c r="EM17" s="357"/>
      <c r="EN17" s="357"/>
      <c r="EO17" s="357"/>
      <c r="EP17" s="357"/>
      <c r="EQ17" s="357"/>
      <c r="ER17" s="357"/>
      <c r="ES17" s="357"/>
      <c r="ET17" s="357"/>
      <c r="EU17" s="357"/>
      <c r="EV17" s="357"/>
      <c r="EW17" s="357"/>
      <c r="EX17" s="357"/>
      <c r="EY17" s="357"/>
      <c r="EZ17" s="357"/>
      <c r="FA17" s="357"/>
      <c r="FB17" s="357"/>
      <c r="FC17" s="357"/>
      <c r="FD17" s="357"/>
      <c r="FE17" s="357"/>
      <c r="FF17" s="357"/>
      <c r="FG17" s="357"/>
    </row>
    <row r="18" spans="1:163" s="360" customFormat="1" ht="14.45" customHeight="1">
      <c r="A18" s="356"/>
      <c r="B18" s="357"/>
      <c r="C18" s="613" t="s">
        <v>74</v>
      </c>
      <c r="D18" s="304" t="s">
        <v>284</v>
      </c>
      <c r="E18" s="361">
        <f>E13</f>
        <v>8.5000000000000006E-2</v>
      </c>
      <c r="F18" s="362">
        <f>E10</f>
        <v>8.5000000000000006E-2</v>
      </c>
      <c r="G18" s="358"/>
      <c r="H18" s="358"/>
      <c r="I18" s="359"/>
      <c r="J18" s="357"/>
      <c r="K18" s="357"/>
      <c r="L18" s="621" t="s">
        <v>74</v>
      </c>
      <c r="M18" s="304" t="s">
        <v>285</v>
      </c>
      <c r="N18" s="363">
        <f>N13</f>
        <v>0.20544000000000001</v>
      </c>
      <c r="O18" s="364">
        <f>N10</f>
        <v>0.41088000000000002</v>
      </c>
      <c r="P18" s="357"/>
      <c r="Q18" s="357"/>
      <c r="R18" s="357"/>
      <c r="S18" s="357"/>
      <c r="T18" s="620" t="s">
        <v>74</v>
      </c>
      <c r="U18" s="459" t="s">
        <v>286</v>
      </c>
      <c r="V18" s="365">
        <f>V13</f>
        <v>1.3193E-2</v>
      </c>
      <c r="W18" s="365">
        <f>V10</f>
        <v>1.5761000000000001E-2</v>
      </c>
      <c r="X18" s="356"/>
      <c r="Y18" s="356"/>
      <c r="Z18" s="356"/>
      <c r="AA18" s="356"/>
      <c r="AB18" s="356"/>
      <c r="AC18" s="357"/>
      <c r="AD18" s="357"/>
      <c r="AE18" s="357"/>
      <c r="AF18" s="357"/>
      <c r="AG18" s="357"/>
      <c r="AH18" s="357"/>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6"/>
      <c r="BF18" s="356"/>
      <c r="BG18" s="356"/>
      <c r="BH18" s="356"/>
      <c r="BI18" s="356"/>
      <c r="BJ18" s="356"/>
      <c r="BK18" s="356"/>
      <c r="BL18" s="356"/>
      <c r="BM18" s="356"/>
      <c r="BN18" s="356"/>
      <c r="BO18" s="356"/>
      <c r="BP18" s="356"/>
      <c r="BQ18" s="356"/>
      <c r="BR18" s="357"/>
      <c r="BS18" s="357"/>
      <c r="BT18" s="357"/>
      <c r="BU18" s="357"/>
      <c r="BV18" s="357"/>
      <c r="BW18" s="357"/>
      <c r="BX18" s="357"/>
      <c r="BY18" s="357"/>
      <c r="BZ18" s="357"/>
      <c r="CA18" s="357"/>
      <c r="CB18" s="357"/>
      <c r="CC18" s="357"/>
      <c r="CD18" s="357"/>
      <c r="CE18" s="357"/>
      <c r="CF18" s="357"/>
      <c r="CG18" s="357"/>
      <c r="CH18" s="357"/>
      <c r="CI18" s="357"/>
      <c r="CJ18" s="357"/>
      <c r="CK18" s="357"/>
      <c r="CL18" s="357"/>
      <c r="CM18" s="357"/>
      <c r="CN18" s="357"/>
      <c r="CO18" s="357"/>
      <c r="CP18" s="357"/>
      <c r="CQ18" s="357"/>
      <c r="CR18" s="357"/>
      <c r="CS18" s="357"/>
      <c r="CT18" s="357"/>
      <c r="CU18" s="357"/>
      <c r="CV18" s="357"/>
      <c r="CW18" s="357"/>
      <c r="CX18" s="357"/>
      <c r="CY18" s="357"/>
      <c r="CZ18" s="357"/>
      <c r="DA18" s="357"/>
      <c r="DB18" s="357"/>
      <c r="DC18" s="357"/>
      <c r="DD18" s="357"/>
      <c r="DE18" s="357"/>
      <c r="DF18" s="357"/>
      <c r="DG18" s="357"/>
      <c r="DH18" s="357"/>
      <c r="DI18" s="357"/>
      <c r="DJ18" s="357"/>
      <c r="DK18" s="357"/>
      <c r="DL18" s="357"/>
      <c r="DM18" s="357"/>
      <c r="DN18" s="357"/>
      <c r="DO18" s="357"/>
      <c r="DP18" s="357"/>
      <c r="DQ18" s="357"/>
      <c r="DR18" s="357"/>
      <c r="DS18" s="357"/>
      <c r="DT18" s="357"/>
      <c r="DU18" s="357"/>
      <c r="DV18" s="357"/>
      <c r="DW18" s="357"/>
      <c r="DX18" s="357"/>
      <c r="DY18" s="357"/>
      <c r="DZ18" s="357"/>
      <c r="EA18" s="357"/>
      <c r="EB18" s="357"/>
      <c r="EC18" s="357"/>
      <c r="ED18" s="357"/>
      <c r="EE18" s="357"/>
      <c r="EF18" s="357"/>
      <c r="EG18" s="357"/>
      <c r="EH18" s="357"/>
      <c r="EI18" s="357"/>
      <c r="EJ18" s="357"/>
      <c r="EK18" s="357"/>
      <c r="EL18" s="357"/>
      <c r="EM18" s="357"/>
      <c r="EN18" s="357"/>
      <c r="EO18" s="357"/>
      <c r="EP18" s="357"/>
      <c r="EQ18" s="357"/>
      <c r="ER18" s="357"/>
      <c r="ES18" s="357"/>
      <c r="ET18" s="357"/>
      <c r="EU18" s="357"/>
      <c r="EV18" s="357"/>
      <c r="EW18" s="357"/>
      <c r="EX18" s="357"/>
      <c r="EY18" s="357"/>
      <c r="EZ18" s="357"/>
      <c r="FA18" s="357"/>
      <c r="FB18" s="357"/>
      <c r="FC18" s="357"/>
      <c r="FD18" s="357"/>
      <c r="FE18" s="357"/>
      <c r="FF18" s="357"/>
      <c r="FG18" s="357"/>
    </row>
    <row r="19" spans="1:163" s="360" customFormat="1" ht="14.45" customHeight="1">
      <c r="A19" s="356"/>
      <c r="B19" s="357"/>
      <c r="C19" s="613"/>
      <c r="D19" s="460" t="s">
        <v>287</v>
      </c>
      <c r="E19" s="366">
        <f>F13</f>
        <v>0</v>
      </c>
      <c r="F19" s="367">
        <f>F10</f>
        <v>0</v>
      </c>
      <c r="G19" s="358"/>
      <c r="H19" s="358"/>
      <c r="I19" s="359"/>
      <c r="J19" s="357"/>
      <c r="K19" s="357"/>
      <c r="L19" s="622"/>
      <c r="M19" s="459" t="s">
        <v>286</v>
      </c>
      <c r="N19" s="366">
        <f>O13</f>
        <v>2.568E-3</v>
      </c>
      <c r="O19" s="367">
        <f>O10</f>
        <v>5.1359999999999999E-3</v>
      </c>
      <c r="P19" s="368"/>
      <c r="Q19" s="368"/>
      <c r="R19" s="356"/>
      <c r="S19" s="357"/>
      <c r="T19" s="619"/>
      <c r="U19" s="459" t="s">
        <v>288</v>
      </c>
      <c r="V19" s="366">
        <f>W13</f>
        <v>9.674866666666667E-3</v>
      </c>
      <c r="W19" s="366">
        <f>W10</f>
        <v>1.1558066666666667E-2</v>
      </c>
      <c r="X19" s="356"/>
      <c r="Y19" s="356"/>
      <c r="Z19" s="356"/>
      <c r="AA19" s="356"/>
      <c r="AB19" s="356"/>
      <c r="AC19" s="357"/>
      <c r="AD19" s="357"/>
      <c r="AE19" s="357"/>
      <c r="AF19" s="357"/>
      <c r="AG19" s="357"/>
      <c r="AH19" s="357"/>
      <c r="AI19" s="356"/>
      <c r="AJ19" s="356"/>
      <c r="AK19" s="356"/>
      <c r="AL19" s="356"/>
      <c r="AM19" s="356"/>
      <c r="AN19" s="356"/>
      <c r="AO19" s="356"/>
      <c r="AP19" s="356"/>
      <c r="AQ19" s="356"/>
      <c r="AR19" s="356"/>
      <c r="AS19" s="356"/>
      <c r="AT19" s="356"/>
      <c r="AU19" s="356"/>
      <c r="AV19" s="356"/>
      <c r="AW19" s="356"/>
      <c r="AX19" s="356"/>
      <c r="AY19" s="356"/>
      <c r="AZ19" s="356"/>
      <c r="BA19" s="356"/>
      <c r="BB19" s="356"/>
      <c r="BC19" s="356"/>
      <c r="BD19" s="356"/>
      <c r="BE19" s="356"/>
      <c r="BF19" s="356"/>
      <c r="BG19" s="356"/>
      <c r="BH19" s="356"/>
      <c r="BI19" s="356"/>
      <c r="BJ19" s="356"/>
      <c r="BK19" s="356"/>
      <c r="BL19" s="356"/>
      <c r="BM19" s="356"/>
      <c r="BN19" s="356"/>
      <c r="BO19" s="356"/>
      <c r="BP19" s="356"/>
      <c r="BQ19" s="356"/>
      <c r="BR19" s="357"/>
      <c r="BS19" s="357"/>
      <c r="BT19" s="357"/>
      <c r="BU19" s="357"/>
      <c r="BV19" s="357"/>
      <c r="BW19" s="357"/>
      <c r="BX19" s="357"/>
      <c r="BY19" s="357"/>
      <c r="BZ19" s="357"/>
      <c r="CA19" s="357"/>
      <c r="CB19" s="357"/>
      <c r="CC19" s="357"/>
      <c r="CD19" s="357"/>
      <c r="CE19" s="357"/>
      <c r="CF19" s="357"/>
      <c r="CG19" s="357"/>
      <c r="CH19" s="357"/>
      <c r="CI19" s="357"/>
      <c r="CJ19" s="357"/>
      <c r="CK19" s="357"/>
      <c r="CL19" s="357"/>
      <c r="CM19" s="357"/>
      <c r="CN19" s="357"/>
      <c r="CO19" s="357"/>
      <c r="CP19" s="357"/>
      <c r="CQ19" s="357"/>
      <c r="CR19" s="357"/>
      <c r="CS19" s="357"/>
      <c r="CT19" s="357"/>
      <c r="CU19" s="357"/>
      <c r="CV19" s="357"/>
      <c r="CW19" s="357"/>
      <c r="CX19" s="357"/>
      <c r="CY19" s="357"/>
      <c r="CZ19" s="357"/>
      <c r="DA19" s="357"/>
      <c r="DB19" s="357"/>
      <c r="DC19" s="357"/>
      <c r="DD19" s="357"/>
      <c r="DE19" s="357"/>
      <c r="DF19" s="357"/>
      <c r="DG19" s="357"/>
      <c r="DH19" s="357"/>
      <c r="DI19" s="357"/>
      <c r="DJ19" s="357"/>
      <c r="DK19" s="357"/>
      <c r="DL19" s="357"/>
      <c r="DM19" s="357"/>
      <c r="DN19" s="357"/>
      <c r="DO19" s="357"/>
      <c r="DP19" s="357"/>
      <c r="DQ19" s="357"/>
      <c r="DR19" s="357"/>
      <c r="DS19" s="357"/>
      <c r="DT19" s="357"/>
      <c r="DU19" s="357"/>
      <c r="DV19" s="357"/>
      <c r="DW19" s="357"/>
      <c r="DX19" s="357"/>
      <c r="DY19" s="357"/>
      <c r="DZ19" s="357"/>
      <c r="EA19" s="357"/>
      <c r="EB19" s="357"/>
      <c r="EC19" s="357"/>
      <c r="ED19" s="357"/>
      <c r="EE19" s="357"/>
      <c r="EF19" s="357"/>
      <c r="EG19" s="357"/>
      <c r="EH19" s="357"/>
      <c r="EI19" s="357"/>
      <c r="EJ19" s="357"/>
      <c r="EK19" s="357"/>
      <c r="EL19" s="357"/>
      <c r="EM19" s="357"/>
      <c r="EN19" s="357"/>
      <c r="EO19" s="357"/>
      <c r="EP19" s="357"/>
      <c r="EQ19" s="357"/>
      <c r="ER19" s="357"/>
      <c r="ES19" s="357"/>
      <c r="ET19" s="357"/>
      <c r="EU19" s="357"/>
      <c r="EV19" s="357"/>
      <c r="EW19" s="357"/>
      <c r="EX19" s="357"/>
      <c r="EY19" s="357"/>
      <c r="EZ19" s="357"/>
      <c r="FA19" s="357"/>
      <c r="FB19" s="357"/>
      <c r="FC19" s="357"/>
      <c r="FD19" s="357"/>
      <c r="FE19" s="357"/>
      <c r="FF19" s="357"/>
      <c r="FG19" s="357"/>
    </row>
    <row r="20" spans="1:163" s="360" customFormat="1" ht="14.45" customHeight="1">
      <c r="A20" s="356"/>
      <c r="B20" s="357"/>
      <c r="C20" s="613"/>
      <c r="D20" s="459" t="s">
        <v>286</v>
      </c>
      <c r="E20" s="366">
        <f>G13</f>
        <v>1.0625000000000001E-2</v>
      </c>
      <c r="F20" s="367">
        <f>G10</f>
        <v>1.0625000000000001E-2</v>
      </c>
      <c r="G20" s="358"/>
      <c r="H20" s="358"/>
      <c r="I20" s="359"/>
      <c r="J20" s="357"/>
      <c r="K20" s="357"/>
      <c r="L20" s="622"/>
      <c r="M20" s="459" t="s">
        <v>288</v>
      </c>
      <c r="N20" s="366">
        <f>P13</f>
        <v>1.8832E-3</v>
      </c>
      <c r="O20" s="367">
        <f>P10</f>
        <v>3.7664E-3</v>
      </c>
      <c r="P20" s="368"/>
      <c r="Q20" s="368"/>
      <c r="R20" s="356"/>
      <c r="S20" s="357"/>
      <c r="T20" s="619"/>
      <c r="U20" s="459" t="s">
        <v>289</v>
      </c>
      <c r="V20" s="366">
        <f>X13</f>
        <v>9.0363013698630135E-3</v>
      </c>
      <c r="W20" s="366">
        <f>X10</f>
        <v>1.0795205479452055E-2</v>
      </c>
      <c r="X20" s="356"/>
      <c r="Y20" s="356"/>
      <c r="Z20" s="356"/>
      <c r="AA20" s="356"/>
      <c r="AB20" s="356"/>
      <c r="AC20" s="357"/>
      <c r="AD20" s="357"/>
      <c r="AE20" s="357"/>
      <c r="AF20" s="357"/>
      <c r="AG20" s="357"/>
      <c r="AH20" s="357"/>
      <c r="AI20" s="356"/>
      <c r="AJ20" s="356"/>
      <c r="AK20" s="356"/>
      <c r="AL20" s="356"/>
      <c r="AM20" s="356"/>
      <c r="AN20" s="356"/>
      <c r="AO20" s="356"/>
      <c r="AP20" s="356"/>
      <c r="AQ20" s="356"/>
      <c r="AR20" s="356"/>
      <c r="AS20" s="356"/>
      <c r="AT20" s="356"/>
      <c r="AU20" s="356"/>
      <c r="AV20" s="356"/>
      <c r="AW20" s="356"/>
      <c r="AX20" s="356"/>
      <c r="AY20" s="356"/>
      <c r="AZ20" s="356"/>
      <c r="BA20" s="356"/>
      <c r="BB20" s="356"/>
      <c r="BC20" s="356"/>
      <c r="BD20" s="356"/>
      <c r="BE20" s="356"/>
      <c r="BF20" s="356"/>
      <c r="BG20" s="356"/>
      <c r="BH20" s="356"/>
      <c r="BI20" s="356"/>
      <c r="BJ20" s="356"/>
      <c r="BK20" s="356"/>
      <c r="BL20" s="356"/>
      <c r="BM20" s="356"/>
      <c r="BN20" s="356"/>
      <c r="BO20" s="356"/>
      <c r="BP20" s="356"/>
      <c r="BQ20" s="356"/>
      <c r="BR20" s="357"/>
      <c r="BS20" s="357"/>
      <c r="BT20" s="357"/>
      <c r="BU20" s="357"/>
      <c r="BV20" s="357"/>
      <c r="BW20" s="357"/>
      <c r="BX20" s="357"/>
      <c r="BY20" s="357"/>
      <c r="BZ20" s="357"/>
      <c r="CA20" s="357"/>
      <c r="CB20" s="357"/>
      <c r="CC20" s="357"/>
      <c r="CD20" s="357"/>
      <c r="CE20" s="357"/>
      <c r="CF20" s="357"/>
      <c r="CG20" s="357"/>
      <c r="CH20" s="357"/>
      <c r="CI20" s="357"/>
      <c r="CJ20" s="357"/>
      <c r="CK20" s="357"/>
      <c r="CL20" s="357"/>
      <c r="CM20" s="357"/>
      <c r="CN20" s="357"/>
      <c r="CO20" s="357"/>
      <c r="CP20" s="357"/>
      <c r="CQ20" s="357"/>
      <c r="CR20" s="357"/>
      <c r="CS20" s="357"/>
      <c r="CT20" s="357"/>
      <c r="CU20" s="357"/>
      <c r="CV20" s="357"/>
      <c r="CW20" s="357"/>
      <c r="CX20" s="357"/>
      <c r="CY20" s="357"/>
      <c r="CZ20" s="357"/>
      <c r="DA20" s="357"/>
      <c r="DB20" s="357"/>
      <c r="DC20" s="357"/>
      <c r="DD20" s="357"/>
      <c r="DE20" s="357"/>
      <c r="DF20" s="357"/>
      <c r="DG20" s="357"/>
      <c r="DH20" s="357"/>
      <c r="DI20" s="357"/>
      <c r="DJ20" s="357"/>
      <c r="DK20" s="357"/>
      <c r="DL20" s="357"/>
      <c r="DM20" s="357"/>
      <c r="DN20" s="357"/>
      <c r="DO20" s="357"/>
      <c r="DP20" s="357"/>
      <c r="DQ20" s="357"/>
      <c r="DR20" s="357"/>
      <c r="DS20" s="357"/>
      <c r="DT20" s="357"/>
      <c r="DU20" s="357"/>
      <c r="DV20" s="357"/>
      <c r="DW20" s="357"/>
      <c r="DX20" s="357"/>
      <c r="DY20" s="357"/>
      <c r="DZ20" s="357"/>
      <c r="EA20" s="357"/>
      <c r="EB20" s="357"/>
      <c r="EC20" s="357"/>
      <c r="ED20" s="357"/>
      <c r="EE20" s="357"/>
      <c r="EF20" s="357"/>
      <c r="EG20" s="357"/>
      <c r="EH20" s="357"/>
      <c r="EI20" s="357"/>
      <c r="EJ20" s="357"/>
      <c r="EK20" s="357"/>
      <c r="EL20" s="357"/>
      <c r="EM20" s="357"/>
      <c r="EN20" s="357"/>
      <c r="EO20" s="357"/>
      <c r="EP20" s="357"/>
      <c r="EQ20" s="357"/>
      <c r="ER20" s="357"/>
      <c r="ES20" s="357"/>
      <c r="ET20" s="357"/>
      <c r="EU20" s="357"/>
      <c r="EV20" s="357"/>
      <c r="EW20" s="357"/>
      <c r="EX20" s="357"/>
      <c r="EY20" s="357"/>
      <c r="EZ20" s="357"/>
      <c r="FA20" s="357"/>
      <c r="FB20" s="357"/>
      <c r="FC20" s="357"/>
      <c r="FD20" s="357"/>
      <c r="FE20" s="357"/>
      <c r="FF20" s="357"/>
      <c r="FG20" s="357"/>
    </row>
    <row r="21" spans="1:163" s="360" customFormat="1" ht="14.45" customHeight="1">
      <c r="A21" s="356"/>
      <c r="B21" s="357"/>
      <c r="C21" s="613"/>
      <c r="D21" s="459" t="s">
        <v>288</v>
      </c>
      <c r="E21" s="366">
        <f>H13</f>
        <v>7.7916666666666672E-3</v>
      </c>
      <c r="F21" s="367">
        <f>H10</f>
        <v>7.7916666666666672E-3</v>
      </c>
      <c r="G21" s="358"/>
      <c r="H21" s="358"/>
      <c r="I21" s="359"/>
      <c r="J21" s="357"/>
      <c r="K21" s="357"/>
      <c r="L21" s="622"/>
      <c r="M21" s="459" t="s">
        <v>289</v>
      </c>
      <c r="N21" s="366">
        <f>Q13</f>
        <v>1.7589041095890411E-3</v>
      </c>
      <c r="O21" s="367">
        <f>Q10</f>
        <v>3.5178082191780822E-3</v>
      </c>
      <c r="P21" s="368"/>
      <c r="Q21" s="368"/>
      <c r="R21" s="356"/>
      <c r="S21" s="357"/>
      <c r="T21" s="619"/>
      <c r="U21" s="459" t="s">
        <v>290</v>
      </c>
      <c r="V21" s="366">
        <f>Y13</f>
        <v>3.591350544432736E-3</v>
      </c>
      <c r="W21" s="366">
        <f>Y10</f>
        <v>5.5360028099754131E-3</v>
      </c>
      <c r="X21" s="356"/>
      <c r="Y21" s="356"/>
      <c r="Z21" s="356"/>
      <c r="AA21" s="356"/>
      <c r="AB21" s="356"/>
      <c r="AC21" s="357"/>
      <c r="AD21" s="357"/>
      <c r="AE21" s="357"/>
      <c r="AF21" s="357"/>
      <c r="AG21" s="357"/>
      <c r="AH21" s="357"/>
      <c r="AI21" s="356"/>
      <c r="AJ21" s="356"/>
      <c r="AK21" s="356"/>
      <c r="AL21" s="356"/>
      <c r="AM21" s="356"/>
      <c r="AN21" s="356"/>
      <c r="AO21" s="356"/>
      <c r="AP21" s="356"/>
      <c r="AQ21" s="356"/>
      <c r="AR21" s="356"/>
      <c r="AS21" s="356"/>
      <c r="AT21" s="356"/>
      <c r="AU21" s="356"/>
      <c r="AV21" s="356"/>
      <c r="AW21" s="356"/>
      <c r="AX21" s="356"/>
      <c r="AY21" s="356"/>
      <c r="AZ21" s="356"/>
      <c r="BA21" s="356"/>
      <c r="BB21" s="356"/>
      <c r="BC21" s="356"/>
      <c r="BD21" s="356"/>
      <c r="BE21" s="356"/>
      <c r="BF21" s="356"/>
      <c r="BG21" s="356"/>
      <c r="BH21" s="356"/>
      <c r="BI21" s="356"/>
      <c r="BJ21" s="356"/>
      <c r="BK21" s="356"/>
      <c r="BL21" s="356"/>
      <c r="BM21" s="356"/>
      <c r="BN21" s="356"/>
      <c r="BO21" s="356"/>
      <c r="BP21" s="356"/>
      <c r="BQ21" s="356"/>
      <c r="BR21" s="357"/>
      <c r="BS21" s="357"/>
      <c r="BT21" s="357"/>
      <c r="BU21" s="357"/>
      <c r="BV21" s="357"/>
      <c r="BW21" s="357"/>
      <c r="BX21" s="357"/>
      <c r="BY21" s="357"/>
      <c r="BZ21" s="357"/>
      <c r="CA21" s="357"/>
      <c r="CB21" s="357"/>
      <c r="CC21" s="357"/>
      <c r="CD21" s="357"/>
      <c r="CE21" s="357"/>
      <c r="CF21" s="357"/>
      <c r="CG21" s="357"/>
      <c r="CH21" s="357"/>
      <c r="CI21" s="357"/>
      <c r="CJ21" s="357"/>
      <c r="CK21" s="357"/>
      <c r="CL21" s="357"/>
      <c r="CM21" s="357"/>
      <c r="CN21" s="357"/>
      <c r="CO21" s="357"/>
      <c r="CP21" s="357"/>
      <c r="CQ21" s="357"/>
      <c r="CR21" s="357"/>
      <c r="CS21" s="357"/>
      <c r="CT21" s="357"/>
      <c r="CU21" s="357"/>
      <c r="CV21" s="357"/>
      <c r="CW21" s="357"/>
      <c r="CX21" s="357"/>
      <c r="CY21" s="357"/>
      <c r="CZ21" s="357"/>
      <c r="DA21" s="357"/>
      <c r="DB21" s="357"/>
      <c r="DC21" s="357"/>
      <c r="DD21" s="357"/>
      <c r="DE21" s="357"/>
      <c r="DF21" s="357"/>
      <c r="DG21" s="357"/>
      <c r="DH21" s="357"/>
      <c r="DI21" s="357"/>
      <c r="DJ21" s="357"/>
      <c r="DK21" s="357"/>
      <c r="DL21" s="357"/>
      <c r="DM21" s="357"/>
      <c r="DN21" s="357"/>
      <c r="DO21" s="357"/>
      <c r="DP21" s="357"/>
      <c r="DQ21" s="357"/>
      <c r="DR21" s="357"/>
      <c r="DS21" s="357"/>
      <c r="DT21" s="357"/>
      <c r="DU21" s="357"/>
      <c r="DV21" s="357"/>
      <c r="DW21" s="357"/>
      <c r="DX21" s="357"/>
      <c r="DY21" s="357"/>
      <c r="DZ21" s="357"/>
      <c r="EA21" s="357"/>
      <c r="EB21" s="357"/>
      <c r="EC21" s="357"/>
      <c r="ED21" s="357"/>
      <c r="EE21" s="357"/>
      <c r="EF21" s="357"/>
      <c r="EG21" s="357"/>
      <c r="EH21" s="357"/>
      <c r="EI21" s="357"/>
      <c r="EJ21" s="357"/>
      <c r="EK21" s="357"/>
      <c r="EL21" s="357"/>
      <c r="EM21" s="357"/>
      <c r="EN21" s="357"/>
      <c r="EO21" s="357"/>
      <c r="EP21" s="357"/>
      <c r="EQ21" s="357"/>
      <c r="ER21" s="357"/>
      <c r="ES21" s="357"/>
      <c r="ET21" s="357"/>
      <c r="EU21" s="357"/>
      <c r="EV21" s="357"/>
      <c r="EW21" s="357"/>
      <c r="EX21" s="357"/>
      <c r="EY21" s="357"/>
      <c r="EZ21" s="357"/>
      <c r="FA21" s="357"/>
      <c r="FB21" s="357"/>
      <c r="FC21" s="357"/>
      <c r="FD21" s="357"/>
      <c r="FE21" s="357"/>
      <c r="FF21" s="357"/>
      <c r="FG21" s="357"/>
    </row>
    <row r="22" spans="1:163" s="360" customFormat="1" ht="14.1" customHeight="1">
      <c r="A22" s="356"/>
      <c r="B22" s="357"/>
      <c r="C22" s="613"/>
      <c r="D22" s="459" t="s">
        <v>289</v>
      </c>
      <c r="E22" s="366">
        <f>I13</f>
        <v>7.2773972602739722E-3</v>
      </c>
      <c r="F22" s="367">
        <f>I10</f>
        <v>7.2773972602739722E-3</v>
      </c>
      <c r="G22" s="358"/>
      <c r="H22" s="358"/>
      <c r="I22" s="359"/>
      <c r="J22" s="357"/>
      <c r="K22" s="357"/>
      <c r="L22" s="623"/>
      <c r="M22" s="459" t="s">
        <v>290</v>
      </c>
      <c r="N22" s="366">
        <f>R13</f>
        <v>6.990516332982087E-4</v>
      </c>
      <c r="O22" s="367">
        <f>R10</f>
        <v>1.804004214963119E-3</v>
      </c>
      <c r="P22" s="368"/>
      <c r="Q22" s="368"/>
      <c r="R22" s="356"/>
      <c r="S22" s="357"/>
      <c r="T22" s="619" t="s">
        <v>206</v>
      </c>
      <c r="U22" s="459" t="s">
        <v>286</v>
      </c>
      <c r="V22" s="366">
        <f>V14</f>
        <v>1.4095685191577494E-2</v>
      </c>
      <c r="W22" s="366">
        <f>V11</f>
        <v>1.6455091473938557E-2</v>
      </c>
      <c r="X22" s="356"/>
      <c r="Y22" s="356"/>
      <c r="Z22" s="356"/>
      <c r="AA22" s="356"/>
      <c r="AB22" s="356"/>
      <c r="AC22" s="357"/>
      <c r="AD22" s="357"/>
      <c r="AE22" s="357"/>
      <c r="AF22" s="357"/>
      <c r="AG22" s="357"/>
      <c r="AH22" s="357"/>
      <c r="AI22" s="356"/>
      <c r="AJ22" s="356"/>
      <c r="AK22" s="356"/>
      <c r="AL22" s="356"/>
      <c r="AM22" s="356"/>
      <c r="AN22" s="356"/>
      <c r="AO22" s="356"/>
      <c r="AP22" s="356"/>
      <c r="AQ22" s="356"/>
      <c r="AR22" s="356"/>
      <c r="AS22" s="356"/>
      <c r="AT22" s="356"/>
      <c r="AU22" s="356"/>
      <c r="AV22" s="356"/>
      <c r="AW22" s="356"/>
      <c r="AX22" s="356"/>
      <c r="AY22" s="356"/>
      <c r="AZ22" s="356"/>
      <c r="BA22" s="356"/>
      <c r="BB22" s="356"/>
      <c r="BC22" s="356"/>
      <c r="BD22" s="356"/>
      <c r="BE22" s="356"/>
      <c r="BF22" s="356"/>
      <c r="BG22" s="356"/>
      <c r="BH22" s="356"/>
      <c r="BI22" s="356"/>
      <c r="BJ22" s="356"/>
      <c r="BK22" s="356"/>
      <c r="BL22" s="356"/>
      <c r="BM22" s="356"/>
      <c r="BN22" s="356"/>
      <c r="BO22" s="356"/>
      <c r="BP22" s="356"/>
      <c r="BQ22" s="356"/>
      <c r="BR22" s="357"/>
      <c r="BS22" s="357"/>
      <c r="BT22" s="357"/>
      <c r="BU22" s="357"/>
      <c r="BV22" s="357"/>
      <c r="BW22" s="357"/>
      <c r="BX22" s="357"/>
      <c r="BY22" s="357"/>
      <c r="BZ22" s="357"/>
      <c r="CA22" s="357"/>
      <c r="CB22" s="357"/>
      <c r="CC22" s="357"/>
      <c r="CD22" s="357"/>
      <c r="CE22" s="357"/>
      <c r="CF22" s="357"/>
      <c r="CG22" s="357"/>
      <c r="CH22" s="357"/>
      <c r="CI22" s="357"/>
      <c r="CJ22" s="357"/>
      <c r="CK22" s="357"/>
      <c r="CL22" s="357"/>
      <c r="CM22" s="357"/>
      <c r="CN22" s="357"/>
      <c r="CO22" s="357"/>
      <c r="CP22" s="357"/>
      <c r="CQ22" s="357"/>
      <c r="CR22" s="357"/>
      <c r="CS22" s="357"/>
      <c r="CT22" s="357"/>
      <c r="CU22" s="357"/>
      <c r="CV22" s="357"/>
      <c r="CW22" s="357"/>
      <c r="CX22" s="357"/>
      <c r="CY22" s="357"/>
      <c r="CZ22" s="357"/>
      <c r="DA22" s="357"/>
      <c r="DB22" s="357"/>
      <c r="DC22" s="357"/>
      <c r="DD22" s="357"/>
      <c r="DE22" s="357"/>
      <c r="DF22" s="357"/>
      <c r="DG22" s="357"/>
      <c r="DH22" s="357"/>
      <c r="DI22" s="357"/>
      <c r="DJ22" s="357"/>
      <c r="DK22" s="357"/>
      <c r="DL22" s="357"/>
      <c r="DM22" s="357"/>
      <c r="DN22" s="357"/>
      <c r="DO22" s="357"/>
      <c r="DP22" s="357"/>
      <c r="DQ22" s="357"/>
      <c r="DR22" s="357"/>
      <c r="DS22" s="357"/>
      <c r="DT22" s="357"/>
      <c r="DU22" s="357"/>
      <c r="DV22" s="357"/>
      <c r="DW22" s="357"/>
      <c r="DX22" s="357"/>
      <c r="DY22" s="357"/>
      <c r="DZ22" s="357"/>
      <c r="EA22" s="357"/>
      <c r="EB22" s="357"/>
      <c r="EC22" s="357"/>
      <c r="ED22" s="357"/>
      <c r="EE22" s="357"/>
      <c r="EF22" s="357"/>
      <c r="EG22" s="357"/>
      <c r="EH22" s="357"/>
      <c r="EI22" s="357"/>
      <c r="EJ22" s="357"/>
      <c r="EK22" s="357"/>
      <c r="EL22" s="357"/>
      <c r="EM22" s="357"/>
      <c r="EN22" s="357"/>
      <c r="EO22" s="357"/>
      <c r="EP22" s="357"/>
      <c r="EQ22" s="357"/>
      <c r="ER22" s="357"/>
      <c r="ES22" s="357"/>
      <c r="ET22" s="357"/>
      <c r="EU22" s="357"/>
      <c r="EV22" s="357"/>
      <c r="EW22" s="357"/>
      <c r="EX22" s="357"/>
      <c r="EY22" s="357"/>
      <c r="EZ22" s="357"/>
      <c r="FA22" s="357"/>
      <c r="FB22" s="357"/>
      <c r="FC22" s="357"/>
      <c r="FD22" s="357"/>
      <c r="FE22" s="357"/>
      <c r="FF22" s="357"/>
      <c r="FG22" s="357"/>
    </row>
    <row r="23" spans="1:163" s="360" customFormat="1" ht="14.1" customHeight="1">
      <c r="A23" s="356"/>
      <c r="B23" s="357"/>
      <c r="C23" s="613"/>
      <c r="D23" s="459" t="s">
        <v>290</v>
      </c>
      <c r="E23" s="366">
        <f>J13</f>
        <v>2.8922989111345274E-3</v>
      </c>
      <c r="F23" s="367">
        <f>J10</f>
        <v>3.7319985950122936E-3</v>
      </c>
      <c r="G23" s="358"/>
      <c r="H23" s="358"/>
      <c r="I23" s="359"/>
      <c r="J23" s="357"/>
      <c r="K23" s="357"/>
      <c r="L23" s="624" t="s">
        <v>206</v>
      </c>
      <c r="M23" s="459" t="s">
        <v>285</v>
      </c>
      <c r="N23" s="369">
        <f>N14</f>
        <v>0.17088</v>
      </c>
      <c r="O23" s="370">
        <f>N11</f>
        <v>0.34176000000000001</v>
      </c>
      <c r="P23" s="368"/>
      <c r="Q23" s="368"/>
      <c r="R23" s="356"/>
      <c r="S23" s="357"/>
      <c r="T23" s="619"/>
      <c r="U23" s="459" t="s">
        <v>288</v>
      </c>
      <c r="V23" s="366">
        <f>W14</f>
        <v>1.0336835807156828E-2</v>
      </c>
      <c r="W23" s="366">
        <f>W11</f>
        <v>1.2067067080888274E-2</v>
      </c>
      <c r="X23" s="356"/>
      <c r="Y23" s="356"/>
      <c r="Z23" s="356"/>
      <c r="AA23" s="356"/>
      <c r="AB23" s="356"/>
      <c r="AC23" s="357"/>
      <c r="AD23" s="357"/>
      <c r="AE23" s="357"/>
      <c r="AF23" s="357"/>
      <c r="AG23" s="357"/>
      <c r="AH23" s="357"/>
      <c r="AI23" s="356"/>
      <c r="AJ23" s="356"/>
      <c r="AK23" s="356"/>
      <c r="AL23" s="356"/>
      <c r="AM23" s="356"/>
      <c r="AN23" s="356"/>
      <c r="AO23" s="356"/>
      <c r="AP23" s="356"/>
      <c r="AQ23" s="356"/>
      <c r="AR23" s="356"/>
      <c r="AS23" s="356"/>
      <c r="AT23" s="356"/>
      <c r="AU23" s="356"/>
      <c r="AV23" s="356"/>
      <c r="AW23" s="356"/>
      <c r="AX23" s="356"/>
      <c r="AY23" s="356"/>
      <c r="AZ23" s="356"/>
      <c r="BA23" s="356"/>
      <c r="BB23" s="356"/>
      <c r="BC23" s="356"/>
      <c r="BD23" s="356"/>
      <c r="BE23" s="356"/>
      <c r="BF23" s="356"/>
      <c r="BG23" s="356"/>
      <c r="BH23" s="356"/>
      <c r="BI23" s="356"/>
      <c r="BJ23" s="356"/>
      <c r="BK23" s="356"/>
      <c r="BL23" s="356"/>
      <c r="BM23" s="356"/>
      <c r="BN23" s="356"/>
      <c r="BO23" s="356"/>
      <c r="BP23" s="356"/>
      <c r="BQ23" s="356"/>
      <c r="BR23" s="357"/>
      <c r="BS23" s="357"/>
      <c r="BT23" s="357"/>
      <c r="BU23" s="357"/>
      <c r="BV23" s="357"/>
      <c r="BW23" s="357"/>
      <c r="BX23" s="357"/>
      <c r="BY23" s="357"/>
      <c r="BZ23" s="357"/>
      <c r="CA23" s="357"/>
      <c r="CB23" s="357"/>
      <c r="CC23" s="357"/>
      <c r="CD23" s="357"/>
      <c r="CE23" s="357"/>
      <c r="CF23" s="357"/>
      <c r="CG23" s="357"/>
      <c r="CH23" s="357"/>
      <c r="CI23" s="357"/>
      <c r="CJ23" s="357"/>
      <c r="CK23" s="357"/>
      <c r="CL23" s="357"/>
      <c r="CM23" s="357"/>
      <c r="CN23" s="357"/>
      <c r="CO23" s="357"/>
      <c r="CP23" s="357"/>
      <c r="CQ23" s="357"/>
      <c r="CR23" s="357"/>
      <c r="CS23" s="357"/>
      <c r="CT23" s="357"/>
      <c r="CU23" s="357"/>
      <c r="CV23" s="357"/>
      <c r="CW23" s="357"/>
      <c r="CX23" s="357"/>
      <c r="CY23" s="357"/>
      <c r="CZ23" s="357"/>
      <c r="DA23" s="357"/>
      <c r="DB23" s="357"/>
      <c r="DC23" s="357"/>
      <c r="DD23" s="357"/>
      <c r="DE23" s="357"/>
      <c r="DF23" s="357"/>
      <c r="DG23" s="357"/>
      <c r="DH23" s="357"/>
      <c r="DI23" s="357"/>
      <c r="DJ23" s="357"/>
      <c r="DK23" s="357"/>
      <c r="DL23" s="357"/>
      <c r="DM23" s="357"/>
      <c r="DN23" s="357"/>
      <c r="DO23" s="357"/>
      <c r="DP23" s="357"/>
      <c r="DQ23" s="357"/>
      <c r="DR23" s="357"/>
      <c r="DS23" s="357"/>
      <c r="DT23" s="357"/>
      <c r="DU23" s="357"/>
      <c r="DV23" s="357"/>
      <c r="DW23" s="357"/>
      <c r="DX23" s="357"/>
      <c r="DY23" s="357"/>
      <c r="DZ23" s="357"/>
      <c r="EA23" s="357"/>
      <c r="EB23" s="357"/>
      <c r="EC23" s="357"/>
      <c r="ED23" s="357"/>
      <c r="EE23" s="357"/>
      <c r="EF23" s="357"/>
      <c r="EG23" s="357"/>
      <c r="EH23" s="357"/>
      <c r="EI23" s="357"/>
      <c r="EJ23" s="357"/>
      <c r="EK23" s="357"/>
      <c r="EL23" s="357"/>
      <c r="EM23" s="357"/>
      <c r="EN23" s="357"/>
      <c r="EO23" s="357"/>
      <c r="EP23" s="357"/>
      <c r="EQ23" s="357"/>
      <c r="ER23" s="357"/>
      <c r="ES23" s="357"/>
      <c r="ET23" s="357"/>
      <c r="EU23" s="357"/>
      <c r="EV23" s="357"/>
      <c r="EW23" s="357"/>
      <c r="EX23" s="357"/>
      <c r="EY23" s="357"/>
      <c r="EZ23" s="357"/>
      <c r="FA23" s="357"/>
      <c r="FB23" s="357"/>
      <c r="FC23" s="357"/>
      <c r="FD23" s="357"/>
      <c r="FE23" s="357"/>
      <c r="FF23" s="357"/>
      <c r="FG23" s="357"/>
    </row>
    <row r="24" spans="1:163" s="360" customFormat="1" ht="14.1" customHeight="1">
      <c r="A24" s="356"/>
      <c r="B24" s="357"/>
      <c r="C24" s="613" t="s">
        <v>206</v>
      </c>
      <c r="D24" s="459" t="s">
        <v>284</v>
      </c>
      <c r="E24" s="366">
        <f>E14</f>
        <v>8.5000000000000006E-2</v>
      </c>
      <c r="F24" s="367">
        <f>E11</f>
        <v>8.5000000000000006E-2</v>
      </c>
      <c r="G24" s="358"/>
      <c r="H24" s="358"/>
      <c r="I24" s="359"/>
      <c r="J24" s="357"/>
      <c r="K24" s="357"/>
      <c r="L24" s="622"/>
      <c r="M24" s="459" t="s">
        <v>286</v>
      </c>
      <c r="N24" s="366">
        <f>O14</f>
        <v>2.359406282361063E-3</v>
      </c>
      <c r="O24" s="367">
        <f>O11</f>
        <v>4.718812564722126E-3</v>
      </c>
      <c r="P24" s="368"/>
      <c r="Q24" s="368"/>
      <c r="R24" s="356"/>
      <c r="S24" s="357"/>
      <c r="T24" s="619"/>
      <c r="U24" s="459" t="s">
        <v>289</v>
      </c>
      <c r="V24" s="366">
        <f>X14</f>
        <v>9.6545788983407495E-3</v>
      </c>
      <c r="W24" s="366">
        <f>X11</f>
        <v>1.1270610598588053E-2</v>
      </c>
      <c r="X24" s="356"/>
      <c r="Y24" s="356"/>
      <c r="Z24" s="356"/>
      <c r="AA24" s="356"/>
      <c r="AB24" s="356"/>
      <c r="AC24" s="357"/>
      <c r="AD24" s="357"/>
      <c r="AE24" s="357"/>
      <c r="AF24" s="357"/>
      <c r="AG24" s="357"/>
      <c r="AH24" s="357"/>
      <c r="AI24" s="356"/>
      <c r="AJ24" s="356"/>
      <c r="AK24" s="356"/>
      <c r="AL24" s="356"/>
      <c r="AM24" s="356"/>
      <c r="AN24" s="356"/>
      <c r="AO24" s="356"/>
      <c r="AP24" s="356"/>
      <c r="AQ24" s="356"/>
      <c r="AR24" s="356"/>
      <c r="AS24" s="356"/>
      <c r="AT24" s="356"/>
      <c r="AU24" s="356"/>
      <c r="AV24" s="356"/>
      <c r="AW24" s="356"/>
      <c r="AX24" s="356"/>
      <c r="AY24" s="356"/>
      <c r="AZ24" s="356"/>
      <c r="BA24" s="356"/>
      <c r="BB24" s="356"/>
      <c r="BC24" s="356"/>
      <c r="BD24" s="356"/>
      <c r="BE24" s="356"/>
      <c r="BF24" s="356"/>
      <c r="BG24" s="356"/>
      <c r="BH24" s="356"/>
      <c r="BI24" s="356"/>
      <c r="BJ24" s="356"/>
      <c r="BK24" s="356"/>
      <c r="BL24" s="356"/>
      <c r="BM24" s="356"/>
      <c r="BN24" s="356"/>
      <c r="BO24" s="356"/>
      <c r="BP24" s="356"/>
      <c r="BQ24" s="356"/>
      <c r="BR24" s="357"/>
      <c r="BS24" s="357"/>
      <c r="BT24" s="357"/>
      <c r="BU24" s="357"/>
      <c r="BV24" s="357"/>
      <c r="BW24" s="357"/>
      <c r="BX24" s="357"/>
      <c r="BY24" s="357"/>
      <c r="BZ24" s="357"/>
      <c r="CA24" s="357"/>
      <c r="CB24" s="357"/>
      <c r="CC24" s="357"/>
      <c r="CD24" s="357"/>
      <c r="CE24" s="357"/>
      <c r="CF24" s="357"/>
      <c r="CG24" s="357"/>
      <c r="CH24" s="357"/>
      <c r="CI24" s="357"/>
      <c r="CJ24" s="357"/>
      <c r="CK24" s="357"/>
      <c r="CL24" s="357"/>
      <c r="CM24" s="357"/>
      <c r="CN24" s="357"/>
      <c r="CO24" s="357"/>
      <c r="CP24" s="357"/>
      <c r="CQ24" s="357"/>
      <c r="CR24" s="357"/>
      <c r="CS24" s="357"/>
      <c r="CT24" s="357"/>
      <c r="CU24" s="357"/>
      <c r="CV24" s="357"/>
      <c r="CW24" s="357"/>
      <c r="CX24" s="357"/>
      <c r="CY24" s="357"/>
      <c r="CZ24" s="357"/>
      <c r="DA24" s="357"/>
      <c r="DB24" s="357"/>
      <c r="DC24" s="357"/>
      <c r="DD24" s="357"/>
      <c r="DE24" s="357"/>
      <c r="DF24" s="357"/>
      <c r="DG24" s="357"/>
      <c r="DH24" s="357"/>
      <c r="DI24" s="357"/>
      <c r="DJ24" s="357"/>
      <c r="DK24" s="357"/>
      <c r="DL24" s="357"/>
      <c r="DM24" s="357"/>
      <c r="DN24" s="357"/>
      <c r="DO24" s="357"/>
      <c r="DP24" s="357"/>
      <c r="DQ24" s="357"/>
      <c r="DR24" s="357"/>
      <c r="DS24" s="357"/>
      <c r="DT24" s="357"/>
      <c r="DU24" s="357"/>
      <c r="DV24" s="357"/>
      <c r="DW24" s="357"/>
      <c r="DX24" s="357"/>
      <c r="DY24" s="357"/>
      <c r="DZ24" s="357"/>
      <c r="EA24" s="357"/>
      <c r="EB24" s="357"/>
      <c r="EC24" s="357"/>
      <c r="ED24" s="357"/>
      <c r="EE24" s="357"/>
      <c r="EF24" s="357"/>
      <c r="EG24" s="357"/>
      <c r="EH24" s="357"/>
      <c r="EI24" s="357"/>
      <c r="EJ24" s="357"/>
      <c r="EK24" s="357"/>
      <c r="EL24" s="357"/>
      <c r="EM24" s="357"/>
      <c r="EN24" s="357"/>
      <c r="EO24" s="357"/>
      <c r="EP24" s="357"/>
      <c r="EQ24" s="357"/>
      <c r="ER24" s="357"/>
      <c r="ES24" s="357"/>
      <c r="ET24" s="357"/>
      <c r="EU24" s="357"/>
      <c r="EV24" s="357"/>
      <c r="EW24" s="357"/>
      <c r="EX24" s="357"/>
      <c r="EY24" s="357"/>
      <c r="EZ24" s="357"/>
      <c r="FA24" s="357"/>
      <c r="FB24" s="357"/>
      <c r="FC24" s="357"/>
      <c r="FD24" s="357"/>
      <c r="FE24" s="357"/>
      <c r="FF24" s="357"/>
      <c r="FG24" s="357"/>
    </row>
    <row r="25" spans="1:163" s="360" customFormat="1" ht="14.1" customHeight="1">
      <c r="A25" s="356"/>
      <c r="B25" s="357"/>
      <c r="C25" s="613"/>
      <c r="D25" s="459" t="s">
        <v>287</v>
      </c>
      <c r="E25" s="366">
        <f>F14</f>
        <v>0</v>
      </c>
      <c r="F25" s="367">
        <f>F11</f>
        <v>0</v>
      </c>
      <c r="G25" s="358"/>
      <c r="H25" s="358"/>
      <c r="I25" s="359"/>
      <c r="J25" s="357"/>
      <c r="K25" s="357"/>
      <c r="L25" s="622"/>
      <c r="M25" s="459" t="s">
        <v>288</v>
      </c>
      <c r="N25" s="366">
        <f>P14</f>
        <v>1.7302312737314462E-3</v>
      </c>
      <c r="O25" s="367">
        <f>P11</f>
        <v>3.4604625474628924E-3</v>
      </c>
      <c r="P25" s="368"/>
      <c r="Q25" s="368"/>
      <c r="R25" s="356"/>
      <c r="S25" s="357"/>
      <c r="T25" s="619"/>
      <c r="U25" s="459" t="s">
        <v>290</v>
      </c>
      <c r="V25" s="366">
        <f>Y14</f>
        <v>3.8370762288277337E-3</v>
      </c>
      <c r="W25" s="366">
        <f>Y11</f>
        <v>5.779800306968232E-3</v>
      </c>
      <c r="X25" s="356"/>
      <c r="Y25" s="356"/>
      <c r="Z25" s="356"/>
      <c r="AA25" s="356"/>
      <c r="AB25" s="356"/>
      <c r="AC25" s="357"/>
      <c r="AD25" s="357"/>
      <c r="AE25" s="357"/>
      <c r="AF25" s="357"/>
      <c r="AG25" s="357"/>
      <c r="AH25" s="357"/>
      <c r="AI25" s="356"/>
      <c r="AJ25" s="356"/>
      <c r="AK25" s="356"/>
      <c r="AL25" s="356"/>
      <c r="AM25" s="356"/>
      <c r="AN25" s="356"/>
      <c r="AO25" s="356"/>
      <c r="AP25" s="356"/>
      <c r="AQ25" s="356"/>
      <c r="AR25" s="356"/>
      <c r="AS25" s="356"/>
      <c r="AT25" s="356"/>
      <c r="AU25" s="356"/>
      <c r="AV25" s="356"/>
      <c r="AW25" s="356"/>
      <c r="AX25" s="356"/>
      <c r="AY25" s="356"/>
      <c r="AZ25" s="356"/>
      <c r="BA25" s="356"/>
      <c r="BB25" s="356"/>
      <c r="BC25" s="356"/>
      <c r="BD25" s="356"/>
      <c r="BE25" s="356"/>
      <c r="BF25" s="356"/>
      <c r="BG25" s="356"/>
      <c r="BH25" s="356"/>
      <c r="BI25" s="356"/>
      <c r="BJ25" s="356"/>
      <c r="BK25" s="356"/>
      <c r="BL25" s="356"/>
      <c r="BM25" s="356"/>
      <c r="BN25" s="356"/>
      <c r="BO25" s="356"/>
      <c r="BP25" s="356"/>
      <c r="BQ25" s="356"/>
      <c r="BR25" s="357"/>
      <c r="BS25" s="357"/>
      <c r="BT25" s="357"/>
      <c r="BU25" s="357"/>
      <c r="BV25" s="357"/>
      <c r="BW25" s="357"/>
      <c r="BX25" s="357"/>
      <c r="BY25" s="357"/>
      <c r="BZ25" s="357"/>
      <c r="CA25" s="357"/>
      <c r="CB25" s="357"/>
      <c r="CC25" s="357"/>
      <c r="CD25" s="357"/>
      <c r="CE25" s="357"/>
      <c r="CF25" s="357"/>
      <c r="CG25" s="357"/>
      <c r="CH25" s="357"/>
      <c r="CI25" s="357"/>
      <c r="CJ25" s="357"/>
      <c r="CK25" s="357"/>
      <c r="CL25" s="357"/>
      <c r="CM25" s="357"/>
      <c r="CN25" s="357"/>
      <c r="CO25" s="357"/>
      <c r="CP25" s="357"/>
      <c r="CQ25" s="357"/>
      <c r="CR25" s="357"/>
      <c r="CS25" s="357"/>
      <c r="CT25" s="357"/>
      <c r="CU25" s="357"/>
      <c r="CV25" s="357"/>
      <c r="CW25" s="357"/>
      <c r="CX25" s="357"/>
      <c r="CY25" s="357"/>
      <c r="CZ25" s="357"/>
      <c r="DA25" s="357"/>
      <c r="DB25" s="357"/>
      <c r="DC25" s="357"/>
      <c r="DD25" s="357"/>
      <c r="DE25" s="357"/>
      <c r="DF25" s="357"/>
      <c r="DG25" s="357"/>
      <c r="DH25" s="357"/>
      <c r="DI25" s="357"/>
      <c r="DJ25" s="357"/>
      <c r="DK25" s="357"/>
      <c r="DL25" s="357"/>
      <c r="DM25" s="357"/>
      <c r="DN25" s="357"/>
      <c r="DO25" s="357"/>
      <c r="DP25" s="357"/>
      <c r="DQ25" s="357"/>
      <c r="DR25" s="357"/>
      <c r="DS25" s="357"/>
      <c r="DT25" s="357"/>
      <c r="DU25" s="357"/>
      <c r="DV25" s="357"/>
      <c r="DW25" s="357"/>
      <c r="DX25" s="357"/>
      <c r="DY25" s="357"/>
      <c r="DZ25" s="357"/>
      <c r="EA25" s="357"/>
      <c r="EB25" s="357"/>
      <c r="EC25" s="357"/>
      <c r="ED25" s="357"/>
      <c r="EE25" s="357"/>
      <c r="EF25" s="357"/>
      <c r="EG25" s="357"/>
      <c r="EH25" s="357"/>
      <c r="EI25" s="357"/>
      <c r="EJ25" s="357"/>
      <c r="EK25" s="357"/>
      <c r="EL25" s="357"/>
      <c r="EM25" s="357"/>
      <c r="EN25" s="357"/>
      <c r="EO25" s="357"/>
      <c r="EP25" s="357"/>
      <c r="EQ25" s="357"/>
      <c r="ER25" s="357"/>
      <c r="ES25" s="357"/>
      <c r="ET25" s="357"/>
      <c r="EU25" s="357"/>
      <c r="EV25" s="357"/>
      <c r="EW25" s="357"/>
      <c r="EX25" s="357"/>
      <c r="EY25" s="357"/>
      <c r="EZ25" s="357"/>
      <c r="FA25" s="357"/>
      <c r="FB25" s="357"/>
      <c r="FC25" s="357"/>
      <c r="FD25" s="357"/>
      <c r="FE25" s="357"/>
      <c r="FF25" s="357"/>
      <c r="FG25" s="357"/>
    </row>
    <row r="26" spans="1:163" s="360" customFormat="1" ht="14.1" customHeight="1">
      <c r="A26" s="356"/>
      <c r="B26" s="357"/>
      <c r="C26" s="613"/>
      <c r="D26" s="459" t="s">
        <v>286</v>
      </c>
      <c r="E26" s="366">
        <f>G14</f>
        <v>1.1736278909216431E-2</v>
      </c>
      <c r="F26" s="367">
        <f>G11</f>
        <v>1.1736278909216431E-2</v>
      </c>
      <c r="G26" s="358"/>
      <c r="H26" s="358"/>
      <c r="I26" s="359"/>
      <c r="J26" s="357"/>
      <c r="K26" s="357"/>
      <c r="L26" s="622"/>
      <c r="M26" s="459" t="s">
        <v>289</v>
      </c>
      <c r="N26" s="366">
        <f>Q14</f>
        <v>1.6160317002473033E-3</v>
      </c>
      <c r="O26" s="367">
        <f>Q11</f>
        <v>3.2320634004946065E-3</v>
      </c>
      <c r="P26" s="368"/>
      <c r="Q26" s="368"/>
      <c r="R26" s="356"/>
      <c r="S26" s="357"/>
      <c r="T26" s="619" t="s">
        <v>94</v>
      </c>
      <c r="U26" s="459" t="s">
        <v>286</v>
      </c>
      <c r="V26" s="366">
        <f>V15</f>
        <v>1.3193E-2</v>
      </c>
      <c r="W26" s="366">
        <f>V12</f>
        <v>1.3193E-2</v>
      </c>
      <c r="X26" s="356"/>
      <c r="Y26" s="356"/>
      <c r="Z26" s="356"/>
      <c r="AA26" s="356"/>
      <c r="AB26" s="356"/>
      <c r="AC26" s="357"/>
      <c r="AD26" s="357"/>
      <c r="AE26" s="357"/>
      <c r="AF26" s="357"/>
      <c r="AG26" s="357"/>
      <c r="AH26" s="357"/>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6"/>
      <c r="BF26" s="356"/>
      <c r="BG26" s="356"/>
      <c r="BH26" s="356"/>
      <c r="BI26" s="356"/>
      <c r="BJ26" s="356"/>
      <c r="BK26" s="356"/>
      <c r="BL26" s="356"/>
      <c r="BM26" s="356"/>
      <c r="BN26" s="356"/>
      <c r="BO26" s="356"/>
      <c r="BP26" s="356"/>
      <c r="BQ26" s="356"/>
      <c r="BR26" s="357"/>
      <c r="BS26" s="357"/>
      <c r="BT26" s="357"/>
      <c r="BU26" s="357"/>
      <c r="BV26" s="357"/>
      <c r="BW26" s="357"/>
      <c r="BX26" s="357"/>
      <c r="BY26" s="357"/>
      <c r="BZ26" s="357"/>
      <c r="CA26" s="357"/>
      <c r="CB26" s="357"/>
      <c r="CC26" s="357"/>
      <c r="CD26" s="357"/>
      <c r="CE26" s="357"/>
      <c r="CF26" s="357"/>
      <c r="CG26" s="357"/>
      <c r="CH26" s="357"/>
      <c r="CI26" s="357"/>
      <c r="CJ26" s="357"/>
      <c r="CK26" s="357"/>
      <c r="CL26" s="357"/>
      <c r="CM26" s="357"/>
      <c r="CN26" s="357"/>
      <c r="CO26" s="357"/>
      <c r="CP26" s="357"/>
      <c r="CQ26" s="357"/>
      <c r="CR26" s="357"/>
      <c r="CS26" s="357"/>
      <c r="CT26" s="357"/>
      <c r="CU26" s="357"/>
      <c r="CV26" s="357"/>
      <c r="CW26" s="357"/>
      <c r="CX26" s="357"/>
      <c r="CY26" s="357"/>
      <c r="CZ26" s="357"/>
      <c r="DA26" s="357"/>
      <c r="DB26" s="357"/>
      <c r="DC26" s="357"/>
      <c r="DD26" s="357"/>
      <c r="DE26" s="357"/>
      <c r="DF26" s="357"/>
      <c r="DG26" s="357"/>
      <c r="DH26" s="357"/>
      <c r="DI26" s="357"/>
      <c r="DJ26" s="357"/>
      <c r="DK26" s="357"/>
      <c r="DL26" s="357"/>
      <c r="DM26" s="357"/>
      <c r="DN26" s="357"/>
      <c r="DO26" s="357"/>
      <c r="DP26" s="357"/>
      <c r="DQ26" s="357"/>
      <c r="DR26" s="357"/>
      <c r="DS26" s="357"/>
      <c r="DT26" s="357"/>
      <c r="DU26" s="357"/>
      <c r="DV26" s="357"/>
      <c r="DW26" s="357"/>
      <c r="DX26" s="357"/>
      <c r="DY26" s="357"/>
      <c r="DZ26" s="357"/>
      <c r="EA26" s="357"/>
      <c r="EB26" s="357"/>
      <c r="EC26" s="357"/>
      <c r="ED26" s="357"/>
      <c r="EE26" s="357"/>
      <c r="EF26" s="357"/>
      <c r="EG26" s="357"/>
      <c r="EH26" s="357"/>
      <c r="EI26" s="357"/>
      <c r="EJ26" s="357"/>
      <c r="EK26" s="357"/>
      <c r="EL26" s="357"/>
      <c r="EM26" s="357"/>
      <c r="EN26" s="357"/>
      <c r="EO26" s="357"/>
      <c r="EP26" s="357"/>
      <c r="EQ26" s="357"/>
      <c r="ER26" s="357"/>
      <c r="ES26" s="357"/>
      <c r="ET26" s="357"/>
      <c r="EU26" s="357"/>
      <c r="EV26" s="357"/>
      <c r="EW26" s="357"/>
      <c r="EX26" s="357"/>
      <c r="EY26" s="357"/>
      <c r="EZ26" s="357"/>
      <c r="FA26" s="357"/>
      <c r="FB26" s="357"/>
      <c r="FC26" s="357"/>
      <c r="FD26" s="357"/>
      <c r="FE26" s="357"/>
      <c r="FF26" s="357"/>
      <c r="FG26" s="357"/>
    </row>
    <row r="27" spans="1:163" s="360" customFormat="1" ht="14.1" customHeight="1">
      <c r="A27" s="356"/>
      <c r="B27" s="357"/>
      <c r="C27" s="613"/>
      <c r="D27" s="459" t="s">
        <v>288</v>
      </c>
      <c r="E27" s="366">
        <f>H14</f>
        <v>8.6066045334253823E-3</v>
      </c>
      <c r="F27" s="367">
        <f>H11</f>
        <v>8.6066045334253823E-3</v>
      </c>
      <c r="G27" s="358"/>
      <c r="H27" s="358"/>
      <c r="I27" s="359"/>
      <c r="J27" s="357"/>
      <c r="K27" s="357"/>
      <c r="L27" s="623"/>
      <c r="M27" s="459" t="s">
        <v>290</v>
      </c>
      <c r="N27" s="366">
        <f>R14</f>
        <v>6.4226900907264617E-4</v>
      </c>
      <c r="O27" s="367">
        <f>R11</f>
        <v>1.6574684105100546E-3</v>
      </c>
      <c r="P27" s="368"/>
      <c r="Q27" s="368"/>
      <c r="R27" s="356"/>
      <c r="S27" s="357"/>
      <c r="T27" s="619"/>
      <c r="U27" s="459" t="s">
        <v>288</v>
      </c>
      <c r="V27" s="366">
        <f>W15</f>
        <v>9.674866666666667E-3</v>
      </c>
      <c r="W27" s="366">
        <f>W12</f>
        <v>9.674866666666667E-3</v>
      </c>
      <c r="X27" s="356"/>
      <c r="Y27" s="356"/>
      <c r="Z27" s="356"/>
      <c r="AA27" s="356"/>
      <c r="AB27" s="356"/>
      <c r="AC27" s="357"/>
      <c r="AD27" s="357"/>
      <c r="AE27" s="357"/>
      <c r="AF27" s="357"/>
      <c r="AG27" s="357"/>
      <c r="AH27" s="357"/>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6"/>
      <c r="BF27" s="356"/>
      <c r="BG27" s="356"/>
      <c r="BH27" s="356"/>
      <c r="BI27" s="356"/>
      <c r="BJ27" s="356"/>
      <c r="BK27" s="356"/>
      <c r="BL27" s="356"/>
      <c r="BM27" s="356"/>
      <c r="BN27" s="356"/>
      <c r="BO27" s="356"/>
      <c r="BP27" s="356"/>
      <c r="BQ27" s="356"/>
      <c r="BR27" s="357"/>
      <c r="BS27" s="357"/>
      <c r="BT27" s="357"/>
      <c r="BU27" s="357"/>
      <c r="BV27" s="357"/>
      <c r="BW27" s="357"/>
      <c r="BX27" s="357"/>
      <c r="BY27" s="357"/>
      <c r="BZ27" s="357"/>
      <c r="CA27" s="357"/>
      <c r="CB27" s="357"/>
      <c r="CC27" s="357"/>
      <c r="CD27" s="357"/>
      <c r="CE27" s="357"/>
      <c r="CF27" s="357"/>
      <c r="CG27" s="357"/>
      <c r="CH27" s="357"/>
      <c r="CI27" s="357"/>
      <c r="CJ27" s="357"/>
      <c r="CK27" s="357"/>
      <c r="CL27" s="357"/>
      <c r="CM27" s="357"/>
      <c r="CN27" s="357"/>
      <c r="CO27" s="357"/>
      <c r="CP27" s="357"/>
      <c r="CQ27" s="357"/>
      <c r="CR27" s="357"/>
      <c r="CS27" s="357"/>
      <c r="CT27" s="357"/>
      <c r="CU27" s="357"/>
      <c r="CV27" s="357"/>
      <c r="CW27" s="357"/>
      <c r="CX27" s="357"/>
      <c r="CY27" s="357"/>
      <c r="CZ27" s="357"/>
      <c r="DA27" s="357"/>
      <c r="DB27" s="357"/>
      <c r="DC27" s="357"/>
      <c r="DD27" s="357"/>
      <c r="DE27" s="357"/>
      <c r="DF27" s="357"/>
      <c r="DG27" s="357"/>
      <c r="DH27" s="357"/>
      <c r="DI27" s="357"/>
      <c r="DJ27" s="357"/>
      <c r="DK27" s="357"/>
      <c r="DL27" s="357"/>
      <c r="DM27" s="357"/>
      <c r="DN27" s="357"/>
      <c r="DO27" s="357"/>
      <c r="DP27" s="357"/>
      <c r="DQ27" s="357"/>
      <c r="DR27" s="357"/>
      <c r="DS27" s="357"/>
      <c r="DT27" s="357"/>
      <c r="DU27" s="357"/>
      <c r="DV27" s="357"/>
      <c r="DW27" s="357"/>
      <c r="DX27" s="357"/>
      <c r="DY27" s="357"/>
      <c r="DZ27" s="357"/>
      <c r="EA27" s="357"/>
      <c r="EB27" s="357"/>
      <c r="EC27" s="357"/>
      <c r="ED27" s="357"/>
      <c r="EE27" s="357"/>
      <c r="EF27" s="357"/>
      <c r="EG27" s="357"/>
      <c r="EH27" s="357"/>
      <c r="EI27" s="357"/>
      <c r="EJ27" s="357"/>
      <c r="EK27" s="357"/>
      <c r="EL27" s="357"/>
      <c r="EM27" s="357"/>
      <c r="EN27" s="357"/>
      <c r="EO27" s="357"/>
      <c r="EP27" s="357"/>
      <c r="EQ27" s="357"/>
      <c r="ER27" s="357"/>
      <c r="ES27" s="357"/>
      <c r="ET27" s="357"/>
      <c r="EU27" s="357"/>
      <c r="EV27" s="357"/>
      <c r="EW27" s="357"/>
      <c r="EX27" s="357"/>
      <c r="EY27" s="357"/>
      <c r="EZ27" s="357"/>
      <c r="FA27" s="357"/>
      <c r="FB27" s="357"/>
      <c r="FC27" s="357"/>
      <c r="FD27" s="357"/>
      <c r="FE27" s="357"/>
      <c r="FF27" s="357"/>
      <c r="FG27" s="357"/>
    </row>
    <row r="28" spans="1:163" s="360" customFormat="1" ht="14.1" customHeight="1">
      <c r="A28" s="356"/>
      <c r="B28" s="357"/>
      <c r="C28" s="613"/>
      <c r="D28" s="459" t="s">
        <v>289</v>
      </c>
      <c r="E28" s="366">
        <f>I14</f>
        <v>8.0385471980934462E-3</v>
      </c>
      <c r="F28" s="367">
        <f>I11</f>
        <v>8.0385471980934462E-3</v>
      </c>
      <c r="G28" s="358"/>
      <c r="H28" s="358"/>
      <c r="I28" s="359"/>
      <c r="J28" s="357"/>
      <c r="K28" s="357"/>
      <c r="L28" s="624" t="s">
        <v>94</v>
      </c>
      <c r="M28" s="459" t="s">
        <v>291</v>
      </c>
      <c r="N28" s="369">
        <f>N15</f>
        <v>0.20544000000000001</v>
      </c>
      <c r="O28" s="370">
        <f>N12</f>
        <v>0.20544000000000001</v>
      </c>
      <c r="P28" s="368"/>
      <c r="Q28" s="368"/>
      <c r="R28" s="356"/>
      <c r="S28" s="357"/>
      <c r="T28" s="619"/>
      <c r="U28" s="459" t="s">
        <v>289</v>
      </c>
      <c r="V28" s="366">
        <f>X15</f>
        <v>9.0363013698630135E-3</v>
      </c>
      <c r="W28" s="366">
        <f>X12</f>
        <v>9.0363013698630135E-3</v>
      </c>
      <c r="X28" s="356"/>
      <c r="Y28" s="356"/>
      <c r="Z28" s="356"/>
      <c r="AA28" s="356"/>
      <c r="AB28" s="356"/>
      <c r="AC28" s="357"/>
      <c r="AD28" s="357"/>
      <c r="AE28" s="357"/>
      <c r="AF28" s="357"/>
      <c r="AG28" s="357"/>
      <c r="AH28" s="357"/>
      <c r="AI28" s="356"/>
      <c r="AJ28" s="356"/>
      <c r="AK28" s="356"/>
      <c r="AL28" s="356"/>
      <c r="AM28" s="356"/>
      <c r="AN28" s="356"/>
      <c r="AO28" s="356"/>
      <c r="AP28" s="356"/>
      <c r="AQ28" s="356"/>
      <c r="AR28" s="356"/>
      <c r="AS28" s="356"/>
      <c r="AT28" s="356"/>
      <c r="AU28" s="356"/>
      <c r="AV28" s="356"/>
      <c r="AW28" s="356"/>
      <c r="AX28" s="356"/>
      <c r="AY28" s="356"/>
      <c r="AZ28" s="356"/>
      <c r="BA28" s="356"/>
      <c r="BB28" s="356"/>
      <c r="BC28" s="356"/>
      <c r="BD28" s="356"/>
      <c r="BE28" s="356"/>
      <c r="BF28" s="356"/>
      <c r="BG28" s="356"/>
      <c r="BH28" s="356"/>
      <c r="BI28" s="356"/>
      <c r="BJ28" s="356"/>
      <c r="BK28" s="356"/>
      <c r="BL28" s="356"/>
      <c r="BM28" s="356"/>
      <c r="BN28" s="356"/>
      <c r="BO28" s="356"/>
      <c r="BP28" s="356"/>
      <c r="BQ28" s="356"/>
      <c r="BR28" s="357"/>
      <c r="BS28" s="357"/>
      <c r="BT28" s="357"/>
      <c r="BU28" s="357"/>
      <c r="BV28" s="357"/>
      <c r="BW28" s="357"/>
      <c r="BX28" s="357"/>
      <c r="BY28" s="357"/>
      <c r="BZ28" s="357"/>
      <c r="CA28" s="357"/>
      <c r="CB28" s="357"/>
      <c r="CC28" s="357"/>
      <c r="CD28" s="357"/>
      <c r="CE28" s="357"/>
      <c r="CF28" s="357"/>
      <c r="CG28" s="357"/>
      <c r="CH28" s="357"/>
      <c r="CI28" s="357"/>
      <c r="CJ28" s="357"/>
      <c r="CK28" s="357"/>
      <c r="CL28" s="357"/>
      <c r="CM28" s="357"/>
      <c r="CN28" s="357"/>
      <c r="CO28" s="357"/>
      <c r="CP28" s="357"/>
      <c r="CQ28" s="357"/>
      <c r="CR28" s="357"/>
      <c r="CS28" s="357"/>
      <c r="CT28" s="357"/>
      <c r="CU28" s="357"/>
      <c r="CV28" s="357"/>
      <c r="CW28" s="357"/>
      <c r="CX28" s="357"/>
      <c r="CY28" s="357"/>
      <c r="CZ28" s="357"/>
      <c r="DA28" s="357"/>
      <c r="DB28" s="357"/>
      <c r="DC28" s="357"/>
      <c r="DD28" s="357"/>
      <c r="DE28" s="357"/>
      <c r="DF28" s="357"/>
      <c r="DG28" s="357"/>
      <c r="DH28" s="357"/>
      <c r="DI28" s="357"/>
      <c r="DJ28" s="357"/>
      <c r="DK28" s="357"/>
      <c r="DL28" s="357"/>
      <c r="DM28" s="357"/>
      <c r="DN28" s="357"/>
      <c r="DO28" s="357"/>
      <c r="DP28" s="357"/>
      <c r="DQ28" s="357"/>
      <c r="DR28" s="357"/>
      <c r="DS28" s="357"/>
      <c r="DT28" s="357"/>
      <c r="DU28" s="357"/>
      <c r="DV28" s="357"/>
      <c r="DW28" s="357"/>
      <c r="DX28" s="357"/>
      <c r="DY28" s="357"/>
      <c r="DZ28" s="357"/>
      <c r="EA28" s="357"/>
      <c r="EB28" s="357"/>
      <c r="EC28" s="357"/>
      <c r="ED28" s="357"/>
      <c r="EE28" s="357"/>
      <c r="EF28" s="357"/>
      <c r="EG28" s="357"/>
      <c r="EH28" s="357"/>
      <c r="EI28" s="357"/>
      <c r="EJ28" s="357"/>
      <c r="EK28" s="357"/>
      <c r="EL28" s="357"/>
      <c r="EM28" s="357"/>
      <c r="EN28" s="357"/>
      <c r="EO28" s="357"/>
      <c r="EP28" s="357"/>
      <c r="EQ28" s="357"/>
      <c r="ER28" s="357"/>
      <c r="ES28" s="357"/>
      <c r="ET28" s="357"/>
      <c r="EU28" s="357"/>
      <c r="EV28" s="357"/>
      <c r="EW28" s="357"/>
      <c r="EX28" s="357"/>
      <c r="EY28" s="357"/>
      <c r="EZ28" s="357"/>
      <c r="FA28" s="357"/>
      <c r="FB28" s="357"/>
      <c r="FC28" s="357"/>
      <c r="FD28" s="357"/>
      <c r="FE28" s="357"/>
      <c r="FF28" s="357"/>
      <c r="FG28" s="357"/>
    </row>
    <row r="29" spans="1:163" s="360" customFormat="1" ht="14.1" customHeight="1">
      <c r="A29" s="356"/>
      <c r="B29" s="357"/>
      <c r="C29" s="613"/>
      <c r="D29" s="459" t="s">
        <v>290</v>
      </c>
      <c r="E29" s="366">
        <f>J14</f>
        <v>3.1948072197550874E-3</v>
      </c>
      <c r="F29" s="367">
        <f>J11</f>
        <v>4.1223318964581776E-3</v>
      </c>
      <c r="G29" s="358"/>
      <c r="H29" s="358"/>
      <c r="I29" s="359"/>
      <c r="J29" s="357"/>
      <c r="K29" s="357"/>
      <c r="L29" s="622"/>
      <c r="M29" s="459" t="s">
        <v>23</v>
      </c>
      <c r="N29" s="366">
        <f>O15</f>
        <v>2.568E-3</v>
      </c>
      <c r="O29" s="367">
        <f>O12</f>
        <v>2.568E-3</v>
      </c>
      <c r="P29" s="368"/>
      <c r="Q29" s="368"/>
      <c r="R29" s="356"/>
      <c r="S29" s="357"/>
      <c r="T29" s="619"/>
      <c r="U29" s="459" t="s">
        <v>290</v>
      </c>
      <c r="V29" s="366">
        <f>Y15</f>
        <v>3.591350544432736E-3</v>
      </c>
      <c r="W29" s="366">
        <f>Y12</f>
        <v>4.6340007024938531E-3</v>
      </c>
      <c r="X29" s="356"/>
      <c r="Y29" s="356"/>
      <c r="Z29" s="356"/>
      <c r="AA29" s="356"/>
      <c r="AB29" s="356"/>
      <c r="AC29" s="357"/>
      <c r="AD29" s="357"/>
      <c r="AE29" s="357"/>
      <c r="AF29" s="357"/>
      <c r="AG29" s="357"/>
      <c r="AH29" s="357"/>
      <c r="AI29" s="356"/>
      <c r="AJ29" s="356"/>
      <c r="AK29" s="356"/>
      <c r="AL29" s="356"/>
      <c r="AM29" s="356"/>
      <c r="AN29" s="356"/>
      <c r="AO29" s="356"/>
      <c r="AP29" s="356"/>
      <c r="AQ29" s="356"/>
      <c r="AR29" s="356"/>
      <c r="AS29" s="356"/>
      <c r="AT29" s="356"/>
      <c r="AU29" s="356"/>
      <c r="AV29" s="356"/>
      <c r="AW29" s="356"/>
      <c r="AX29" s="356"/>
      <c r="AY29" s="356"/>
      <c r="AZ29" s="356"/>
      <c r="BA29" s="356"/>
      <c r="BB29" s="356"/>
      <c r="BC29" s="356"/>
      <c r="BD29" s="356"/>
      <c r="BE29" s="356"/>
      <c r="BF29" s="356"/>
      <c r="BG29" s="356"/>
      <c r="BH29" s="356"/>
      <c r="BI29" s="356"/>
      <c r="BJ29" s="356"/>
      <c r="BK29" s="356"/>
      <c r="BL29" s="356"/>
      <c r="BM29" s="356"/>
      <c r="BN29" s="356"/>
      <c r="BO29" s="356"/>
      <c r="BP29" s="356"/>
      <c r="BQ29" s="356"/>
      <c r="BR29" s="357"/>
      <c r="BS29" s="357"/>
      <c r="BT29" s="357"/>
      <c r="BU29" s="357"/>
      <c r="BV29" s="357"/>
      <c r="BW29" s="357"/>
      <c r="BX29" s="357"/>
      <c r="BY29" s="357"/>
      <c r="BZ29" s="357"/>
      <c r="CA29" s="357"/>
      <c r="CB29" s="357"/>
      <c r="CC29" s="357"/>
      <c r="CD29" s="357"/>
      <c r="CE29" s="357"/>
      <c r="CF29" s="357"/>
      <c r="CG29" s="357"/>
      <c r="CH29" s="357"/>
      <c r="CI29" s="357"/>
      <c r="CJ29" s="357"/>
      <c r="CK29" s="357"/>
      <c r="CL29" s="357"/>
      <c r="CM29" s="357"/>
      <c r="CN29" s="357"/>
      <c r="CO29" s="357"/>
      <c r="CP29" s="357"/>
      <c r="CQ29" s="357"/>
      <c r="CR29" s="357"/>
      <c r="CS29" s="357"/>
      <c r="CT29" s="357"/>
      <c r="CU29" s="357"/>
      <c r="CV29" s="357"/>
      <c r="CW29" s="357"/>
      <c r="CX29" s="357"/>
      <c r="CY29" s="357"/>
      <c r="CZ29" s="357"/>
      <c r="DA29" s="357"/>
      <c r="DB29" s="357"/>
      <c r="DC29" s="357"/>
      <c r="DD29" s="357"/>
      <c r="DE29" s="357"/>
      <c r="DF29" s="357"/>
      <c r="DG29" s="357"/>
      <c r="DH29" s="357"/>
      <c r="DI29" s="357"/>
      <c r="DJ29" s="357"/>
      <c r="DK29" s="357"/>
      <c r="DL29" s="357"/>
      <c r="DM29" s="357"/>
      <c r="DN29" s="357"/>
      <c r="DO29" s="357"/>
      <c r="DP29" s="357"/>
      <c r="DQ29" s="357"/>
      <c r="DR29" s="357"/>
      <c r="DS29" s="357"/>
      <c r="DT29" s="357"/>
      <c r="DU29" s="357"/>
      <c r="DV29" s="357"/>
      <c r="DW29" s="357"/>
      <c r="DX29" s="357"/>
      <c r="DY29" s="357"/>
      <c r="DZ29" s="357"/>
      <c r="EA29" s="357"/>
      <c r="EB29" s="357"/>
      <c r="EC29" s="357"/>
      <c r="ED29" s="357"/>
      <c r="EE29" s="357"/>
      <c r="EF29" s="357"/>
      <c r="EG29" s="357"/>
      <c r="EH29" s="357"/>
      <c r="EI29" s="357"/>
      <c r="EJ29" s="357"/>
      <c r="EK29" s="357"/>
      <c r="EL29" s="357"/>
      <c r="EM29" s="357"/>
      <c r="EN29" s="357"/>
      <c r="EO29" s="357"/>
      <c r="EP29" s="357"/>
      <c r="EQ29" s="357"/>
      <c r="ER29" s="357"/>
      <c r="ES29" s="357"/>
      <c r="ET29" s="357"/>
      <c r="EU29" s="357"/>
      <c r="EV29" s="357"/>
      <c r="EW29" s="357"/>
      <c r="EX29" s="357"/>
      <c r="EY29" s="357"/>
      <c r="EZ29" s="357"/>
      <c r="FA29" s="357"/>
      <c r="FB29" s="357"/>
      <c r="FC29" s="357"/>
      <c r="FD29" s="357"/>
      <c r="FE29" s="357"/>
      <c r="FF29" s="357"/>
      <c r="FG29" s="357"/>
    </row>
    <row r="30" spans="1:163" s="360" customFormat="1" ht="14.45" customHeight="1">
      <c r="A30" s="356"/>
      <c r="B30" s="357"/>
      <c r="C30" s="613" t="s">
        <v>94</v>
      </c>
      <c r="D30" s="459" t="s">
        <v>284</v>
      </c>
      <c r="E30" s="366">
        <f>E15</f>
        <v>8.5000000000000006E-2</v>
      </c>
      <c r="F30" s="367">
        <f>E12</f>
        <v>8.5000000000000006E-2</v>
      </c>
      <c r="G30" s="358"/>
      <c r="H30" s="358"/>
      <c r="I30" s="359"/>
      <c r="J30" s="357"/>
      <c r="K30" s="357"/>
      <c r="L30" s="622"/>
      <c r="M30" s="459" t="s">
        <v>292</v>
      </c>
      <c r="N30" s="366">
        <f>P15</f>
        <v>1.8832E-3</v>
      </c>
      <c r="O30" s="367">
        <f>P12</f>
        <v>1.8832E-3</v>
      </c>
      <c r="P30" s="368"/>
      <c r="Q30" s="368"/>
      <c r="R30" s="356"/>
      <c r="S30" s="357"/>
      <c r="T30"/>
      <c r="U30"/>
      <c r="V30"/>
      <c r="W30" s="356"/>
      <c r="X30" s="356"/>
      <c r="Y30" s="356"/>
      <c r="Z30" s="356"/>
      <c r="AA30" s="356"/>
      <c r="AB30" s="356"/>
      <c r="AC30" s="357"/>
      <c r="AD30" s="357"/>
      <c r="AE30" s="357"/>
      <c r="AF30" s="357"/>
      <c r="AG30" s="357"/>
      <c r="AH30" s="357"/>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c r="BG30" s="356"/>
      <c r="BH30" s="356"/>
      <c r="BI30" s="356"/>
      <c r="BJ30" s="356"/>
      <c r="BK30" s="356"/>
      <c r="BL30" s="356"/>
      <c r="BM30" s="356"/>
      <c r="BN30" s="356"/>
      <c r="BO30" s="356"/>
      <c r="BP30" s="356"/>
      <c r="BQ30" s="356"/>
      <c r="BR30" s="357"/>
      <c r="BS30" s="357"/>
      <c r="BT30" s="357"/>
      <c r="BU30" s="357"/>
      <c r="BV30" s="357"/>
      <c r="BW30" s="357"/>
      <c r="BX30" s="357"/>
      <c r="BY30" s="357"/>
      <c r="BZ30" s="357"/>
      <c r="CA30" s="357"/>
      <c r="CB30" s="357"/>
      <c r="CC30" s="357"/>
      <c r="CD30" s="357"/>
      <c r="CE30" s="357"/>
      <c r="CF30" s="357"/>
      <c r="CG30" s="357"/>
      <c r="CH30" s="357"/>
      <c r="CI30" s="357"/>
      <c r="CJ30" s="357"/>
      <c r="CK30" s="357"/>
      <c r="CL30" s="357"/>
      <c r="CM30" s="357"/>
      <c r="CN30" s="357"/>
      <c r="CO30" s="357"/>
      <c r="CP30" s="357"/>
      <c r="CQ30" s="357"/>
      <c r="CR30" s="357"/>
      <c r="CS30" s="357"/>
      <c r="CT30" s="357"/>
      <c r="CU30" s="357"/>
      <c r="CV30" s="357"/>
      <c r="CW30" s="357"/>
      <c r="CX30" s="357"/>
      <c r="CY30" s="357"/>
      <c r="CZ30" s="357"/>
      <c r="DA30" s="357"/>
      <c r="DB30" s="357"/>
      <c r="DC30" s="357"/>
      <c r="DD30" s="357"/>
      <c r="DE30" s="357"/>
      <c r="DF30" s="357"/>
      <c r="DG30" s="357"/>
      <c r="DH30" s="357"/>
      <c r="DI30" s="357"/>
      <c r="DJ30" s="357"/>
      <c r="DK30" s="357"/>
      <c r="DL30" s="357"/>
      <c r="DM30" s="357"/>
      <c r="DN30" s="357"/>
      <c r="DO30" s="357"/>
      <c r="DP30" s="357"/>
      <c r="DQ30" s="357"/>
      <c r="DR30" s="357"/>
      <c r="DS30" s="357"/>
      <c r="DT30" s="357"/>
      <c r="DU30" s="357"/>
      <c r="DV30" s="357"/>
      <c r="DW30" s="357"/>
      <c r="DX30" s="357"/>
      <c r="DY30" s="357"/>
      <c r="DZ30" s="357"/>
      <c r="EA30" s="357"/>
      <c r="EB30" s="357"/>
      <c r="EC30" s="357"/>
      <c r="ED30" s="357"/>
      <c r="EE30" s="357"/>
      <c r="EF30" s="357"/>
      <c r="EG30" s="357"/>
      <c r="EH30" s="357"/>
      <c r="EI30" s="357"/>
      <c r="EJ30" s="357"/>
      <c r="EK30" s="357"/>
      <c r="EL30" s="357"/>
      <c r="EM30" s="357"/>
      <c r="EN30" s="357"/>
      <c r="EO30" s="357"/>
      <c r="EP30" s="357"/>
      <c r="EQ30" s="357"/>
      <c r="ER30" s="357"/>
      <c r="ES30" s="357"/>
      <c r="ET30" s="357"/>
      <c r="EU30" s="357"/>
      <c r="EV30" s="357"/>
      <c r="EW30" s="357"/>
      <c r="EX30" s="357"/>
      <c r="EY30" s="357"/>
      <c r="EZ30" s="357"/>
      <c r="FA30" s="357"/>
      <c r="FB30" s="357"/>
      <c r="FC30" s="357"/>
      <c r="FD30" s="357"/>
      <c r="FE30" s="357"/>
      <c r="FF30" s="357"/>
      <c r="FG30" s="357"/>
    </row>
    <row r="31" spans="1:163" s="360" customFormat="1" ht="15.95" customHeight="1">
      <c r="A31" s="356"/>
      <c r="B31" s="357"/>
      <c r="C31" s="613"/>
      <c r="D31" s="459" t="s">
        <v>287</v>
      </c>
      <c r="E31" s="366">
        <f>F15</f>
        <v>0</v>
      </c>
      <c r="F31" s="367">
        <f>F12</f>
        <v>0</v>
      </c>
      <c r="G31" s="358"/>
      <c r="H31" s="358"/>
      <c r="I31" s="359"/>
      <c r="J31" s="357"/>
      <c r="K31" s="357"/>
      <c r="L31" s="622"/>
      <c r="M31" s="459" t="s">
        <v>293</v>
      </c>
      <c r="N31" s="366">
        <f>Q15</f>
        <v>1.7589041095890411E-3</v>
      </c>
      <c r="O31" s="367">
        <f>Q12</f>
        <v>1.7589041095890411E-3</v>
      </c>
      <c r="P31" s="368"/>
      <c r="Q31" s="368"/>
      <c r="R31" s="356"/>
      <c r="S31" s="356"/>
      <c r="T31" s="356"/>
      <c r="U31" s="356"/>
      <c r="V31" s="356"/>
      <c r="W31" s="356"/>
      <c r="X31" s="356"/>
      <c r="Y31" s="356"/>
      <c r="Z31" s="356"/>
      <c r="AA31" s="356"/>
      <c r="AB31" s="356"/>
      <c r="AC31" s="357"/>
      <c r="AD31" s="357"/>
      <c r="AE31" s="357"/>
      <c r="AF31" s="357"/>
      <c r="AG31" s="357"/>
      <c r="AH31" s="357"/>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6"/>
      <c r="BF31" s="356"/>
      <c r="BG31" s="356"/>
      <c r="BH31" s="356"/>
      <c r="BI31" s="356"/>
      <c r="BJ31" s="356"/>
      <c r="BK31" s="356"/>
      <c r="BL31" s="356"/>
      <c r="BM31" s="356"/>
      <c r="BN31" s="356"/>
      <c r="BO31" s="356"/>
      <c r="BP31" s="356"/>
      <c r="BQ31" s="356"/>
      <c r="BR31" s="357"/>
      <c r="BS31" s="357"/>
      <c r="BT31" s="357"/>
      <c r="BU31" s="357"/>
      <c r="BV31" s="357"/>
      <c r="BW31" s="357"/>
      <c r="BX31" s="357"/>
      <c r="BY31" s="357"/>
      <c r="BZ31" s="357"/>
      <c r="CA31" s="357"/>
      <c r="CB31" s="357"/>
      <c r="CC31" s="357"/>
      <c r="CD31" s="357"/>
      <c r="CE31" s="357"/>
      <c r="CF31" s="357"/>
      <c r="CG31" s="357"/>
      <c r="CH31" s="357"/>
      <c r="CI31" s="357"/>
      <c r="CJ31" s="357"/>
      <c r="CK31" s="357"/>
      <c r="CL31" s="357"/>
      <c r="CM31" s="357"/>
      <c r="CN31" s="357"/>
      <c r="CO31" s="357"/>
      <c r="CP31" s="357"/>
      <c r="CQ31" s="357"/>
      <c r="CR31" s="357"/>
      <c r="CS31" s="357"/>
      <c r="CT31" s="357"/>
      <c r="CU31" s="357"/>
      <c r="CV31" s="357"/>
      <c r="CW31" s="357"/>
      <c r="CX31" s="357"/>
      <c r="CY31" s="357"/>
      <c r="CZ31" s="357"/>
      <c r="DA31" s="357"/>
      <c r="DB31" s="357"/>
      <c r="DC31" s="357"/>
      <c r="DD31" s="357"/>
      <c r="DE31" s="357"/>
      <c r="DF31" s="357"/>
      <c r="DG31" s="357"/>
      <c r="DH31" s="357"/>
      <c r="DI31" s="357"/>
      <c r="DJ31" s="357"/>
      <c r="DK31" s="357"/>
      <c r="DL31" s="357"/>
      <c r="DM31" s="357"/>
      <c r="DN31" s="357"/>
      <c r="DO31" s="357"/>
      <c r="DP31" s="357"/>
      <c r="DQ31" s="357"/>
      <c r="DR31" s="357"/>
      <c r="DS31" s="357"/>
      <c r="DT31" s="357"/>
      <c r="DU31" s="357"/>
      <c r="DV31" s="357"/>
      <c r="DW31" s="357"/>
      <c r="DX31" s="357"/>
      <c r="DY31" s="357"/>
      <c r="DZ31" s="357"/>
      <c r="EA31" s="357"/>
      <c r="EB31" s="357"/>
      <c r="EC31" s="357"/>
      <c r="ED31" s="357"/>
      <c r="EE31" s="357"/>
      <c r="EF31" s="357"/>
      <c r="EG31" s="357"/>
      <c r="EH31" s="357"/>
      <c r="EI31" s="357"/>
      <c r="EJ31" s="357"/>
      <c r="EK31" s="357"/>
      <c r="EL31" s="357"/>
      <c r="EM31" s="357"/>
      <c r="EN31" s="357"/>
      <c r="EO31" s="357"/>
      <c r="EP31" s="357"/>
      <c r="EQ31" s="357"/>
      <c r="ER31" s="357"/>
      <c r="ES31" s="357"/>
      <c r="ET31" s="357"/>
      <c r="EU31" s="357"/>
      <c r="EV31" s="357"/>
      <c r="EW31" s="357"/>
      <c r="EX31" s="357"/>
      <c r="EY31" s="357"/>
      <c r="EZ31" s="357"/>
      <c r="FA31" s="357"/>
      <c r="FB31" s="357"/>
      <c r="FC31" s="357"/>
      <c r="FD31" s="357"/>
      <c r="FE31" s="357"/>
      <c r="FF31" s="357"/>
      <c r="FG31" s="357"/>
    </row>
    <row r="32" spans="1:163" s="360" customFormat="1" ht="14.1" customHeight="1">
      <c r="A32" s="356"/>
      <c r="B32" s="357"/>
      <c r="C32" s="613"/>
      <c r="D32" s="459" t="s">
        <v>286</v>
      </c>
      <c r="E32" s="366">
        <f>G15</f>
        <v>1.0625000000000001E-2</v>
      </c>
      <c r="F32" s="367">
        <f>G12</f>
        <v>1.0625000000000001E-2</v>
      </c>
      <c r="G32" s="358"/>
      <c r="H32" s="358"/>
      <c r="I32" s="359"/>
      <c r="J32" s="357"/>
      <c r="K32" s="357"/>
      <c r="L32" s="625"/>
      <c r="M32" s="352" t="s">
        <v>294</v>
      </c>
      <c r="N32" s="371">
        <f>R15</f>
        <v>6.990516332982087E-4</v>
      </c>
      <c r="O32" s="372">
        <f>R12</f>
        <v>9.0200210748155952E-4</v>
      </c>
      <c r="P32" s="368"/>
      <c r="Q32" s="368"/>
      <c r="R32" s="356"/>
      <c r="S32" s="356"/>
      <c r="T32" s="356"/>
      <c r="U32" s="356"/>
      <c r="V32" s="356"/>
      <c r="W32" s="356"/>
      <c r="X32" s="356"/>
      <c r="Y32" s="356"/>
      <c r="Z32" s="356"/>
      <c r="AA32" s="356"/>
      <c r="AB32" s="356"/>
      <c r="AC32" s="357"/>
      <c r="AD32" s="357"/>
      <c r="AE32" s="357"/>
      <c r="AF32" s="357"/>
      <c r="AG32" s="357"/>
      <c r="AH32" s="357"/>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6"/>
      <c r="BF32" s="356"/>
      <c r="BG32" s="356"/>
      <c r="BH32" s="356"/>
      <c r="BI32" s="356"/>
      <c r="BJ32" s="356"/>
      <c r="BK32" s="356"/>
      <c r="BL32" s="356"/>
      <c r="BM32" s="356"/>
      <c r="BN32" s="356"/>
      <c r="BO32" s="356"/>
      <c r="BP32" s="356"/>
      <c r="BQ32" s="356"/>
      <c r="BR32" s="357"/>
      <c r="BS32" s="357"/>
      <c r="BT32" s="357"/>
      <c r="BU32" s="357"/>
      <c r="BV32" s="357"/>
      <c r="BW32" s="357"/>
      <c r="BX32" s="357"/>
      <c r="BY32" s="357"/>
      <c r="BZ32" s="357"/>
      <c r="CA32" s="357"/>
      <c r="CB32" s="357"/>
      <c r="CC32" s="357"/>
      <c r="CD32" s="357"/>
      <c r="CE32" s="357"/>
      <c r="CF32" s="357"/>
      <c r="CG32" s="357"/>
      <c r="CH32" s="357"/>
      <c r="CI32" s="357"/>
      <c r="CJ32" s="357"/>
      <c r="CK32" s="357"/>
      <c r="CL32" s="357"/>
      <c r="CM32" s="357"/>
      <c r="CN32" s="357"/>
      <c r="CO32" s="357"/>
      <c r="CP32" s="357"/>
      <c r="CQ32" s="357"/>
      <c r="CR32" s="357"/>
      <c r="CS32" s="357"/>
      <c r="CT32" s="357"/>
      <c r="CU32" s="357"/>
      <c r="CV32" s="357"/>
      <c r="CW32" s="357"/>
      <c r="CX32" s="357"/>
      <c r="CY32" s="357"/>
      <c r="CZ32" s="357"/>
      <c r="DA32" s="357"/>
      <c r="DB32" s="357"/>
      <c r="DC32" s="357"/>
      <c r="DD32" s="357"/>
      <c r="DE32" s="357"/>
      <c r="DF32" s="357"/>
      <c r="DG32" s="357"/>
      <c r="DH32" s="357"/>
      <c r="DI32" s="357"/>
      <c r="DJ32" s="357"/>
      <c r="DK32" s="357"/>
      <c r="DL32" s="357"/>
      <c r="DM32" s="357"/>
      <c r="DN32" s="357"/>
      <c r="DO32" s="357"/>
      <c r="DP32" s="357"/>
      <c r="DQ32" s="357"/>
      <c r="DR32" s="357"/>
      <c r="DS32" s="357"/>
      <c r="DT32" s="357"/>
      <c r="DU32" s="357"/>
      <c r="DV32" s="357"/>
      <c r="DW32" s="357"/>
      <c r="DX32" s="357"/>
      <c r="DY32" s="357"/>
      <c r="DZ32" s="357"/>
      <c r="EA32" s="357"/>
      <c r="EB32" s="357"/>
      <c r="EC32" s="357"/>
      <c r="ED32" s="357"/>
      <c r="EE32" s="357"/>
      <c r="EF32" s="357"/>
      <c r="EG32" s="357"/>
      <c r="EH32" s="357"/>
      <c r="EI32" s="357"/>
      <c r="EJ32" s="357"/>
      <c r="EK32" s="357"/>
      <c r="EL32" s="357"/>
      <c r="EM32" s="357"/>
      <c r="EN32" s="357"/>
      <c r="EO32" s="357"/>
      <c r="EP32" s="357"/>
      <c r="EQ32" s="357"/>
      <c r="ER32" s="357"/>
      <c r="ES32" s="357"/>
      <c r="ET32" s="357"/>
      <c r="EU32" s="357"/>
      <c r="EV32" s="357"/>
      <c r="EW32" s="357"/>
      <c r="EX32" s="357"/>
      <c r="EY32" s="357"/>
      <c r="EZ32" s="357"/>
      <c r="FA32" s="357"/>
      <c r="FB32" s="357"/>
      <c r="FC32" s="357"/>
      <c r="FD32" s="357"/>
      <c r="FE32" s="357"/>
      <c r="FF32" s="357"/>
      <c r="FG32" s="357"/>
    </row>
    <row r="33" spans="1:163" s="360" customFormat="1" ht="15.95" customHeight="1">
      <c r="A33" s="356"/>
      <c r="B33" s="357"/>
      <c r="C33" s="613"/>
      <c r="D33" s="459" t="s">
        <v>288</v>
      </c>
      <c r="E33" s="366">
        <f>H15</f>
        <v>7.7916666666666672E-3</v>
      </c>
      <c r="F33" s="367">
        <f>H12</f>
        <v>7.7916666666666672E-3</v>
      </c>
      <c r="G33" s="358"/>
      <c r="H33" s="358"/>
      <c r="I33" s="359"/>
      <c r="J33" s="357"/>
      <c r="K33" s="373"/>
      <c r="P33" s="368"/>
      <c r="Q33" s="368"/>
      <c r="R33" s="356"/>
      <c r="S33" s="356"/>
      <c r="T33" s="356"/>
      <c r="U33" s="356"/>
      <c r="V33" s="356"/>
      <c r="W33" s="356"/>
      <c r="X33" s="356"/>
      <c r="Y33" s="356"/>
      <c r="Z33" s="356"/>
      <c r="AA33" s="356"/>
      <c r="AB33" s="356"/>
      <c r="AC33" s="357"/>
      <c r="AD33" s="357"/>
      <c r="AE33" s="357"/>
      <c r="AF33" s="357"/>
      <c r="AG33" s="357"/>
      <c r="AH33" s="357"/>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6"/>
      <c r="BF33" s="356"/>
      <c r="BG33" s="356"/>
      <c r="BH33" s="356"/>
      <c r="BI33" s="356"/>
      <c r="BJ33" s="356"/>
      <c r="BK33" s="356"/>
      <c r="BL33" s="356"/>
      <c r="BM33" s="356"/>
      <c r="BN33" s="356"/>
      <c r="BO33" s="356"/>
      <c r="BP33" s="356"/>
      <c r="BQ33" s="356"/>
      <c r="BR33" s="357"/>
      <c r="BS33" s="357"/>
      <c r="BT33" s="357"/>
      <c r="BU33" s="357"/>
      <c r="BV33" s="357"/>
      <c r="BW33" s="357"/>
      <c r="BX33" s="357"/>
      <c r="BY33" s="357"/>
      <c r="BZ33" s="357"/>
      <c r="CA33" s="357"/>
      <c r="CB33" s="357"/>
      <c r="CC33" s="357"/>
      <c r="CD33" s="357"/>
      <c r="CE33" s="357"/>
      <c r="CF33" s="357"/>
      <c r="CG33" s="357"/>
      <c r="CH33" s="357"/>
      <c r="CI33" s="357"/>
      <c r="CJ33" s="357"/>
      <c r="CK33" s="357"/>
      <c r="CL33" s="357"/>
      <c r="CM33" s="357"/>
      <c r="CN33" s="357"/>
      <c r="CO33" s="357"/>
      <c r="CP33" s="357"/>
      <c r="CQ33" s="357"/>
      <c r="CR33" s="357"/>
      <c r="CS33" s="357"/>
      <c r="CT33" s="357"/>
      <c r="CU33" s="357"/>
      <c r="CV33" s="357"/>
      <c r="CW33" s="357"/>
      <c r="CX33" s="357"/>
      <c r="CY33" s="357"/>
      <c r="CZ33" s="357"/>
      <c r="DA33" s="357"/>
      <c r="DB33" s="357"/>
      <c r="DC33" s="357"/>
      <c r="DD33" s="357"/>
      <c r="DE33" s="357"/>
      <c r="DF33" s="357"/>
      <c r="DG33" s="357"/>
      <c r="DH33" s="357"/>
      <c r="DI33" s="357"/>
      <c r="DJ33" s="357"/>
      <c r="DK33" s="357"/>
      <c r="DL33" s="357"/>
      <c r="DM33" s="357"/>
      <c r="DN33" s="357"/>
      <c r="DO33" s="357"/>
      <c r="DP33" s="357"/>
      <c r="DQ33" s="357"/>
      <c r="DR33" s="357"/>
      <c r="DS33" s="357"/>
      <c r="DT33" s="357"/>
      <c r="DU33" s="357"/>
      <c r="DV33" s="357"/>
      <c r="DW33" s="357"/>
      <c r="DX33" s="357"/>
      <c r="DY33" s="357"/>
      <c r="DZ33" s="357"/>
      <c r="EA33" s="357"/>
      <c r="EB33" s="357"/>
      <c r="EC33" s="357"/>
      <c r="ED33" s="357"/>
      <c r="EE33" s="357"/>
      <c r="EF33" s="357"/>
      <c r="EG33" s="357"/>
      <c r="EH33" s="357"/>
      <c r="EI33" s="357"/>
      <c r="EJ33" s="357"/>
      <c r="EK33" s="357"/>
      <c r="EL33" s="357"/>
      <c r="EM33" s="357"/>
      <c r="EN33" s="357"/>
      <c r="EO33" s="357"/>
      <c r="EP33" s="357"/>
      <c r="EQ33" s="357"/>
      <c r="ER33" s="357"/>
      <c r="ES33" s="357"/>
      <c r="ET33" s="357"/>
      <c r="EU33" s="357"/>
      <c r="EV33" s="357"/>
      <c r="EW33" s="357"/>
      <c r="EX33" s="357"/>
      <c r="EY33" s="357"/>
      <c r="EZ33" s="357"/>
      <c r="FA33" s="357"/>
      <c r="FB33" s="357"/>
      <c r="FC33" s="357"/>
      <c r="FD33" s="357"/>
      <c r="FE33" s="357"/>
      <c r="FF33" s="357"/>
      <c r="FG33" s="357"/>
    </row>
    <row r="34" spans="1:163" s="357" customFormat="1" ht="14.1" customHeight="1">
      <c r="B34" s="373"/>
      <c r="C34" s="613"/>
      <c r="D34" s="459" t="s">
        <v>289</v>
      </c>
      <c r="E34" s="366">
        <f>I15</f>
        <v>7.2773972602739722E-3</v>
      </c>
      <c r="F34" s="367">
        <f>I12</f>
        <v>7.2773972602739722E-3</v>
      </c>
      <c r="P34" s="368"/>
      <c r="Q34" s="368"/>
      <c r="R34" s="356"/>
    </row>
    <row r="35" spans="1:163" s="357" customFormat="1" ht="14.1" customHeight="1">
      <c r="B35" s="373"/>
      <c r="C35" s="614"/>
      <c r="D35" s="352" t="s">
        <v>290</v>
      </c>
      <c r="E35" s="371">
        <f>J15</f>
        <v>2.8922989111345274E-3</v>
      </c>
      <c r="F35" s="372">
        <f>J12</f>
        <v>3.7319985950122936E-3</v>
      </c>
      <c r="P35" s="368"/>
      <c r="Q35" s="368"/>
      <c r="R35" s="356"/>
    </row>
    <row r="36" spans="1:163" s="357" customFormat="1" ht="15">
      <c r="B36" s="373"/>
      <c r="D36" s="374"/>
      <c r="E36" s="358"/>
      <c r="F36" s="358"/>
      <c r="L36" s="373"/>
      <c r="M36" s="368"/>
      <c r="N36" s="368"/>
      <c r="O36" s="368"/>
      <c r="P36" s="368"/>
      <c r="Q36" s="368"/>
      <c r="R36" s="356"/>
    </row>
    <row r="37" spans="1:163" s="357" customFormat="1" ht="15">
      <c r="B37" s="373"/>
      <c r="D37" s="373"/>
    </row>
    <row r="38" spans="1:163" s="357" customFormat="1" ht="15">
      <c r="B38" s="373"/>
      <c r="D38" s="373"/>
    </row>
    <row r="39" spans="1:163">
      <c r="AD39" s="17"/>
      <c r="AE39" s="17"/>
      <c r="AF39" s="17"/>
      <c r="AG39" s="17"/>
      <c r="AH39" s="17"/>
      <c r="AI39" s="17"/>
      <c r="AJ39" s="17"/>
    </row>
    <row r="40" spans="1:163">
      <c r="AD40" s="17"/>
      <c r="AE40" s="17"/>
      <c r="AF40" s="17"/>
      <c r="AG40" s="17"/>
      <c r="AH40" s="17"/>
      <c r="AI40" s="17"/>
      <c r="AJ40" s="17"/>
    </row>
    <row r="41" spans="1:163">
      <c r="AD41" s="17"/>
      <c r="AE41" s="17"/>
      <c r="AF41" s="17"/>
      <c r="AG41" s="17"/>
      <c r="AH41" s="17"/>
      <c r="AI41" s="17"/>
      <c r="AJ41" s="17"/>
    </row>
    <row r="42" spans="1:163">
      <c r="AD42" s="17"/>
      <c r="AE42" s="17"/>
      <c r="AF42" s="17"/>
      <c r="AG42" s="17"/>
      <c r="AH42" s="17"/>
      <c r="AI42" s="17"/>
      <c r="AJ42" s="17"/>
    </row>
    <row r="43" spans="1:163">
      <c r="AD43" s="17"/>
      <c r="AE43" s="17"/>
      <c r="AF43" s="17"/>
      <c r="AG43" s="17"/>
      <c r="AH43" s="17"/>
      <c r="AI43" s="17"/>
      <c r="AJ43" s="17"/>
    </row>
    <row r="44" spans="1:163">
      <c r="AD44" s="17"/>
      <c r="AE44" s="17"/>
      <c r="AF44" s="17"/>
      <c r="AG44" s="17"/>
      <c r="AH44" s="17"/>
      <c r="AI44" s="17"/>
      <c r="AJ44" s="17"/>
    </row>
  </sheetData>
  <sheetProtection sheet="1" objects="1" scenarios="1"/>
  <dataConsolidate link="1"/>
  <mergeCells count="24">
    <mergeCell ref="T26:T29"/>
    <mergeCell ref="D13:D15"/>
    <mergeCell ref="T18:T21"/>
    <mergeCell ref="T22:T25"/>
    <mergeCell ref="M13:M15"/>
    <mergeCell ref="L18:L22"/>
    <mergeCell ref="L23:L27"/>
    <mergeCell ref="L28:L32"/>
    <mergeCell ref="U13:U15"/>
    <mergeCell ref="U10:U12"/>
    <mergeCell ref="F8:F9"/>
    <mergeCell ref="N8:N9"/>
    <mergeCell ref="L8:L9"/>
    <mergeCell ref="M8:M9"/>
    <mergeCell ref="T8:T9"/>
    <mergeCell ref="U8:U9"/>
    <mergeCell ref="M10:M12"/>
    <mergeCell ref="C30:C35"/>
    <mergeCell ref="C24:C29"/>
    <mergeCell ref="C18:C23"/>
    <mergeCell ref="E8:E9"/>
    <mergeCell ref="D10:D12"/>
    <mergeCell ref="C8:C9"/>
    <mergeCell ref="D8:D9"/>
  </mergeCells>
  <conditionalFormatting sqref="E10:J15">
    <cfRule type="cellIs" dxfId="46" priority="20" operator="equal">
      <formula>0</formula>
    </cfRule>
    <cfRule type="cellIs" dxfId="45" priority="21" operator="greaterThan">
      <formula>10000</formula>
    </cfRule>
    <cfRule type="cellIs" dxfId="44" priority="22" operator="between">
      <formula>10</formula>
      <formula>9999.999</formula>
    </cfRule>
    <cfRule type="cellIs" dxfId="43" priority="23" operator="between">
      <formula>1</formula>
      <formula>9.999</formula>
    </cfRule>
    <cfRule type="cellIs" dxfId="42" priority="24" operator="between">
      <formula>0.1</formula>
      <formula>0.999</formula>
    </cfRule>
    <cfRule type="cellIs" dxfId="41" priority="25" operator="lessThan">
      <formula>0.1</formula>
    </cfRule>
  </conditionalFormatting>
  <conditionalFormatting sqref="E18:W35">
    <cfRule type="cellIs" dxfId="40" priority="1" operator="equal">
      <formula>0</formula>
    </cfRule>
  </conditionalFormatting>
  <conditionalFormatting sqref="N10:R15">
    <cfRule type="cellIs" dxfId="39" priority="14" operator="equal">
      <formula>0</formula>
    </cfRule>
    <cfRule type="cellIs" dxfId="38" priority="15" operator="greaterThan">
      <formula>10000</formula>
    </cfRule>
    <cfRule type="cellIs" dxfId="37" priority="16" operator="between">
      <formula>10</formula>
      <formula>9999.999</formula>
    </cfRule>
    <cfRule type="cellIs" dxfId="36" priority="17" operator="between">
      <formula>1</formula>
      <formula>9.999</formula>
    </cfRule>
    <cfRule type="cellIs" dxfId="35" priority="18" operator="between">
      <formula>0.1</formula>
      <formula>0.999</formula>
    </cfRule>
    <cfRule type="cellIs" dxfId="34" priority="19" operator="lessThan">
      <formula>0.1</formula>
    </cfRule>
  </conditionalFormatting>
  <conditionalFormatting sqref="V10:Y15">
    <cfRule type="cellIs" dxfId="33" priority="44" operator="equal">
      <formula>0</formula>
    </cfRule>
    <cfRule type="cellIs" dxfId="32" priority="45" operator="greaterThan">
      <formula>10000</formula>
    </cfRule>
    <cfRule type="cellIs" dxfId="31" priority="46" operator="between">
      <formula>10</formula>
      <formula>9999.999</formula>
    </cfRule>
    <cfRule type="cellIs" dxfId="30" priority="47" operator="between">
      <formula>1</formula>
      <formula>9.999</formula>
    </cfRule>
    <cfRule type="cellIs" dxfId="29" priority="48" operator="between">
      <formula>0.1</formula>
      <formula>0.999</formula>
    </cfRule>
    <cfRule type="cellIs" dxfId="28" priority="49" operator="lessThan">
      <formula>0.1</formula>
    </cfRule>
  </conditionalFormatting>
  <dataValidations count="1">
    <dataValidation allowBlank="1" showErrorMessage="1" sqref="T15 C8 L8 C15 T8 G16:H33 E16:F16 E36:F36 L15" xr:uid="{7B646BD4-0B99-441C-A6EA-9739A344572C}"/>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53F0F86-9AC9-4DB1-9F07-D0F627B28BB6}">
          <x14:formula1>
            <xm:f>'List Values'!$B$2:$B$18</xm:f>
          </x14:formula1>
          <xm:sqref>C4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9850F-DA4A-4D3D-97A6-3832AB231949}">
  <sheetPr codeName="Sheet4">
    <tabColor theme="1"/>
  </sheetPr>
  <dimension ref="B2:Q29"/>
  <sheetViews>
    <sheetView workbookViewId="0"/>
  </sheetViews>
  <sheetFormatPr defaultColWidth="8.85546875" defaultRowHeight="12.75"/>
  <cols>
    <col min="1" max="1" width="3.5703125" style="5" customWidth="1"/>
    <col min="2" max="2" width="24.42578125" style="5" customWidth="1"/>
    <col min="3" max="3" width="21" style="5" bestFit="1" customWidth="1"/>
    <col min="4" max="5" width="18.85546875" style="5" customWidth="1"/>
    <col min="6" max="6" width="13.85546875" style="5" customWidth="1"/>
    <col min="7" max="7" width="11.140625" style="5" customWidth="1"/>
    <col min="8" max="8" width="15.85546875" style="5" bestFit="1" customWidth="1"/>
    <col min="9" max="9" width="14.140625" style="5" customWidth="1"/>
    <col min="10" max="10" width="13.85546875" style="5" customWidth="1"/>
    <col min="11" max="11" width="15" style="5" customWidth="1"/>
    <col min="12" max="12" width="17.140625" style="5" customWidth="1"/>
    <col min="13" max="13" width="11.140625" style="5" customWidth="1"/>
    <col min="14" max="14" width="20.42578125" style="5" bestFit="1" customWidth="1"/>
    <col min="15" max="15" width="14.5703125" style="5" bestFit="1" customWidth="1"/>
    <col min="16" max="16" width="22.5703125" style="5" bestFit="1" customWidth="1"/>
    <col min="17" max="17" width="23.85546875" style="5" customWidth="1"/>
    <col min="18" max="18" width="18" style="5" customWidth="1"/>
    <col min="19" max="19" width="20.85546875" style="5" bestFit="1" customWidth="1"/>
    <col min="20" max="20" width="14.85546875" style="5" customWidth="1"/>
    <col min="21" max="21" width="6.5703125" style="5" customWidth="1"/>
    <col min="22" max="16384" width="8.85546875" style="5"/>
  </cols>
  <sheetData>
    <row r="2" spans="2:16" ht="15.75">
      <c r="B2" s="203" t="s">
        <v>295</v>
      </c>
    </row>
    <row r="3" spans="2:16">
      <c r="L3" s="461"/>
    </row>
    <row r="4" spans="2:16" ht="30" customHeight="1">
      <c r="B4" s="115" t="s">
        <v>296</v>
      </c>
      <c r="C4" s="116"/>
      <c r="D4" s="116"/>
      <c r="E4" s="116"/>
      <c r="F4" s="630" t="s">
        <v>297</v>
      </c>
      <c r="G4" s="630"/>
      <c r="H4" s="630" t="s">
        <v>298</v>
      </c>
      <c r="I4" s="630"/>
      <c r="J4" s="630" t="s">
        <v>299</v>
      </c>
      <c r="K4" s="631"/>
      <c r="N4" s="629" t="s">
        <v>300</v>
      </c>
      <c r="O4" s="630"/>
      <c r="P4" s="631"/>
    </row>
    <row r="5" spans="2:16" ht="25.5">
      <c r="B5" s="117" t="s">
        <v>180</v>
      </c>
      <c r="C5" s="118" t="s">
        <v>158</v>
      </c>
      <c r="D5" s="118" t="s">
        <v>159</v>
      </c>
      <c r="E5" s="118" t="s">
        <v>301</v>
      </c>
      <c r="F5" s="119" t="s">
        <v>302</v>
      </c>
      <c r="G5" s="119" t="s">
        <v>303</v>
      </c>
      <c r="H5" s="119" t="s">
        <v>304</v>
      </c>
      <c r="I5" s="119" t="s">
        <v>305</v>
      </c>
      <c r="J5" s="119" t="s">
        <v>306</v>
      </c>
      <c r="K5" s="119" t="s">
        <v>307</v>
      </c>
      <c r="N5" s="120" t="s">
        <v>308</v>
      </c>
      <c r="O5" s="121" t="s">
        <v>309</v>
      </c>
      <c r="P5" s="122" t="s">
        <v>310</v>
      </c>
    </row>
    <row r="6" spans="2:16">
      <c r="B6" s="123" t="s">
        <v>311</v>
      </c>
      <c r="C6" s="124" t="s">
        <v>312</v>
      </c>
      <c r="D6" s="125" t="s">
        <v>271</v>
      </c>
      <c r="E6" s="124" t="s">
        <v>312</v>
      </c>
      <c r="F6" s="126"/>
      <c r="G6" s="127"/>
      <c r="H6" s="126"/>
      <c r="I6" s="128"/>
      <c r="J6" s="129"/>
      <c r="K6" s="130"/>
      <c r="N6" s="131"/>
      <c r="O6" s="5" t="s">
        <v>313</v>
      </c>
      <c r="P6" s="132">
        <f>0.000001</f>
        <v>9.9999999999999995E-7</v>
      </c>
    </row>
    <row r="7" spans="2:16">
      <c r="B7" s="28"/>
      <c r="C7" s="25"/>
      <c r="D7" s="133"/>
      <c r="E7" s="25"/>
      <c r="F7" s="35"/>
      <c r="G7" s="74"/>
      <c r="H7" s="35"/>
      <c r="I7" s="74"/>
      <c r="J7" s="134"/>
      <c r="K7" s="135"/>
      <c r="N7" s="131"/>
      <c r="O7" s="5" t="s">
        <v>314</v>
      </c>
      <c r="P7" s="132">
        <f>0.00001</f>
        <v>1.0000000000000001E-5</v>
      </c>
    </row>
    <row r="8" spans="2:16">
      <c r="M8" s="462"/>
      <c r="N8" s="131" t="s">
        <v>315</v>
      </c>
      <c r="O8" s="5" t="s">
        <v>316</v>
      </c>
      <c r="P8" s="132">
        <f>0.0001</f>
        <v>1E-4</v>
      </c>
    </row>
    <row r="9" spans="2:16" ht="15" customHeight="1">
      <c r="F9" s="136"/>
      <c r="G9" s="632" t="s">
        <v>75</v>
      </c>
      <c r="H9" s="632"/>
      <c r="I9" s="136" t="s">
        <v>67</v>
      </c>
      <c r="J9" s="136"/>
      <c r="K9" s="136"/>
      <c r="M9" s="462"/>
      <c r="N9" s="131"/>
      <c r="O9" s="5" t="s">
        <v>317</v>
      </c>
      <c r="P9" s="137"/>
    </row>
    <row r="10" spans="2:16" ht="15" customHeight="1">
      <c r="B10" s="115" t="s">
        <v>318</v>
      </c>
      <c r="C10" s="626" t="s">
        <v>158</v>
      </c>
      <c r="D10" s="626"/>
      <c r="E10" s="626"/>
      <c r="F10" s="138"/>
      <c r="G10" s="627" t="s">
        <v>319</v>
      </c>
      <c r="H10" s="627"/>
      <c r="I10" s="627"/>
      <c r="J10" s="627"/>
      <c r="K10" s="627" t="s">
        <v>320</v>
      </c>
      <c r="L10" s="633"/>
      <c r="M10" s="139"/>
      <c r="N10" s="131"/>
      <c r="O10" s="5" t="s">
        <v>321</v>
      </c>
      <c r="P10" s="137"/>
    </row>
    <row r="11" spans="2:16" ht="30.75" customHeight="1">
      <c r="B11" s="118" t="s">
        <v>19</v>
      </c>
      <c r="C11" s="118" t="s">
        <v>322</v>
      </c>
      <c r="D11" s="118" t="s">
        <v>323</v>
      </c>
      <c r="E11" s="118" t="s">
        <v>159</v>
      </c>
      <c r="F11" s="118" t="s">
        <v>301</v>
      </c>
      <c r="G11" s="119" t="s">
        <v>324</v>
      </c>
      <c r="H11" s="119" t="s">
        <v>325</v>
      </c>
      <c r="I11" s="119" t="s">
        <v>326</v>
      </c>
      <c r="J11" s="119" t="s">
        <v>327</v>
      </c>
      <c r="K11" s="119" t="s">
        <v>328</v>
      </c>
      <c r="L11" s="119" t="s">
        <v>329</v>
      </c>
      <c r="M11" s="139"/>
      <c r="N11" s="131"/>
      <c r="O11" s="5" t="s">
        <v>330</v>
      </c>
      <c r="P11" s="137"/>
    </row>
    <row r="12" spans="2:16" ht="25.5">
      <c r="B12" s="17" t="s">
        <v>163</v>
      </c>
      <c r="C12" s="140" t="s">
        <v>331</v>
      </c>
      <c r="D12" s="140"/>
      <c r="E12" s="140"/>
      <c r="F12" s="140" t="s">
        <v>108</v>
      </c>
      <c r="G12" s="140">
        <v>6.2</v>
      </c>
      <c r="H12" s="140">
        <v>0.39</v>
      </c>
      <c r="I12" s="140">
        <v>1.1000000000000001</v>
      </c>
      <c r="J12" s="140">
        <v>30</v>
      </c>
      <c r="K12" s="140" t="s">
        <v>332</v>
      </c>
      <c r="L12" s="141" t="s">
        <v>332</v>
      </c>
      <c r="N12" s="142"/>
      <c r="O12" s="136" t="s">
        <v>333</v>
      </c>
      <c r="P12" s="143"/>
    </row>
    <row r="13" spans="2:16" ht="25.5">
      <c r="B13" s="17" t="s">
        <v>165</v>
      </c>
      <c r="C13" s="140" t="s">
        <v>331</v>
      </c>
      <c r="D13" s="140"/>
      <c r="E13" s="140"/>
      <c r="F13" s="140" t="s">
        <v>113</v>
      </c>
      <c r="G13" s="140">
        <v>6.2</v>
      </c>
      <c r="H13" s="140">
        <v>0.39</v>
      </c>
      <c r="I13" s="140">
        <v>1.1000000000000001</v>
      </c>
      <c r="J13" s="140">
        <v>30</v>
      </c>
      <c r="K13" s="140" t="s">
        <v>332</v>
      </c>
      <c r="L13" s="145" t="s">
        <v>332</v>
      </c>
    </row>
    <row r="14" spans="2:16" ht="25.5">
      <c r="B14" s="144" t="s">
        <v>166</v>
      </c>
      <c r="C14" s="140" t="s">
        <v>331</v>
      </c>
      <c r="D14" s="140"/>
      <c r="E14" s="140"/>
      <c r="F14" s="140" t="s">
        <v>119</v>
      </c>
      <c r="G14" s="140">
        <v>6.2</v>
      </c>
      <c r="H14" s="140">
        <v>0.39</v>
      </c>
      <c r="I14" s="140">
        <v>1.1000000000000001</v>
      </c>
      <c r="J14" s="140">
        <v>30</v>
      </c>
      <c r="K14" s="140" t="s">
        <v>332</v>
      </c>
      <c r="L14" s="145" t="s">
        <v>332</v>
      </c>
      <c r="N14" s="146" t="s">
        <v>334</v>
      </c>
    </row>
    <row r="15" spans="2:16" ht="15.75">
      <c r="B15" s="147" t="s">
        <v>167</v>
      </c>
      <c r="C15" s="274"/>
      <c r="D15" s="274"/>
      <c r="E15" s="274"/>
      <c r="F15" s="148" t="s">
        <v>131</v>
      </c>
      <c r="G15" s="148" t="s">
        <v>332</v>
      </c>
      <c r="H15" s="148" t="s">
        <v>332</v>
      </c>
      <c r="I15" s="148" t="s">
        <v>332</v>
      </c>
      <c r="J15" s="148" t="s">
        <v>332</v>
      </c>
      <c r="K15" s="279"/>
      <c r="L15" s="294"/>
      <c r="N15" s="149">
        <f>24.45/O16</f>
        <v>6.2602417042195824E-2</v>
      </c>
      <c r="O15" s="150" t="s">
        <v>335</v>
      </c>
    </row>
    <row r="16" spans="2:16" ht="30" customHeight="1">
      <c r="N16" s="149" t="s">
        <v>336</v>
      </c>
      <c r="O16" s="150">
        <v>390.56</v>
      </c>
      <c r="P16" s="5" t="s">
        <v>337</v>
      </c>
    </row>
    <row r="18" spans="16:17" ht="45" customHeight="1"/>
    <row r="20" spans="16:17" ht="45" customHeight="1"/>
    <row r="21" spans="16:17" ht="45" customHeight="1"/>
    <row r="22" spans="16:17" ht="45" customHeight="1"/>
    <row r="24" spans="16:17" ht="45" customHeight="1"/>
    <row r="25" spans="16:17">
      <c r="P25" s="628"/>
      <c r="Q25" s="628"/>
    </row>
    <row r="26" spans="16:17">
      <c r="P26" s="35"/>
      <c r="Q26" s="97"/>
    </row>
    <row r="27" spans="16:17">
      <c r="P27" s="21"/>
      <c r="Q27" s="151"/>
    </row>
    <row r="28" spans="16:17">
      <c r="P28" s="21"/>
      <c r="Q28" s="151"/>
    </row>
    <row r="29" spans="16:17" ht="15" customHeight="1">
      <c r="P29" s="133"/>
      <c r="Q29" s="19"/>
    </row>
  </sheetData>
  <sheetProtection sheet="1" objects="1" scenarios="1"/>
  <mergeCells count="9">
    <mergeCell ref="C10:E10"/>
    <mergeCell ref="G10:J10"/>
    <mergeCell ref="P25:Q25"/>
    <mergeCell ref="N4:P4"/>
    <mergeCell ref="G9:H9"/>
    <mergeCell ref="K10:L10"/>
    <mergeCell ref="F4:G4"/>
    <mergeCell ref="H4:I4"/>
    <mergeCell ref="J4:K4"/>
  </mergeCells>
  <phoneticPr fontId="2" type="noConversion"/>
  <pageMargins left="0.7" right="0.7" top="0.75" bottom="0.75" header="0.3" footer="0.3"/>
  <pageSetup orientation="portrait" horizontalDpi="1200" verticalDpi="1200"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696AA-9323-4BDB-9890-F133A4CE32CB}">
  <sheetPr>
    <tabColor theme="1"/>
  </sheetPr>
  <dimension ref="A6:G10"/>
  <sheetViews>
    <sheetView workbookViewId="0"/>
  </sheetViews>
  <sheetFormatPr defaultRowHeight="15"/>
  <cols>
    <col min="1" max="1" width="29" bestFit="1" customWidth="1"/>
  </cols>
  <sheetData>
    <row r="6" spans="1:7">
      <c r="A6" t="s">
        <v>338</v>
      </c>
      <c r="B6">
        <f>(0.39/30)</f>
        <v>1.3000000000000001E-2</v>
      </c>
      <c r="C6">
        <f>(24/8)</f>
        <v>3</v>
      </c>
      <c r="D6">
        <f>0.6125/1.25</f>
        <v>0.49000000000000005</v>
      </c>
      <c r="E6">
        <f>B6*C6*D6</f>
        <v>1.9110000000000005E-2</v>
      </c>
      <c r="F6">
        <f>E6*390.56/24.45</f>
        <v>0.30525977914110441</v>
      </c>
    </row>
    <row r="8" spans="1:7">
      <c r="A8" t="s">
        <v>339</v>
      </c>
      <c r="B8">
        <f>(0.39/30)</f>
        <v>1.3000000000000001E-2</v>
      </c>
      <c r="C8">
        <f>(24/8)</f>
        <v>3</v>
      </c>
      <c r="D8">
        <f>30/22</f>
        <v>1.3636363636363635</v>
      </c>
      <c r="E8">
        <f>0.6125/1.25</f>
        <v>0.49000000000000005</v>
      </c>
      <c r="F8">
        <f>B8*C8*D8*E8</f>
        <v>2.6059090909090914E-2</v>
      </c>
      <c r="G8">
        <f>F8*390.56/24.45</f>
        <v>0.41626333519241504</v>
      </c>
    </row>
    <row r="10" spans="1:7">
      <c r="A10" t="s">
        <v>340</v>
      </c>
      <c r="B10">
        <f>(0.39/30)</f>
        <v>1.3000000000000001E-2</v>
      </c>
      <c r="C10">
        <f>(24/8)</f>
        <v>3</v>
      </c>
      <c r="D10">
        <f>365/250</f>
        <v>1.46</v>
      </c>
      <c r="E10">
        <f>0.6125/1.25</f>
        <v>0.49000000000000005</v>
      </c>
      <c r="F10">
        <f>B10*C10*D10*E10</f>
        <v>2.7900600000000008E-2</v>
      </c>
      <c r="G10">
        <f>F10*390.56/24.45</f>
        <v>0.44567927754601239</v>
      </c>
    </row>
  </sheetData>
  <sheetProtection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EE2DC-4EE0-4CF0-B381-0DF510B873A9}">
  <sheetPr codeName="Sheet9">
    <tabColor theme="1"/>
  </sheetPr>
  <dimension ref="A1:O63"/>
  <sheetViews>
    <sheetView workbookViewId="0"/>
  </sheetViews>
  <sheetFormatPr defaultColWidth="9.140625" defaultRowHeight="12.75"/>
  <cols>
    <col min="1" max="1" width="9.140625" style="1"/>
    <col min="2" max="2" width="88.85546875" style="1" bestFit="1" customWidth="1"/>
    <col min="3" max="3" width="9.140625" style="1"/>
    <col min="4" max="4" width="38.85546875" style="1" customWidth="1"/>
    <col min="5" max="5" width="21" style="1" customWidth="1"/>
    <col min="6" max="6" width="37.140625" style="1" customWidth="1"/>
    <col min="7" max="7" width="25" style="1" customWidth="1"/>
    <col min="8" max="9" width="9.140625" style="1"/>
    <col min="10" max="10" width="48.140625" style="1" customWidth="1"/>
    <col min="11" max="11" width="9.140625" style="1" customWidth="1"/>
    <col min="12" max="12" width="46" style="1" hidden="1" customWidth="1"/>
    <col min="13" max="13" width="14.140625" style="1" hidden="1" customWidth="1"/>
    <col min="14" max="14" width="65.42578125" style="1" hidden="1" customWidth="1"/>
    <col min="15" max="15" width="9.140625" style="1" hidden="1" customWidth="1"/>
    <col min="16" max="16384" width="9.140625" style="1"/>
  </cols>
  <sheetData>
    <row r="1" spans="1:15" ht="13.5" thickBot="1">
      <c r="A1" s="176"/>
      <c r="B1" s="177" t="s">
        <v>341</v>
      </c>
      <c r="C1" s="176"/>
      <c r="D1" s="178" t="s">
        <v>342</v>
      </c>
      <c r="E1" s="176"/>
      <c r="F1" s="178" t="s">
        <v>19</v>
      </c>
      <c r="G1" s="176"/>
      <c r="H1" s="176"/>
      <c r="I1" s="176"/>
      <c r="J1" s="176"/>
    </row>
    <row r="2" spans="1:15" ht="13.5" thickTop="1">
      <c r="A2" s="179"/>
      <c r="B2" s="394" t="s">
        <v>201</v>
      </c>
      <c r="C2" s="176"/>
      <c r="D2" s="180" t="s">
        <v>205</v>
      </c>
      <c r="E2" s="176"/>
      <c r="F2" s="181" t="s">
        <v>130</v>
      </c>
      <c r="G2" s="176"/>
      <c r="H2" s="176"/>
      <c r="I2" s="176"/>
      <c r="J2" s="176"/>
      <c r="L2" s="152" t="s">
        <v>343</v>
      </c>
      <c r="M2" s="153" t="s">
        <v>205</v>
      </c>
      <c r="N2" s="154" t="str">
        <f>L2&amp;M2</f>
        <v>Manufacturing - 8-hr TWAMonitoring Data</v>
      </c>
      <c r="O2" s="155" t="s">
        <v>344</v>
      </c>
    </row>
    <row r="3" spans="1:15" ht="13.5" thickBot="1">
      <c r="A3" s="179"/>
      <c r="B3" s="387" t="s">
        <v>210</v>
      </c>
      <c r="C3" s="176"/>
      <c r="D3" s="182" t="s">
        <v>221</v>
      </c>
      <c r="E3" s="176"/>
      <c r="F3" s="183" t="s">
        <v>94</v>
      </c>
      <c r="G3" s="176"/>
      <c r="H3" s="176"/>
      <c r="I3" s="176"/>
      <c r="J3" s="176"/>
      <c r="L3" s="152" t="s">
        <v>343</v>
      </c>
      <c r="M3" s="153" t="s">
        <v>205</v>
      </c>
      <c r="N3" s="154" t="str">
        <f t="shared" ref="N3:N63" si="0">L3&amp;M3</f>
        <v>Manufacturing - 8-hr TWAMonitoring Data</v>
      </c>
      <c r="O3" s="155" t="s">
        <v>344</v>
      </c>
    </row>
    <row r="4" spans="1:15" ht="13.5" thickBot="1">
      <c r="A4" s="179"/>
      <c r="B4" s="388" t="s">
        <v>212</v>
      </c>
      <c r="C4" s="176"/>
      <c r="D4" s="176"/>
      <c r="E4" s="176"/>
      <c r="F4" s="157"/>
      <c r="G4" s="157"/>
      <c r="H4" s="157"/>
      <c r="I4" s="157"/>
      <c r="J4" s="176"/>
      <c r="L4" s="152" t="s">
        <v>345</v>
      </c>
      <c r="M4" s="153" t="s">
        <v>205</v>
      </c>
      <c r="N4" s="154" t="str">
        <f t="shared" si="0"/>
        <v>Manufacturing - 12-hr TWAMonitoring Data</v>
      </c>
      <c r="O4" s="155" t="s">
        <v>346</v>
      </c>
    </row>
    <row r="5" spans="1:15" ht="13.5" thickBot="1">
      <c r="A5" s="179"/>
      <c r="B5" s="388" t="s">
        <v>214</v>
      </c>
      <c r="C5" s="176"/>
      <c r="D5" s="178" t="s">
        <v>143</v>
      </c>
      <c r="E5" s="176"/>
      <c r="F5" s="178" t="s">
        <v>347</v>
      </c>
      <c r="G5" s="184" t="s">
        <v>348</v>
      </c>
      <c r="H5" s="184" t="s">
        <v>349</v>
      </c>
      <c r="I5" s="184" t="s">
        <v>350</v>
      </c>
      <c r="J5" s="158"/>
      <c r="L5" s="152" t="s">
        <v>345</v>
      </c>
      <c r="M5" s="153" t="s">
        <v>205</v>
      </c>
      <c r="N5" s="154" t="str">
        <f t="shared" si="0"/>
        <v>Manufacturing - 12-hr TWAMonitoring Data</v>
      </c>
      <c r="O5" s="155" t="s">
        <v>346</v>
      </c>
    </row>
    <row r="6" spans="1:15" ht="13.5" thickTop="1">
      <c r="A6" s="179"/>
      <c r="B6" s="388" t="s">
        <v>73</v>
      </c>
      <c r="C6" s="176"/>
      <c r="D6" s="185" t="s">
        <v>74</v>
      </c>
      <c r="E6" s="176"/>
      <c r="F6" s="162" t="s">
        <v>351</v>
      </c>
      <c r="G6" s="163" t="s">
        <v>352</v>
      </c>
      <c r="H6" s="163">
        <v>8</v>
      </c>
      <c r="I6" s="164" t="s">
        <v>353</v>
      </c>
      <c r="J6" s="176"/>
      <c r="L6" s="152" t="s">
        <v>354</v>
      </c>
      <c r="M6" s="153" t="s">
        <v>205</v>
      </c>
      <c r="N6" s="154" t="str">
        <f t="shared" si="0"/>
        <v>RepackagingMonitoring Data</v>
      </c>
      <c r="O6" s="155">
        <v>11</v>
      </c>
    </row>
    <row r="7" spans="1:15">
      <c r="A7" s="179"/>
      <c r="B7" s="388" t="s">
        <v>142</v>
      </c>
      <c r="C7" s="176"/>
      <c r="D7" s="260" t="s">
        <v>206</v>
      </c>
      <c r="E7" s="176"/>
      <c r="F7" s="165" t="s">
        <v>355</v>
      </c>
      <c r="G7" s="166" t="s">
        <v>356</v>
      </c>
      <c r="H7" s="166">
        <v>10</v>
      </c>
      <c r="I7" s="167" t="s">
        <v>353</v>
      </c>
      <c r="J7" s="176"/>
      <c r="L7" s="152" t="s">
        <v>357</v>
      </c>
      <c r="M7" s="153" t="s">
        <v>205</v>
      </c>
      <c r="N7" s="154" t="str">
        <f t="shared" si="0"/>
        <v>Processing as Reactant/Intermediate - 8-hr TWAMonitoring Data</v>
      </c>
      <c r="O7" s="155" t="s">
        <v>358</v>
      </c>
    </row>
    <row r="8" spans="1:15" ht="13.5" thickBot="1">
      <c r="A8" s="179"/>
      <c r="B8" s="388" t="s">
        <v>219</v>
      </c>
      <c r="C8" s="176"/>
      <c r="D8" s="186" t="s">
        <v>94</v>
      </c>
      <c r="E8" s="176"/>
      <c r="F8" s="165" t="s">
        <v>359</v>
      </c>
      <c r="G8" s="166" t="s">
        <v>360</v>
      </c>
      <c r="H8" s="166">
        <v>24</v>
      </c>
      <c r="I8" s="167" t="s">
        <v>353</v>
      </c>
      <c r="J8" s="156"/>
      <c r="L8" s="152" t="s">
        <v>357</v>
      </c>
      <c r="M8" s="153" t="s">
        <v>205</v>
      </c>
      <c r="N8" s="154" t="str">
        <f t="shared" si="0"/>
        <v>Processing as Reactant/Intermediate - 8-hr TWAMonitoring Data</v>
      </c>
      <c r="O8" s="155" t="s">
        <v>358</v>
      </c>
    </row>
    <row r="9" spans="1:15">
      <c r="A9" s="179"/>
      <c r="B9" s="388" t="s">
        <v>223</v>
      </c>
      <c r="C9" s="176"/>
      <c r="E9" s="176"/>
      <c r="F9" s="165"/>
      <c r="G9" s="166"/>
      <c r="H9" s="166"/>
      <c r="I9" s="167"/>
      <c r="J9" s="156"/>
      <c r="L9" s="152"/>
      <c r="M9" s="153"/>
      <c r="N9" s="154"/>
      <c r="O9" s="155"/>
    </row>
    <row r="10" spans="1:15" ht="13.5" thickBot="1">
      <c r="A10" s="179"/>
      <c r="B10" s="386" t="s">
        <v>225</v>
      </c>
      <c r="C10" s="176"/>
      <c r="D10" s="176"/>
      <c r="E10" s="176"/>
      <c r="F10" s="165" t="s">
        <v>361</v>
      </c>
      <c r="G10" s="166" t="s">
        <v>362</v>
      </c>
      <c r="H10" s="166">
        <v>250</v>
      </c>
      <c r="I10" s="167" t="s">
        <v>363</v>
      </c>
      <c r="J10" s="176"/>
      <c r="L10" s="152" t="s">
        <v>364</v>
      </c>
      <c r="M10" s="153" t="s">
        <v>205</v>
      </c>
      <c r="N10" s="154" t="str">
        <f t="shared" si="0"/>
        <v>Processing as Reactant/Intermediate - 12-hr TWAMonitoring Data</v>
      </c>
      <c r="O10" s="155" t="s">
        <v>365</v>
      </c>
    </row>
    <row r="11" spans="1:15" ht="13.5" thickBot="1">
      <c r="A11" s="179"/>
      <c r="B11" s="388" t="s">
        <v>227</v>
      </c>
      <c r="C11" s="176"/>
      <c r="D11" s="178" t="s">
        <v>366</v>
      </c>
      <c r="E11" s="176"/>
      <c r="F11" s="165" t="s">
        <v>367</v>
      </c>
      <c r="G11" s="166" t="s">
        <v>368</v>
      </c>
      <c r="H11" s="166">
        <v>22</v>
      </c>
      <c r="I11" s="167" t="s">
        <v>363</v>
      </c>
      <c r="J11" s="176"/>
      <c r="L11" s="152" t="s">
        <v>364</v>
      </c>
      <c r="M11" s="153" t="s">
        <v>205</v>
      </c>
      <c r="N11" s="154" t="str">
        <f t="shared" si="0"/>
        <v>Processing as Reactant/Intermediate - 12-hr TWAMonitoring Data</v>
      </c>
      <c r="O11" s="155" t="s">
        <v>365</v>
      </c>
    </row>
    <row r="12" spans="1:15" ht="13.5" thickTop="1">
      <c r="A12" s="179"/>
      <c r="B12" s="388" t="s">
        <v>230</v>
      </c>
      <c r="C12" s="176"/>
      <c r="D12" s="187">
        <v>0.5</v>
      </c>
      <c r="E12" s="176"/>
      <c r="F12" s="165" t="s">
        <v>369</v>
      </c>
      <c r="G12" s="166" t="s">
        <v>370</v>
      </c>
      <c r="H12" s="166">
        <v>30</v>
      </c>
      <c r="I12" s="167" t="s">
        <v>363</v>
      </c>
      <c r="J12" s="176"/>
      <c r="L12" s="152" t="s">
        <v>371</v>
      </c>
      <c r="M12" s="153" t="s">
        <v>205</v>
      </c>
      <c r="N12" s="154" t="str">
        <f t="shared" si="0"/>
        <v>Incorporation into Formulation - Aerosol PackingMonitoring Data</v>
      </c>
      <c r="O12" s="155" t="s">
        <v>372</v>
      </c>
    </row>
    <row r="13" spans="1:15" ht="13.5" thickBot="1">
      <c r="A13" s="179"/>
      <c r="B13" s="388" t="s">
        <v>232</v>
      </c>
      <c r="C13" s="176"/>
      <c r="D13" s="188">
        <v>0.99</v>
      </c>
      <c r="E13" s="176"/>
      <c r="F13" s="165" t="s">
        <v>373</v>
      </c>
      <c r="G13" s="166" t="s">
        <v>374</v>
      </c>
      <c r="H13" s="166">
        <v>31</v>
      </c>
      <c r="I13" s="167" t="s">
        <v>375</v>
      </c>
      <c r="J13" s="176"/>
      <c r="L13" s="152" t="s">
        <v>376</v>
      </c>
      <c r="M13" s="153" t="s">
        <v>221</v>
      </c>
      <c r="N13" s="154" t="str">
        <f t="shared" si="0"/>
        <v>Incorporation into Formulation - Degreasing SolventModeled Data</v>
      </c>
      <c r="O13" s="155" t="s">
        <v>377</v>
      </c>
    </row>
    <row r="14" spans="1:15" ht="18" customHeight="1" thickBot="1">
      <c r="A14" s="179"/>
      <c r="B14" s="388" t="s">
        <v>233</v>
      </c>
      <c r="C14" s="176"/>
      <c r="D14" s="176"/>
      <c r="E14" s="176"/>
      <c r="F14" s="165" t="s">
        <v>378</v>
      </c>
      <c r="G14" s="166" t="s">
        <v>379</v>
      </c>
      <c r="H14" s="166">
        <v>40</v>
      </c>
      <c r="I14" s="167" t="s">
        <v>375</v>
      </c>
      <c r="J14" s="176"/>
      <c r="L14" s="152" t="s">
        <v>380</v>
      </c>
      <c r="M14" s="153" t="s">
        <v>221</v>
      </c>
      <c r="N14" s="154" t="str">
        <f t="shared" si="0"/>
        <v>Incorporation into Formulation - Dry Cleaning SolventModeled Data</v>
      </c>
      <c r="O14" s="155" t="s">
        <v>381</v>
      </c>
    </row>
    <row r="15" spans="1:15" ht="13.5" thickBot="1">
      <c r="A15" s="176"/>
      <c r="B15" s="388" t="s">
        <v>234</v>
      </c>
      <c r="C15" s="176"/>
      <c r="D15" s="178" t="s">
        <v>382</v>
      </c>
      <c r="E15" s="176"/>
      <c r="F15" s="165" t="s">
        <v>383</v>
      </c>
      <c r="G15" s="166" t="s">
        <v>384</v>
      </c>
      <c r="H15" s="166">
        <v>78</v>
      </c>
      <c r="I15" s="167" t="s">
        <v>375</v>
      </c>
      <c r="J15" s="176"/>
      <c r="L15" s="152" t="s">
        <v>385</v>
      </c>
      <c r="M15" s="153" t="s">
        <v>221</v>
      </c>
      <c r="N15" s="154" t="str">
        <f t="shared" si="0"/>
        <v>Incorporation into Formulation - MiscellaneousModeled Data</v>
      </c>
      <c r="O15" s="155" t="s">
        <v>386</v>
      </c>
    </row>
    <row r="16" spans="1:15" ht="13.5" thickTop="1">
      <c r="A16" s="179"/>
      <c r="B16" s="388" t="s">
        <v>237</v>
      </c>
      <c r="C16" s="176"/>
      <c r="D16" s="180">
        <v>10</v>
      </c>
      <c r="E16" s="176"/>
      <c r="F16" s="165" t="s">
        <v>387</v>
      </c>
      <c r="G16" s="166" t="s">
        <v>388</v>
      </c>
      <c r="H16" s="168">
        <f>WY_mid*365</f>
        <v>11315</v>
      </c>
      <c r="I16" s="167" t="s">
        <v>389</v>
      </c>
      <c r="J16" s="176"/>
      <c r="L16" s="152" t="s">
        <v>390</v>
      </c>
      <c r="M16" s="153" t="s">
        <v>205</v>
      </c>
      <c r="N16" s="154" t="str">
        <f t="shared" si="0"/>
        <v>Open-top Vapor DegreasingMonitoring Data</v>
      </c>
      <c r="O16" s="155" t="s">
        <v>391</v>
      </c>
    </row>
    <row r="17" spans="1:15">
      <c r="A17" s="179"/>
      <c r="B17" s="388" t="s">
        <v>239</v>
      </c>
      <c r="C17" s="176"/>
      <c r="D17" s="180">
        <v>25</v>
      </c>
      <c r="E17" s="176"/>
      <c r="F17" s="165" t="s">
        <v>392</v>
      </c>
      <c r="G17" s="166" t="s">
        <v>393</v>
      </c>
      <c r="H17" s="168">
        <f>WY_high*365</f>
        <v>14600</v>
      </c>
      <c r="I17" s="167" t="s">
        <v>389</v>
      </c>
      <c r="J17" s="176"/>
      <c r="L17" s="152" t="s">
        <v>390</v>
      </c>
      <c r="M17" s="153" t="s">
        <v>205</v>
      </c>
      <c r="N17" s="154" t="str">
        <f t="shared" si="0"/>
        <v>Open-top Vapor DegreasingMonitoring Data</v>
      </c>
      <c r="O17" s="155" t="s">
        <v>391</v>
      </c>
    </row>
    <row r="18" spans="1:15" ht="13.5" thickBot="1">
      <c r="A18" s="179"/>
      <c r="B18" s="416" t="s">
        <v>241</v>
      </c>
      <c r="C18" s="176"/>
      <c r="D18" s="180">
        <v>50</v>
      </c>
      <c r="E18" s="176"/>
      <c r="F18" s="159" t="s">
        <v>394</v>
      </c>
      <c r="G18" s="160" t="s">
        <v>395</v>
      </c>
      <c r="H18" s="170">
        <f>LT*365</f>
        <v>28470</v>
      </c>
      <c r="I18" s="161" t="s">
        <v>389</v>
      </c>
      <c r="J18" s="176"/>
      <c r="L18" s="152" t="s">
        <v>396</v>
      </c>
      <c r="M18" s="153" t="s">
        <v>205</v>
      </c>
      <c r="N18" s="154" t="str">
        <f t="shared" si="0"/>
        <v>Closed Loop Vapor DegreasingMonitoring Data</v>
      </c>
      <c r="O18" s="155">
        <v>3</v>
      </c>
    </row>
    <row r="19" spans="1:15">
      <c r="A19" s="179"/>
      <c r="B19" s="176"/>
      <c r="C19" s="176"/>
      <c r="D19" s="180">
        <v>1000</v>
      </c>
      <c r="E19" s="176"/>
      <c r="F19" s="176"/>
      <c r="G19" s="176"/>
      <c r="H19" s="176"/>
      <c r="I19" s="176"/>
      <c r="J19" s="158"/>
      <c r="L19" s="152" t="s">
        <v>396</v>
      </c>
      <c r="M19" s="153" t="s">
        <v>205</v>
      </c>
      <c r="N19" s="154" t="str">
        <f t="shared" si="0"/>
        <v>Closed Loop Vapor DegreasingMonitoring Data</v>
      </c>
      <c r="O19" s="155">
        <v>3</v>
      </c>
    </row>
    <row r="20" spans="1:15" ht="13.5" thickBot="1">
      <c r="A20" s="179"/>
      <c r="B20" s="176"/>
      <c r="C20" s="176"/>
      <c r="D20" s="182">
        <v>10000</v>
      </c>
      <c r="E20" s="176"/>
      <c r="F20" s="176"/>
      <c r="G20" s="176"/>
      <c r="H20" s="176"/>
      <c r="I20" s="176"/>
      <c r="J20" s="158"/>
      <c r="L20" s="152" t="s">
        <v>397</v>
      </c>
      <c r="M20" s="153" t="s">
        <v>221</v>
      </c>
      <c r="N20" s="154" t="str">
        <f t="shared" si="0"/>
        <v>Conveyorized Vapor DegreasingModeled Data</v>
      </c>
      <c r="O20" s="155">
        <v>4</v>
      </c>
    </row>
    <row r="21" spans="1:15" ht="13.5" thickBot="1">
      <c r="A21" s="179"/>
      <c r="B21" s="176"/>
      <c r="C21" s="176"/>
      <c r="D21" s="176"/>
      <c r="E21" s="176"/>
      <c r="F21" s="176"/>
      <c r="G21" s="176"/>
      <c r="H21" s="176"/>
      <c r="I21" s="176"/>
      <c r="J21" s="176"/>
      <c r="L21" s="152" t="s">
        <v>397</v>
      </c>
      <c r="M21" s="153" t="s">
        <v>221</v>
      </c>
      <c r="N21" s="154" t="str">
        <f t="shared" si="0"/>
        <v>Conveyorized Vapor DegreasingModeled Data</v>
      </c>
      <c r="O21" s="155">
        <v>4</v>
      </c>
    </row>
    <row r="22" spans="1:15" ht="13.5" thickBot="1">
      <c r="A22" s="179"/>
      <c r="B22" s="176"/>
      <c r="C22" s="176"/>
      <c r="D22" s="178" t="s">
        <v>398</v>
      </c>
      <c r="E22" s="176"/>
      <c r="F22" s="176"/>
      <c r="G22" s="176"/>
      <c r="H22" s="176"/>
      <c r="I22" s="176"/>
      <c r="J22" s="176"/>
      <c r="L22" s="152" t="s">
        <v>399</v>
      </c>
      <c r="M22" s="153" t="s">
        <v>221</v>
      </c>
      <c r="N22" s="154" t="str">
        <f t="shared" si="0"/>
        <v>Web DegreasingModeled Data</v>
      </c>
      <c r="O22" s="155">
        <v>5</v>
      </c>
    </row>
    <row r="23" spans="1:15" ht="13.5" thickTop="1">
      <c r="A23" s="176"/>
      <c r="B23" s="176"/>
      <c r="C23" s="176"/>
      <c r="D23" s="189">
        <v>5</v>
      </c>
      <c r="E23" s="169" t="s">
        <v>400</v>
      </c>
      <c r="F23" s="176"/>
      <c r="G23" s="176"/>
      <c r="H23" s="176"/>
      <c r="I23" s="176"/>
      <c r="J23" s="176"/>
      <c r="L23" s="152" t="s">
        <v>399</v>
      </c>
      <c r="M23" s="153" t="s">
        <v>221</v>
      </c>
      <c r="N23" s="154" t="str">
        <f t="shared" si="0"/>
        <v>Web DegreasingModeled Data</v>
      </c>
      <c r="O23" s="155">
        <v>5</v>
      </c>
    </row>
    <row r="24" spans="1:15" ht="25.5">
      <c r="A24" s="176"/>
      <c r="B24" s="176"/>
      <c r="C24" s="176"/>
      <c r="D24" s="180">
        <v>10</v>
      </c>
      <c r="E24" s="169" t="s">
        <v>401</v>
      </c>
      <c r="F24" s="176"/>
      <c r="G24" s="176"/>
      <c r="H24" s="176"/>
      <c r="I24" s="176"/>
      <c r="J24" s="176"/>
      <c r="L24" s="152" t="s">
        <v>402</v>
      </c>
      <c r="M24" s="153" t="s">
        <v>205</v>
      </c>
      <c r="N24" s="154" t="str">
        <f t="shared" si="0"/>
        <v>Cold CleaningMonitoring Data</v>
      </c>
      <c r="O24" s="155" t="s">
        <v>403</v>
      </c>
    </row>
    <row r="25" spans="1:15" ht="13.5" thickBot="1">
      <c r="A25" s="176"/>
      <c r="B25" s="176"/>
      <c r="C25" s="176"/>
      <c r="D25" s="182">
        <v>20</v>
      </c>
      <c r="E25" s="169" t="s">
        <v>404</v>
      </c>
      <c r="F25" s="176"/>
      <c r="G25" s="176"/>
      <c r="H25" s="176"/>
      <c r="I25" s="176"/>
      <c r="J25" s="176"/>
      <c r="L25" s="152" t="s">
        <v>402</v>
      </c>
      <c r="M25" s="153" t="s">
        <v>221</v>
      </c>
      <c r="N25" s="154" t="str">
        <f t="shared" si="0"/>
        <v>Cold CleaningModeled Data</v>
      </c>
      <c r="O25" s="155" t="s">
        <v>405</v>
      </c>
    </row>
    <row r="26" spans="1:15">
      <c r="A26" s="176"/>
      <c r="B26" s="176"/>
      <c r="C26" s="176"/>
      <c r="D26" s="176"/>
      <c r="E26" s="176"/>
      <c r="F26" s="176"/>
      <c r="G26" s="176"/>
      <c r="H26" s="176"/>
      <c r="I26" s="176"/>
      <c r="J26" s="176"/>
      <c r="L26" s="152" t="s">
        <v>402</v>
      </c>
      <c r="M26" s="153" t="s">
        <v>221</v>
      </c>
      <c r="N26" s="154" t="str">
        <f t="shared" si="0"/>
        <v>Cold CleaningModeled Data</v>
      </c>
      <c r="O26" s="155" t="s">
        <v>405</v>
      </c>
    </row>
    <row r="27" spans="1:15">
      <c r="A27" s="176"/>
      <c r="B27" s="176"/>
      <c r="C27" s="176"/>
      <c r="D27" s="176"/>
      <c r="E27" s="176"/>
      <c r="F27" s="176"/>
      <c r="G27" s="176"/>
      <c r="H27" s="176"/>
      <c r="I27" s="176"/>
      <c r="J27" s="176"/>
      <c r="L27" s="152" t="s">
        <v>406</v>
      </c>
      <c r="M27" s="153" t="s">
        <v>205</v>
      </c>
      <c r="N27" s="154" t="str">
        <f t="shared" si="0"/>
        <v>Aerosol Degreasing/LubricantsMonitoring Data</v>
      </c>
      <c r="O27" s="155" t="s">
        <v>407</v>
      </c>
    </row>
    <row r="28" spans="1:15">
      <c r="A28" s="176"/>
      <c r="B28" s="176"/>
      <c r="C28" s="176"/>
      <c r="D28" s="176"/>
      <c r="E28" s="176"/>
      <c r="F28" s="176"/>
      <c r="G28" s="176"/>
      <c r="H28" s="176"/>
      <c r="I28" s="176"/>
      <c r="J28" s="176"/>
      <c r="L28" s="152" t="s">
        <v>406</v>
      </c>
      <c r="M28" s="153" t="s">
        <v>221</v>
      </c>
      <c r="N28" s="154" t="str">
        <f t="shared" si="0"/>
        <v>Aerosol Degreasing/LubricantsModeled Data</v>
      </c>
      <c r="O28" s="155" t="s">
        <v>408</v>
      </c>
    </row>
    <row r="29" spans="1:15">
      <c r="A29" s="176"/>
      <c r="B29" s="176"/>
      <c r="C29" s="176"/>
      <c r="D29" s="176"/>
      <c r="E29" s="176"/>
      <c r="F29" s="176"/>
      <c r="G29" s="176"/>
      <c r="H29" s="176"/>
      <c r="I29" s="176"/>
      <c r="J29" s="176"/>
      <c r="L29" s="152" t="s">
        <v>406</v>
      </c>
      <c r="M29" s="153" t="s">
        <v>221</v>
      </c>
      <c r="N29" s="154" t="str">
        <f t="shared" si="0"/>
        <v>Aerosol Degreasing/LubricantsModeled Data</v>
      </c>
      <c r="O29" s="155" t="s">
        <v>408</v>
      </c>
    </row>
    <row r="30" spans="1:15">
      <c r="A30" s="176"/>
      <c r="B30" s="176"/>
      <c r="C30" s="176"/>
      <c r="D30" s="176"/>
      <c r="E30" s="176"/>
      <c r="F30" s="176"/>
      <c r="G30" s="176"/>
      <c r="H30" s="176"/>
      <c r="I30" s="176"/>
      <c r="J30" s="176"/>
      <c r="L30" s="152" t="s">
        <v>409</v>
      </c>
      <c r="M30" s="153" t="s">
        <v>205</v>
      </c>
      <c r="N30" s="154" t="str">
        <f t="shared" si="0"/>
        <v>Post-2006 Dry Cleaning (including spot cleaning)Monitoring Data</v>
      </c>
      <c r="O30" s="155" t="s">
        <v>410</v>
      </c>
    </row>
    <row r="31" spans="1:15">
      <c r="A31" s="176"/>
      <c r="B31" s="176"/>
      <c r="C31" s="176"/>
      <c r="D31" s="176"/>
      <c r="E31" s="176"/>
      <c r="F31" s="176"/>
      <c r="G31" s="176"/>
      <c r="H31" s="176"/>
      <c r="I31" s="176"/>
      <c r="J31" s="176"/>
      <c r="L31" s="152" t="s">
        <v>409</v>
      </c>
      <c r="M31" s="153" t="s">
        <v>205</v>
      </c>
      <c r="N31" s="154" t="str">
        <f t="shared" si="0"/>
        <v>Post-2006 Dry Cleaning (including spot cleaning)Monitoring Data</v>
      </c>
      <c r="O31" s="155" t="s">
        <v>410</v>
      </c>
    </row>
    <row r="32" spans="1:15">
      <c r="A32" s="176"/>
      <c r="B32" s="176"/>
      <c r="C32" s="176"/>
      <c r="D32" s="176"/>
      <c r="E32" s="176"/>
      <c r="F32" s="176"/>
      <c r="G32" s="176"/>
      <c r="H32" s="176"/>
      <c r="I32" s="176"/>
      <c r="J32" s="176"/>
      <c r="L32" s="152" t="s">
        <v>411</v>
      </c>
      <c r="M32" s="153" t="s">
        <v>205</v>
      </c>
      <c r="N32" s="154" t="str">
        <f t="shared" si="0"/>
        <v>4th/5th Gen Only Dry Cleaning (including spot cleaning)Monitoring Data</v>
      </c>
      <c r="O32" s="155" t="s">
        <v>412</v>
      </c>
    </row>
    <row r="33" spans="1:15">
      <c r="A33" s="176"/>
      <c r="B33" s="176"/>
      <c r="C33" s="176"/>
      <c r="D33" s="176"/>
      <c r="E33" s="176"/>
      <c r="F33" s="176"/>
      <c r="G33" s="176"/>
      <c r="H33" s="176"/>
      <c r="I33" s="176"/>
      <c r="J33" s="176"/>
      <c r="L33" s="152" t="s">
        <v>411</v>
      </c>
      <c r="M33" s="153" t="s">
        <v>205</v>
      </c>
      <c r="N33" s="154" t="str">
        <f t="shared" si="0"/>
        <v>4th/5th Gen Only Dry Cleaning (including spot cleaning)Monitoring Data</v>
      </c>
      <c r="O33" s="155" t="s">
        <v>412</v>
      </c>
    </row>
    <row r="34" spans="1:15">
      <c r="A34" s="176"/>
      <c r="B34" s="176"/>
      <c r="C34" s="176"/>
      <c r="D34" s="176"/>
      <c r="E34" s="176"/>
      <c r="F34" s="176"/>
      <c r="G34" s="176"/>
      <c r="H34" s="176"/>
      <c r="I34" s="176"/>
      <c r="J34" s="176"/>
      <c r="L34" s="152" t="s">
        <v>409</v>
      </c>
      <c r="M34" s="153" t="s">
        <v>221</v>
      </c>
      <c r="N34" s="154" t="str">
        <f t="shared" si="0"/>
        <v>Post-2006 Dry Cleaning (including spot cleaning)Modeled Data</v>
      </c>
      <c r="O34" s="155" t="s">
        <v>413</v>
      </c>
    </row>
    <row r="35" spans="1:15">
      <c r="A35" s="176"/>
      <c r="B35" s="176"/>
      <c r="C35" s="176"/>
      <c r="D35" s="176"/>
      <c r="E35" s="176"/>
      <c r="F35" s="176"/>
      <c r="G35" s="176"/>
      <c r="H35" s="176"/>
      <c r="I35" s="176"/>
      <c r="J35" s="176"/>
      <c r="L35" s="152" t="s">
        <v>409</v>
      </c>
      <c r="M35" s="153" t="s">
        <v>221</v>
      </c>
      <c r="N35" s="154" t="str">
        <f t="shared" si="0"/>
        <v>Post-2006 Dry Cleaning (including spot cleaning)Modeled Data</v>
      </c>
      <c r="O35" s="155" t="s">
        <v>413</v>
      </c>
    </row>
    <row r="36" spans="1:15">
      <c r="A36" s="176"/>
      <c r="B36" s="176"/>
      <c r="C36" s="176"/>
      <c r="D36" s="176"/>
      <c r="E36" s="176"/>
      <c r="F36" s="176"/>
      <c r="G36" s="176"/>
      <c r="H36" s="176"/>
      <c r="I36" s="176"/>
      <c r="J36" s="176"/>
      <c r="L36" s="152" t="s">
        <v>414</v>
      </c>
      <c r="M36" s="153" t="s">
        <v>205</v>
      </c>
      <c r="N36" s="154" t="str">
        <f t="shared" si="0"/>
        <v>Paints/Coatings (commercial)Monitoring Data</v>
      </c>
      <c r="O36" s="155" t="s">
        <v>415</v>
      </c>
    </row>
    <row r="37" spans="1:15">
      <c r="A37" s="176"/>
      <c r="B37" s="176"/>
      <c r="C37" s="176"/>
      <c r="D37" s="176"/>
      <c r="E37" s="176"/>
      <c r="F37" s="176"/>
      <c r="G37" s="176"/>
      <c r="H37" s="176"/>
      <c r="I37" s="176"/>
      <c r="J37" s="176"/>
      <c r="L37" s="152" t="s">
        <v>414</v>
      </c>
      <c r="M37" s="153" t="s">
        <v>271</v>
      </c>
      <c r="N37" s="154" t="str">
        <f t="shared" si="0"/>
        <v>Paints/Coatings (commercial)N/A</v>
      </c>
      <c r="O37" s="155" t="s">
        <v>415</v>
      </c>
    </row>
    <row r="38" spans="1:15">
      <c r="A38" s="176"/>
      <c r="B38" s="176"/>
      <c r="C38" s="176"/>
      <c r="D38" s="176"/>
      <c r="E38" s="176"/>
      <c r="F38" s="176"/>
      <c r="G38" s="176"/>
      <c r="H38" s="176"/>
      <c r="I38" s="176"/>
      <c r="J38" s="176"/>
      <c r="L38" s="152" t="s">
        <v>416</v>
      </c>
      <c r="M38" s="153" t="s">
        <v>205</v>
      </c>
      <c r="N38" s="154" t="str">
        <f t="shared" si="0"/>
        <v>Paints/Coatings (industrial)Monitoring Data</v>
      </c>
      <c r="O38" s="155" t="s">
        <v>417</v>
      </c>
    </row>
    <row r="39" spans="1:15">
      <c r="A39" s="176"/>
      <c r="B39" s="176"/>
      <c r="C39" s="176"/>
      <c r="D39" s="176"/>
      <c r="E39" s="176"/>
      <c r="F39" s="176"/>
      <c r="G39" s="176"/>
      <c r="H39" s="176"/>
      <c r="I39" s="176"/>
      <c r="J39" s="176"/>
      <c r="L39" s="152" t="s">
        <v>416</v>
      </c>
      <c r="M39" s="153" t="s">
        <v>271</v>
      </c>
      <c r="N39" s="154" t="str">
        <f t="shared" si="0"/>
        <v>Paints/Coatings (industrial)N/A</v>
      </c>
      <c r="O39" s="155" t="s">
        <v>417</v>
      </c>
    </row>
    <row r="40" spans="1:15">
      <c r="A40" s="176"/>
      <c r="B40" s="176"/>
      <c r="C40" s="176"/>
      <c r="D40" s="176"/>
      <c r="E40" s="176"/>
      <c r="F40" s="176"/>
      <c r="G40" s="176"/>
      <c r="H40" s="176"/>
      <c r="I40" s="176"/>
      <c r="J40" s="176"/>
      <c r="L40" s="152" t="s">
        <v>418</v>
      </c>
      <c r="M40" s="153" t="s">
        <v>205</v>
      </c>
      <c r="N40" s="154" t="str">
        <f t="shared" si="0"/>
        <v>Adhesives (commercial)Monitoring Data</v>
      </c>
      <c r="O40" s="155" t="s">
        <v>419</v>
      </c>
    </row>
    <row r="41" spans="1:15">
      <c r="A41" s="176"/>
      <c r="B41" s="176"/>
      <c r="C41" s="176"/>
      <c r="D41" s="176"/>
      <c r="E41" s="176"/>
      <c r="F41" s="176"/>
      <c r="G41" s="176"/>
      <c r="H41" s="176"/>
      <c r="I41" s="176"/>
      <c r="J41" s="176"/>
      <c r="L41" s="152" t="s">
        <v>418</v>
      </c>
      <c r="M41" s="153" t="s">
        <v>271</v>
      </c>
      <c r="N41" s="154" t="str">
        <f t="shared" si="0"/>
        <v>Adhesives (commercial)N/A</v>
      </c>
      <c r="O41" s="155" t="s">
        <v>419</v>
      </c>
    </row>
    <row r="42" spans="1:15">
      <c r="A42" s="176"/>
      <c r="B42" s="176"/>
      <c r="C42" s="176"/>
      <c r="D42" s="176"/>
      <c r="E42" s="176"/>
      <c r="F42" s="176"/>
      <c r="G42" s="176"/>
      <c r="H42" s="176"/>
      <c r="I42" s="176"/>
      <c r="J42" s="176"/>
      <c r="L42" s="152" t="s">
        <v>420</v>
      </c>
      <c r="M42" s="153" t="s">
        <v>205</v>
      </c>
      <c r="N42" s="154" t="str">
        <f t="shared" si="0"/>
        <v>Adhesives (industrial)Monitoring Data</v>
      </c>
      <c r="O42" s="155" t="s">
        <v>421</v>
      </c>
    </row>
    <row r="43" spans="1:15">
      <c r="A43" s="176"/>
      <c r="B43" s="176"/>
      <c r="C43" s="176"/>
      <c r="D43" s="176"/>
      <c r="E43" s="176"/>
      <c r="J43" s="176"/>
      <c r="L43" s="152" t="s">
        <v>420</v>
      </c>
      <c r="M43" s="153" t="s">
        <v>271</v>
      </c>
      <c r="N43" s="154" t="str">
        <f t="shared" si="0"/>
        <v>Adhesives (industrial)N/A</v>
      </c>
      <c r="O43" s="155" t="s">
        <v>421</v>
      </c>
    </row>
    <row r="44" spans="1:15">
      <c r="B44" s="176"/>
      <c r="L44" s="152" t="s">
        <v>422</v>
      </c>
      <c r="M44" s="153" t="s">
        <v>205</v>
      </c>
      <c r="N44" s="154" t="str">
        <f t="shared" si="0"/>
        <v>Chemical MaskantMonitoring Data</v>
      </c>
      <c r="O44" s="155">
        <v>10</v>
      </c>
    </row>
    <row r="45" spans="1:15">
      <c r="L45" s="152" t="s">
        <v>422</v>
      </c>
      <c r="M45" s="153" t="s">
        <v>205</v>
      </c>
      <c r="N45" s="154" t="str">
        <f t="shared" si="0"/>
        <v>Chemical MaskantMonitoring Data</v>
      </c>
      <c r="O45" s="155">
        <v>10</v>
      </c>
    </row>
    <row r="46" spans="1:15">
      <c r="L46" s="152" t="s">
        <v>423</v>
      </c>
      <c r="M46" s="153" t="s">
        <v>205</v>
      </c>
      <c r="N46" s="154" t="str">
        <f t="shared" si="0"/>
        <v>Industrial Processing AidMonitoring Data</v>
      </c>
      <c r="O46" s="155">
        <v>14</v>
      </c>
    </row>
    <row r="47" spans="1:15">
      <c r="L47" s="152" t="s">
        <v>424</v>
      </c>
      <c r="M47" s="153" t="s">
        <v>205</v>
      </c>
      <c r="N47" s="154" t="str">
        <f t="shared" si="0"/>
        <v>Other Industrial Uses - MiscellaneousMonitoring Data</v>
      </c>
      <c r="O47" s="155" t="s">
        <v>425</v>
      </c>
    </row>
    <row r="48" spans="1:15">
      <c r="L48" s="152" t="s">
        <v>426</v>
      </c>
      <c r="M48" s="153" t="s">
        <v>205</v>
      </c>
      <c r="N48" s="154" t="str">
        <f t="shared" si="0"/>
        <v>Other Industrial Uses - Textile ProcessingMonitoring Data</v>
      </c>
      <c r="O48" s="155" t="s">
        <v>427</v>
      </c>
    </row>
    <row r="49" spans="12:15">
      <c r="L49" s="152" t="s">
        <v>428</v>
      </c>
      <c r="M49" s="153" t="s">
        <v>205</v>
      </c>
      <c r="N49" s="154" t="str">
        <f t="shared" si="0"/>
        <v>Other Industrial Uses - Wood Furniture ManufacturingMonitoring Data</v>
      </c>
      <c r="O49" s="155" t="s">
        <v>429</v>
      </c>
    </row>
    <row r="50" spans="12:15">
      <c r="L50" s="152" t="s">
        <v>430</v>
      </c>
      <c r="M50" s="153" t="s">
        <v>205</v>
      </c>
      <c r="N50" s="154" t="str">
        <f t="shared" si="0"/>
        <v>Other Industrial Uses - Foundry ApplicationsMonitoring Data</v>
      </c>
      <c r="O50" s="155" t="s">
        <v>431</v>
      </c>
    </row>
    <row r="51" spans="12:15">
      <c r="L51" s="152" t="s">
        <v>432</v>
      </c>
      <c r="M51" s="153" t="s">
        <v>221</v>
      </c>
      <c r="N51" s="154" t="str">
        <f t="shared" si="0"/>
        <v>Metalworking FluidModeled Data</v>
      </c>
      <c r="O51" s="155">
        <v>16</v>
      </c>
    </row>
    <row r="52" spans="12:15">
      <c r="L52" s="152" t="s">
        <v>433</v>
      </c>
      <c r="M52" s="153" t="s">
        <v>205</v>
      </c>
      <c r="N52" s="154" t="str">
        <f t="shared" si="0"/>
        <v>Wipe Cleaning and Metal/Stone PolishesMonitoring Data</v>
      </c>
      <c r="O52" s="155">
        <v>17</v>
      </c>
    </row>
    <row r="53" spans="12:15">
      <c r="L53" s="152" t="s">
        <v>433</v>
      </c>
      <c r="M53" s="153" t="s">
        <v>205</v>
      </c>
      <c r="N53" s="154" t="str">
        <f t="shared" si="0"/>
        <v>Wipe Cleaning and Metal/Stone PolishesMonitoring Data</v>
      </c>
      <c r="O53" s="155">
        <v>17</v>
      </c>
    </row>
    <row r="54" spans="12:15" ht="25.5">
      <c r="L54" s="12" t="s">
        <v>434</v>
      </c>
      <c r="M54" s="153" t="s">
        <v>205</v>
      </c>
      <c r="N54" s="154" t="str">
        <f t="shared" si="0"/>
        <v>Other Spot Cleaning/Spot Removers (Including Carpet Cleaning)Monitoring Data</v>
      </c>
      <c r="O54" s="155">
        <v>18</v>
      </c>
    </row>
    <row r="55" spans="12:15" ht="25.5">
      <c r="L55" s="12" t="s">
        <v>434</v>
      </c>
      <c r="M55" s="153" t="s">
        <v>205</v>
      </c>
      <c r="N55" s="154" t="str">
        <f t="shared" si="0"/>
        <v>Other Spot Cleaning/Spot Removers (Including Carpet Cleaning)Monitoring Data</v>
      </c>
      <c r="O55" s="155">
        <v>18</v>
      </c>
    </row>
    <row r="56" spans="12:15">
      <c r="L56" s="152" t="s">
        <v>435</v>
      </c>
      <c r="M56" s="153" t="s">
        <v>205</v>
      </c>
      <c r="N56" s="154" t="str">
        <f t="shared" si="0"/>
        <v>Other Commercial Uses - PrintingMonitoring Data</v>
      </c>
      <c r="O56" s="155" t="s">
        <v>436</v>
      </c>
    </row>
    <row r="57" spans="12:15">
      <c r="L57" s="152" t="s">
        <v>437</v>
      </c>
      <c r="M57" s="153" t="s">
        <v>205</v>
      </c>
      <c r="N57" s="154" t="str">
        <f t="shared" si="0"/>
        <v>Other Commercial Uses - PhotocopyingMonitoring Data</v>
      </c>
      <c r="O57" s="155" t="s">
        <v>438</v>
      </c>
    </row>
    <row r="58" spans="12:15">
      <c r="L58" s="152" t="s">
        <v>439</v>
      </c>
      <c r="M58" s="153" t="s">
        <v>205</v>
      </c>
      <c r="N58" s="154" t="str">
        <f t="shared" si="0"/>
        <v>Other Commercial Uses - Photographic FilmMonitoring Data</v>
      </c>
      <c r="O58" s="155" t="s">
        <v>440</v>
      </c>
    </row>
    <row r="59" spans="12:15">
      <c r="L59" s="152" t="s">
        <v>441</v>
      </c>
      <c r="M59" s="153" t="s">
        <v>205</v>
      </c>
      <c r="N59" s="154" t="str">
        <f t="shared" si="0"/>
        <v>Other Commercial Uses - Mold ReleaseMonitoring Data</v>
      </c>
      <c r="O59" s="155" t="s">
        <v>442</v>
      </c>
    </row>
    <row r="60" spans="12:15">
      <c r="L60" s="171" t="s">
        <v>443</v>
      </c>
      <c r="M60" s="172" t="s">
        <v>205</v>
      </c>
      <c r="N60" s="154" t="str">
        <f t="shared" si="0"/>
        <v>Other DOD Uses - Water Pipe RepairMonitoring Data</v>
      </c>
      <c r="O60" s="31" t="s">
        <v>444</v>
      </c>
    </row>
    <row r="61" spans="12:15">
      <c r="L61" s="171" t="s">
        <v>445</v>
      </c>
      <c r="M61" s="172" t="s">
        <v>205</v>
      </c>
      <c r="N61" s="154" t="str">
        <f t="shared" si="0"/>
        <v>Other DOD Uses - Oil analysisMonitoring Data</v>
      </c>
      <c r="O61" s="31" t="s">
        <v>446</v>
      </c>
    </row>
    <row r="62" spans="12:15">
      <c r="L62" s="152" t="s">
        <v>447</v>
      </c>
      <c r="M62" s="153" t="s">
        <v>205</v>
      </c>
      <c r="N62" s="154" t="str">
        <f t="shared" si="0"/>
        <v>Disposal/Recycling and DisposalMonitoring Data</v>
      </c>
      <c r="O62" s="155">
        <v>21</v>
      </c>
    </row>
    <row r="63" spans="12:15" ht="13.5" thickBot="1">
      <c r="L63" s="173" t="s">
        <v>448</v>
      </c>
      <c r="M63" s="174" t="s">
        <v>205</v>
      </c>
      <c r="N63" s="154" t="str">
        <f t="shared" si="0"/>
        <v>Laboratory ChemicalsMonitoring Data</v>
      </c>
      <c r="O63" s="175">
        <v>22</v>
      </c>
    </row>
  </sheetData>
  <sheetProtection sheet="1" objects="1" scenarios="1"/>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41240-2A0D-4766-9250-85744E11E255}">
  <sheetPr codeName="Sheet8">
    <tabColor theme="1"/>
  </sheetPr>
  <dimension ref="B1:F23"/>
  <sheetViews>
    <sheetView tabSelected="1" workbookViewId="0">
      <selection activeCell="F31" sqref="F31"/>
    </sheetView>
  </sheetViews>
  <sheetFormatPr defaultColWidth="9.140625" defaultRowHeight="12.75"/>
  <cols>
    <col min="1" max="1" width="4.85546875" style="5" customWidth="1"/>
    <col min="2" max="2" width="35.5703125" style="5" customWidth="1"/>
    <col min="3" max="3" width="10.42578125" style="5" customWidth="1"/>
    <col min="4" max="4" width="13.140625" style="5" customWidth="1"/>
    <col min="5" max="5" width="16.5703125" style="5" bestFit="1" customWidth="1"/>
    <col min="6" max="6" width="62" style="5" customWidth="1"/>
    <col min="7" max="7" width="10.85546875" style="5" customWidth="1"/>
    <col min="8" max="16384" width="9.140625" style="5"/>
  </cols>
  <sheetData>
    <row r="1" spans="2:6" ht="15.75">
      <c r="B1" s="203" t="s">
        <v>449</v>
      </c>
    </row>
    <row r="3" spans="2:6" ht="38.25">
      <c r="C3" s="190" t="s">
        <v>74</v>
      </c>
      <c r="D3" s="191" t="s">
        <v>206</v>
      </c>
      <c r="E3" s="191" t="s">
        <v>450</v>
      </c>
      <c r="F3" s="248" t="s">
        <v>451</v>
      </c>
    </row>
    <row r="4" spans="2:6" ht="38.25">
      <c r="B4" s="192" t="s">
        <v>452</v>
      </c>
      <c r="C4" s="193">
        <v>80</v>
      </c>
      <c r="D4" s="194">
        <f>AVERAGE(65.9,71.9,74.8,77.1)</f>
        <v>72.425000000000011</v>
      </c>
      <c r="E4" s="245"/>
      <c r="F4" s="278" t="s">
        <v>453</v>
      </c>
    </row>
    <row r="5" spans="2:6" ht="15.75">
      <c r="B5" s="192" t="s">
        <v>454</v>
      </c>
      <c r="C5" s="195">
        <f>C6/2</f>
        <v>535</v>
      </c>
      <c r="D5" s="196">
        <f>D6/2</f>
        <v>445</v>
      </c>
      <c r="E5" s="246" t="s">
        <v>93</v>
      </c>
      <c r="F5" s="634" t="s">
        <v>455</v>
      </c>
    </row>
    <row r="6" spans="2:6" ht="15.75">
      <c r="B6" s="192" t="s">
        <v>456</v>
      </c>
      <c r="C6" s="197">
        <v>1070</v>
      </c>
      <c r="D6" s="198">
        <v>890</v>
      </c>
      <c r="E6" s="246" t="s">
        <v>92</v>
      </c>
      <c r="F6" s="635"/>
    </row>
    <row r="7" spans="2:6">
      <c r="B7" s="192" t="s">
        <v>457</v>
      </c>
      <c r="C7" s="195">
        <v>40</v>
      </c>
      <c r="D7" s="196">
        <v>40</v>
      </c>
      <c r="E7" s="246" t="s">
        <v>92</v>
      </c>
      <c r="F7" s="249"/>
    </row>
    <row r="8" spans="2:6">
      <c r="B8" s="192" t="s">
        <v>458</v>
      </c>
      <c r="C8" s="195">
        <v>31</v>
      </c>
      <c r="D8" s="196">
        <v>31</v>
      </c>
      <c r="E8" s="246" t="s">
        <v>93</v>
      </c>
      <c r="F8" s="249"/>
    </row>
    <row r="9" spans="2:6">
      <c r="B9" s="192" t="s">
        <v>459</v>
      </c>
      <c r="C9" s="195">
        <v>78</v>
      </c>
      <c r="D9" s="196">
        <v>78</v>
      </c>
      <c r="E9" s="246"/>
      <c r="F9" s="249"/>
    </row>
    <row r="10" spans="2:6" ht="15.75">
      <c r="B10" s="192" t="s">
        <v>460</v>
      </c>
      <c r="C10" s="639">
        <v>1.25</v>
      </c>
      <c r="D10" s="640"/>
      <c r="E10" s="246" t="s">
        <v>461</v>
      </c>
      <c r="F10" s="249" t="s">
        <v>462</v>
      </c>
    </row>
    <row r="11" spans="2:6" ht="15.75">
      <c r="B11" s="199" t="s">
        <v>463</v>
      </c>
      <c r="C11" s="200">
        <v>0.61250000000000004</v>
      </c>
      <c r="D11" s="201"/>
      <c r="E11" s="247" t="s">
        <v>461</v>
      </c>
      <c r="F11" s="250"/>
    </row>
    <row r="12" spans="2:6">
      <c r="B12" s="637"/>
      <c r="C12" s="637"/>
      <c r="D12" s="637"/>
      <c r="E12" s="637"/>
    </row>
    <row r="13" spans="2:6">
      <c r="B13" s="114" t="s">
        <v>464</v>
      </c>
    </row>
    <row r="14" spans="2:6">
      <c r="B14" s="202" t="s">
        <v>465</v>
      </c>
    </row>
    <row r="15" spans="2:6">
      <c r="B15" s="5" t="s">
        <v>466</v>
      </c>
    </row>
    <row r="16" spans="2:6">
      <c r="B16" s="5" t="s">
        <v>467</v>
      </c>
    </row>
    <row r="17" spans="2:5">
      <c r="B17" s="5" t="s">
        <v>468</v>
      </c>
    </row>
    <row r="18" spans="2:5">
      <c r="B18" s="5" t="s">
        <v>469</v>
      </c>
    </row>
    <row r="19" spans="2:5">
      <c r="B19" s="5" t="s">
        <v>470</v>
      </c>
    </row>
    <row r="21" spans="2:5">
      <c r="B21" s="636" t="s">
        <v>471</v>
      </c>
      <c r="C21" s="636"/>
      <c r="D21" s="636"/>
      <c r="E21" s="636"/>
    </row>
    <row r="22" spans="2:5">
      <c r="B22" s="638" t="s">
        <v>472</v>
      </c>
      <c r="C22" s="638"/>
      <c r="D22" s="638"/>
      <c r="E22" s="638"/>
    </row>
    <row r="23" spans="2:5">
      <c r="B23" s="638" t="s">
        <v>473</v>
      </c>
      <c r="C23" s="638"/>
      <c r="D23" s="638"/>
      <c r="E23" s="638"/>
    </row>
  </sheetData>
  <sheetProtection sheet="1" objects="1" scenarios="1"/>
  <mergeCells count="6">
    <mergeCell ref="F5:F6"/>
    <mergeCell ref="B21:E21"/>
    <mergeCell ref="B12:E12"/>
    <mergeCell ref="B22:E22"/>
    <mergeCell ref="B23:E23"/>
    <mergeCell ref="C10:D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73E7E-60EB-4022-BE19-E14BB305BE60}">
  <sheetPr codeName="Sheet2">
    <tabColor rgb="FF92D050"/>
  </sheetPr>
  <dimension ref="A1:B13"/>
  <sheetViews>
    <sheetView workbookViewId="0">
      <selection activeCell="E6" sqref="E6"/>
    </sheetView>
  </sheetViews>
  <sheetFormatPr defaultColWidth="9.140625" defaultRowHeight="12.75"/>
  <cols>
    <col min="1" max="1" width="18.140625" style="1" customWidth="1"/>
    <col min="2" max="2" width="176.85546875" style="1" customWidth="1"/>
    <col min="3" max="16384" width="9.140625" style="1"/>
  </cols>
  <sheetData>
    <row r="1" spans="1:2" ht="15.75">
      <c r="A1" s="208" t="s">
        <v>4</v>
      </c>
      <c r="B1" s="112"/>
    </row>
    <row r="2" spans="1:2" ht="50.25" customHeight="1">
      <c r="A2" s="466" t="s">
        <v>5</v>
      </c>
      <c r="B2" s="466"/>
    </row>
    <row r="3" spans="1:2">
      <c r="A3" s="112"/>
      <c r="B3" s="112"/>
    </row>
    <row r="4" spans="1:2">
      <c r="A4" s="12" t="s">
        <v>6</v>
      </c>
      <c r="B4" s="12" t="s">
        <v>7</v>
      </c>
    </row>
    <row r="5" spans="1:2" ht="25.5">
      <c r="A5" s="12" t="s">
        <v>8</v>
      </c>
      <c r="B5" s="12" t="s">
        <v>9</v>
      </c>
    </row>
    <row r="6" spans="1:2" ht="89.25">
      <c r="A6" s="12" t="s">
        <v>10</v>
      </c>
      <c r="B6" s="12" t="s">
        <v>11</v>
      </c>
    </row>
    <row r="7" spans="1:2" ht="38.25">
      <c r="A7" s="12" t="s">
        <v>12</v>
      </c>
      <c r="B7" s="12" t="s">
        <v>13</v>
      </c>
    </row>
    <row r="8" spans="1:2" ht="45.75" customHeight="1">
      <c r="A8" s="12" t="s">
        <v>14</v>
      </c>
      <c r="B8" s="12" t="s">
        <v>15</v>
      </c>
    </row>
    <row r="9" spans="1:2" ht="63.75">
      <c r="A9" s="12" t="s">
        <v>16</v>
      </c>
      <c r="B9" s="12" t="s">
        <v>17</v>
      </c>
    </row>
    <row r="10" spans="1:2" ht="27" customHeight="1"/>
    <row r="11" spans="1:2" ht="27" customHeight="1"/>
    <row r="12" spans="1:2" ht="27" customHeight="1"/>
    <row r="13" spans="1:2" ht="27" customHeight="1"/>
  </sheetData>
  <sheetProtection sheet="1" objects="1" scenarios="1"/>
  <mergeCells count="1">
    <mergeCell ref="A2:B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C1A0-D2AE-4E8C-83FD-637F8818DD82}">
  <sheetPr codeName="Sheet10">
    <tabColor rgb="FF92D050"/>
  </sheetPr>
  <dimension ref="A1:F38"/>
  <sheetViews>
    <sheetView workbookViewId="0"/>
  </sheetViews>
  <sheetFormatPr defaultColWidth="9.140625" defaultRowHeight="12.75"/>
  <cols>
    <col min="1" max="1" width="54.140625" style="1" bestFit="1" customWidth="1"/>
    <col min="2" max="2" width="64.85546875" style="1" customWidth="1"/>
    <col min="3" max="3" width="94.85546875" style="1" customWidth="1"/>
    <col min="4" max="4" width="29.140625" style="1" customWidth="1"/>
    <col min="5" max="16384" width="9.140625" style="1"/>
  </cols>
  <sheetData>
    <row r="1" spans="1:6" ht="15.75">
      <c r="A1" s="203" t="s">
        <v>18</v>
      </c>
      <c r="B1" s="5"/>
      <c r="C1" s="5"/>
      <c r="D1" s="5"/>
      <c r="E1" s="5"/>
      <c r="F1" s="5"/>
    </row>
    <row r="2" spans="1:6">
      <c r="A2" s="220" t="s">
        <v>19</v>
      </c>
      <c r="B2" s="220" t="s">
        <v>20</v>
      </c>
      <c r="C2" s="220" t="s">
        <v>21</v>
      </c>
      <c r="D2" s="5"/>
      <c r="E2" s="5"/>
      <c r="F2" s="5"/>
    </row>
    <row r="3" spans="1:6" ht="15.75">
      <c r="A3" s="467" t="s">
        <v>22</v>
      </c>
      <c r="B3" s="467"/>
      <c r="C3" s="467"/>
      <c r="D3" s="5"/>
      <c r="E3" s="5"/>
      <c r="F3" s="5"/>
    </row>
    <row r="4" spans="1:6" ht="41.25">
      <c r="A4" s="209" t="s">
        <v>23</v>
      </c>
      <c r="B4" s="226" t="s">
        <v>24</v>
      </c>
      <c r="C4" s="225" t="s">
        <v>25</v>
      </c>
      <c r="D4" s="5"/>
      <c r="E4" s="5"/>
      <c r="F4" s="5"/>
    </row>
    <row r="5" spans="1:6" ht="114.75">
      <c r="A5" s="209" t="s">
        <v>26</v>
      </c>
      <c r="B5" s="276" t="s">
        <v>27</v>
      </c>
      <c r="C5" s="225" t="s">
        <v>28</v>
      </c>
      <c r="D5" s="5"/>
      <c r="E5" s="5"/>
      <c r="F5" s="5"/>
    </row>
    <row r="6" spans="1:6" ht="63.75">
      <c r="A6" s="209" t="s">
        <v>29</v>
      </c>
      <c r="B6" s="276" t="s">
        <v>30</v>
      </c>
      <c r="C6" s="225" t="s">
        <v>31</v>
      </c>
      <c r="D6" s="5"/>
      <c r="E6" s="5"/>
      <c r="F6" s="5"/>
    </row>
    <row r="7" spans="1:6" ht="76.5">
      <c r="A7" s="209" t="s">
        <v>32</v>
      </c>
      <c r="B7" s="276" t="s">
        <v>33</v>
      </c>
      <c r="C7" s="225" t="s">
        <v>34</v>
      </c>
      <c r="D7" s="5"/>
      <c r="E7" s="5"/>
      <c r="F7" s="5"/>
    </row>
    <row r="8" spans="1:6">
      <c r="A8" s="468" t="s">
        <v>35</v>
      </c>
      <c r="B8" s="469"/>
      <c r="C8" s="470"/>
      <c r="D8" s="5"/>
      <c r="E8" s="5"/>
      <c r="F8" s="5"/>
    </row>
    <row r="9" spans="1:6">
      <c r="A9" s="222" t="s">
        <v>36</v>
      </c>
      <c r="B9" s="221" t="s">
        <v>37</v>
      </c>
      <c r="C9" s="223"/>
      <c r="D9" s="5"/>
      <c r="E9" s="5"/>
      <c r="F9" s="5"/>
    </row>
    <row r="10" spans="1:6">
      <c r="A10" s="222" t="s">
        <v>38</v>
      </c>
      <c r="B10" s="221" t="s">
        <v>37</v>
      </c>
      <c r="C10" s="224"/>
      <c r="D10" s="5"/>
      <c r="E10" s="5"/>
      <c r="F10" s="5"/>
    </row>
    <row r="11" spans="1:6" ht="25.5">
      <c r="A11" s="221" t="s">
        <v>39</v>
      </c>
      <c r="B11" s="221" t="s">
        <v>40</v>
      </c>
      <c r="C11" s="222" t="s">
        <v>41</v>
      </c>
      <c r="D11" s="5"/>
      <c r="E11" s="5"/>
      <c r="F11" s="5"/>
    </row>
    <row r="12" spans="1:6" ht="25.5">
      <c r="A12" s="221" t="s">
        <v>42</v>
      </c>
      <c r="B12" s="221" t="s">
        <v>43</v>
      </c>
      <c r="C12" s="222" t="s">
        <v>41</v>
      </c>
      <c r="D12" s="5"/>
      <c r="E12" s="5"/>
      <c r="F12" s="5"/>
    </row>
    <row r="13" spans="1:6" ht="25.5">
      <c r="A13" s="221" t="s">
        <v>44</v>
      </c>
      <c r="B13" s="221" t="s">
        <v>45</v>
      </c>
      <c r="C13" s="222" t="s">
        <v>41</v>
      </c>
      <c r="D13" s="5"/>
      <c r="E13" s="5"/>
      <c r="F13" s="5"/>
    </row>
    <row r="14" spans="1:6" ht="25.5">
      <c r="A14" s="221" t="s">
        <v>46</v>
      </c>
      <c r="B14" s="221" t="s">
        <v>47</v>
      </c>
      <c r="C14" s="222" t="s">
        <v>48</v>
      </c>
      <c r="D14" s="5"/>
      <c r="E14" s="5"/>
      <c r="F14" s="5"/>
    </row>
    <row r="15" spans="1:6">
      <c r="A15" s="467" t="s">
        <v>49</v>
      </c>
      <c r="B15" s="467"/>
      <c r="C15" s="467"/>
      <c r="D15" s="5"/>
      <c r="E15" s="5"/>
      <c r="F15" s="5"/>
    </row>
    <row r="16" spans="1:6" ht="38.25">
      <c r="A16" s="209" t="s">
        <v>23</v>
      </c>
      <c r="B16" s="221" t="s">
        <v>50</v>
      </c>
      <c r="C16" s="225" t="s">
        <v>51</v>
      </c>
      <c r="D16" s="5"/>
      <c r="E16" s="5"/>
      <c r="F16" s="5"/>
    </row>
    <row r="17" spans="1:6" ht="115.5">
      <c r="A17" s="209" t="s">
        <v>52</v>
      </c>
      <c r="B17" s="221" t="s">
        <v>53</v>
      </c>
      <c r="C17" s="275" t="s">
        <v>54</v>
      </c>
      <c r="D17" s="5"/>
      <c r="E17" s="5"/>
      <c r="F17" s="5"/>
    </row>
    <row r="18" spans="1:6" ht="51">
      <c r="A18" s="209" t="s">
        <v>29</v>
      </c>
      <c r="B18" s="276" t="s">
        <v>55</v>
      </c>
      <c r="C18" s="225" t="s">
        <v>56</v>
      </c>
      <c r="D18" s="5"/>
      <c r="E18" s="5"/>
      <c r="F18" s="5"/>
    </row>
    <row r="19" spans="1:6" ht="63.75">
      <c r="A19" s="209" t="s">
        <v>32</v>
      </c>
      <c r="B19" s="276" t="s">
        <v>57</v>
      </c>
      <c r="C19" s="225" t="s">
        <v>58</v>
      </c>
      <c r="D19" s="5"/>
      <c r="E19" s="5"/>
      <c r="F19" s="5"/>
    </row>
    <row r="20" spans="1:6">
      <c r="A20" s="468" t="s">
        <v>59</v>
      </c>
      <c r="B20" s="469"/>
      <c r="C20" s="470"/>
      <c r="D20" s="5"/>
      <c r="E20" s="5"/>
      <c r="F20" s="5"/>
    </row>
    <row r="21" spans="1:6">
      <c r="A21" s="222" t="s">
        <v>36</v>
      </c>
      <c r="B21" s="221" t="s">
        <v>37</v>
      </c>
      <c r="C21" s="223"/>
      <c r="D21" s="5"/>
      <c r="E21" s="5"/>
      <c r="F21" s="5"/>
    </row>
    <row r="22" spans="1:6">
      <c r="A22" s="222" t="s">
        <v>38</v>
      </c>
      <c r="B22" s="221" t="s">
        <v>37</v>
      </c>
      <c r="C22" s="224"/>
      <c r="D22" s="5"/>
      <c r="E22" s="5"/>
      <c r="F22" s="5"/>
    </row>
    <row r="23" spans="1:6" ht="25.5">
      <c r="A23" s="221" t="s">
        <v>39</v>
      </c>
      <c r="B23" s="221" t="s">
        <v>60</v>
      </c>
      <c r="C23" s="222" t="s">
        <v>41</v>
      </c>
      <c r="D23" s="5"/>
      <c r="E23" s="5"/>
      <c r="F23" s="5"/>
    </row>
    <row r="24" spans="1:6" ht="25.5">
      <c r="A24" s="221" t="s">
        <v>42</v>
      </c>
      <c r="B24" s="221" t="s">
        <v>61</v>
      </c>
      <c r="C24" s="222" t="s">
        <v>41</v>
      </c>
      <c r="D24" s="5"/>
      <c r="E24" s="5"/>
      <c r="F24" s="5"/>
    </row>
    <row r="25" spans="1:6" ht="25.5">
      <c r="A25" s="221" t="s">
        <v>44</v>
      </c>
      <c r="B25" s="221" t="s">
        <v>62</v>
      </c>
      <c r="C25" s="222" t="s">
        <v>41</v>
      </c>
      <c r="D25" s="5"/>
      <c r="E25" s="5"/>
      <c r="F25" s="5"/>
    </row>
    <row r="26" spans="1:6" ht="25.5">
      <c r="A26" s="221" t="s">
        <v>46</v>
      </c>
      <c r="B26" s="221" t="s">
        <v>63</v>
      </c>
      <c r="C26" s="222" t="s">
        <v>48</v>
      </c>
      <c r="D26" s="5"/>
      <c r="E26" s="5"/>
      <c r="F26" s="5"/>
    </row>
    <row r="27" spans="1:6">
      <c r="A27" s="5"/>
      <c r="B27" s="5"/>
      <c r="C27" s="5"/>
      <c r="D27" s="5"/>
      <c r="E27" s="5"/>
      <c r="F27" s="5"/>
    </row>
    <row r="28" spans="1:6">
      <c r="A28" s="5"/>
      <c r="B28" s="5"/>
      <c r="C28" s="5"/>
      <c r="D28" s="5"/>
      <c r="E28" s="5"/>
      <c r="F28" s="5"/>
    </row>
    <row r="29" spans="1:6">
      <c r="A29" s="5"/>
      <c r="B29" s="5"/>
      <c r="C29" s="5"/>
      <c r="D29" s="5"/>
      <c r="E29" s="5"/>
      <c r="F29" s="5"/>
    </row>
    <row r="30" spans="1:6">
      <c r="A30" s="5"/>
      <c r="B30" s="5"/>
      <c r="C30" s="5"/>
      <c r="D30" s="5"/>
      <c r="E30" s="5"/>
      <c r="F30" s="5"/>
    </row>
    <row r="31" spans="1:6">
      <c r="A31" s="5"/>
      <c r="B31" s="5"/>
      <c r="C31" s="5"/>
      <c r="D31" s="5"/>
      <c r="E31" s="5"/>
      <c r="F31" s="5"/>
    </row>
    <row r="32" spans="1:6">
      <c r="A32" s="5"/>
      <c r="B32" s="5"/>
      <c r="C32" s="5"/>
      <c r="D32" s="5"/>
      <c r="E32" s="5"/>
      <c r="F32" s="5"/>
    </row>
    <row r="33" spans="1:6">
      <c r="A33" s="5"/>
      <c r="B33" s="5"/>
      <c r="C33" s="5"/>
      <c r="D33" s="5"/>
      <c r="E33" s="5"/>
      <c r="F33" s="5"/>
    </row>
    <row r="34" spans="1:6">
      <c r="A34" s="5"/>
      <c r="B34" s="5"/>
      <c r="C34" s="5"/>
      <c r="D34" s="5"/>
      <c r="E34" s="5"/>
      <c r="F34" s="5"/>
    </row>
    <row r="35" spans="1:6">
      <c r="A35" s="5"/>
      <c r="B35" s="5"/>
      <c r="C35" s="5"/>
      <c r="D35" s="5"/>
      <c r="E35" s="5"/>
      <c r="F35" s="5"/>
    </row>
    <row r="36" spans="1:6">
      <c r="A36" s="5"/>
      <c r="B36" s="5"/>
      <c r="C36" s="5"/>
      <c r="D36" s="5"/>
      <c r="E36" s="5"/>
      <c r="F36" s="5"/>
    </row>
    <row r="37" spans="1:6">
      <c r="A37" s="5"/>
      <c r="B37" s="5"/>
      <c r="C37" s="5"/>
      <c r="D37" s="5"/>
      <c r="E37" s="5"/>
      <c r="F37" s="5"/>
    </row>
    <row r="38" spans="1:6">
      <c r="F38" s="5"/>
    </row>
  </sheetData>
  <sheetProtection sheet="1" objects="1" scenarios="1"/>
  <mergeCells count="4">
    <mergeCell ref="A3:C3"/>
    <mergeCell ref="A8:C8"/>
    <mergeCell ref="A20:C20"/>
    <mergeCell ref="A15:C1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FFFF00"/>
  </sheetPr>
  <dimension ref="A1:FG87"/>
  <sheetViews>
    <sheetView topLeftCell="C1" workbookViewId="0">
      <selection activeCell="C4" sqref="C4"/>
    </sheetView>
  </sheetViews>
  <sheetFormatPr defaultColWidth="8.85546875" defaultRowHeight="12.75"/>
  <cols>
    <col min="1" max="1" width="4.5703125" style="17" customWidth="1"/>
    <col min="2" max="2" width="5.140625" style="14" customWidth="1"/>
    <col min="3" max="3" width="28" style="17" customWidth="1"/>
    <col min="4" max="4" width="16.85546875" style="14" bestFit="1" customWidth="1"/>
    <col min="5" max="5" width="19.85546875" style="17" bestFit="1" customWidth="1"/>
    <col min="6" max="6" width="24.140625" style="17" customWidth="1"/>
    <col min="7" max="7" width="27.42578125" style="17" customWidth="1"/>
    <col min="8" max="8" width="19.85546875" style="17" bestFit="1" customWidth="1"/>
    <col min="9" max="9" width="18.140625" style="17" customWidth="1"/>
    <col min="10" max="10" width="3.85546875" style="17" customWidth="1"/>
    <col min="11" max="11" width="28.5703125" style="17" customWidth="1"/>
    <col min="12" max="12" width="19" style="17" customWidth="1"/>
    <col min="13" max="13" width="16.5703125" style="17" customWidth="1"/>
    <col min="14" max="14" width="24.85546875" style="17" customWidth="1"/>
    <col min="15" max="15" width="25.5703125" style="17" customWidth="1"/>
    <col min="16" max="16" width="19.140625" style="17" customWidth="1"/>
    <col min="17" max="17" width="17" style="17" customWidth="1"/>
    <col min="18" max="18" width="3.140625" style="17" customWidth="1"/>
    <col min="19" max="19" width="26.5703125" style="17" customWidth="1"/>
    <col min="20" max="20" width="16.85546875" style="17" customWidth="1"/>
    <col min="21" max="21" width="18.85546875" style="17" customWidth="1"/>
    <col min="22" max="22" width="22.140625" style="17" customWidth="1"/>
    <col min="23" max="23" width="25.85546875" style="17" bestFit="1" customWidth="1"/>
    <col min="24" max="27" width="20.42578125" style="17" customWidth="1"/>
    <col min="28" max="29" width="18.85546875" style="17" customWidth="1"/>
    <col min="30" max="30" width="28.42578125" style="3" customWidth="1"/>
    <col min="31" max="31" width="26.85546875" style="3" customWidth="1"/>
    <col min="32" max="32" width="15.140625" style="3" customWidth="1"/>
    <col min="33" max="33" width="17.85546875" style="3" customWidth="1"/>
    <col min="34" max="34" width="22.42578125" style="3" customWidth="1"/>
    <col min="35" max="35" width="21.85546875" style="3" customWidth="1"/>
    <col min="36" max="36" width="17.42578125" style="3" customWidth="1"/>
    <col min="37" max="37" width="14.5703125" style="17" customWidth="1"/>
    <col min="38" max="38" width="17.140625" style="17" customWidth="1"/>
    <col min="39" max="39" width="16" style="17" customWidth="1"/>
    <col min="40" max="40" width="24.140625" style="17" customWidth="1"/>
    <col min="41" max="41" width="15.5703125" style="17" customWidth="1"/>
    <col min="42" max="42" width="14.140625" style="17" customWidth="1"/>
    <col min="43" max="44" width="8.85546875" style="17"/>
    <col min="45" max="45" width="18.42578125" style="17" customWidth="1"/>
    <col min="46" max="46" width="15" style="17" customWidth="1"/>
    <col min="47" max="47" width="21.42578125" style="17" customWidth="1"/>
    <col min="48" max="48" width="15.42578125" style="17" customWidth="1"/>
    <col min="49" max="49" width="16.5703125" style="17" customWidth="1"/>
    <col min="50" max="51" width="8.85546875" style="17"/>
    <col min="52" max="52" width="17.85546875" style="17" customWidth="1"/>
    <col min="53" max="53" width="14.42578125" style="17" customWidth="1"/>
    <col min="54" max="54" width="18.5703125" style="17" customWidth="1"/>
    <col min="55" max="55" width="13.5703125" style="17" customWidth="1"/>
    <col min="56" max="56" width="15.140625" style="17" customWidth="1"/>
    <col min="57" max="58" width="8.85546875" style="17"/>
    <col min="59" max="59" width="16.140625" style="17" customWidth="1"/>
    <col min="60" max="60" width="12" style="17" customWidth="1"/>
    <col min="61" max="61" width="18" style="17" customWidth="1"/>
    <col min="62" max="62" width="16.140625" style="17" customWidth="1"/>
    <col min="63" max="63" width="14.140625" style="17" customWidth="1"/>
    <col min="64" max="64" width="10.140625" style="17" customWidth="1"/>
    <col min="65" max="16384" width="8.85546875" style="17"/>
  </cols>
  <sheetData>
    <row r="1" spans="1:163" ht="13.5" thickBot="1">
      <c r="J1" s="19"/>
      <c r="K1" s="19"/>
      <c r="L1" s="19"/>
      <c r="AD1" s="17"/>
      <c r="AE1" s="17"/>
      <c r="AF1" s="17"/>
      <c r="AG1" s="17"/>
      <c r="AH1" s="17"/>
      <c r="AI1" s="17"/>
      <c r="AJ1" s="17"/>
    </row>
    <row r="2" spans="1:163" s="19" customFormat="1" ht="27.75" thickBot="1">
      <c r="B2" s="28"/>
      <c r="C2" s="98" t="s">
        <v>64</v>
      </c>
      <c r="D2" s="498" t="s">
        <v>65</v>
      </c>
      <c r="E2" s="499"/>
      <c r="F2" s="504" t="s">
        <v>66</v>
      </c>
      <c r="G2" s="505"/>
      <c r="H2" s="18" t="s">
        <v>67</v>
      </c>
      <c r="L2" s="117"/>
    </row>
    <row r="3" spans="1:163" s="19" customFormat="1" ht="25.5">
      <c r="B3" s="28"/>
      <c r="C3" s="99" t="s">
        <v>68</v>
      </c>
      <c r="D3" s="488" t="s">
        <v>69</v>
      </c>
      <c r="E3" s="503"/>
      <c r="F3" s="100" t="s">
        <v>70</v>
      </c>
      <c r="G3" s="101" t="s">
        <v>71</v>
      </c>
      <c r="H3" s="102" t="s">
        <v>72</v>
      </c>
      <c r="L3" s="117"/>
    </row>
    <row r="4" spans="1:163" s="19" customFormat="1" ht="53.25" customHeight="1">
      <c r="B4" s="28"/>
      <c r="C4" s="23" t="s">
        <v>73</v>
      </c>
      <c r="D4" s="501" t="str">
        <f>_xlfn.XLOOKUP($C$4,Inhalation_Exp[OES],Inhalation_Exp[Data Type])</f>
        <v>Monitoring Data</v>
      </c>
      <c r="E4" s="502"/>
      <c r="F4" s="103">
        <v>10</v>
      </c>
      <c r="G4" s="104">
        <v>5</v>
      </c>
      <c r="H4" s="105" t="s">
        <v>74</v>
      </c>
      <c r="L4" s="117"/>
    </row>
    <row r="5" spans="1:163" s="19" customFormat="1">
      <c r="B5" s="28"/>
      <c r="C5" s="35"/>
      <c r="D5" s="35"/>
      <c r="E5" s="35"/>
      <c r="H5" s="21"/>
      <c r="I5" s="106"/>
      <c r="L5" s="35"/>
    </row>
    <row r="6" spans="1:163" ht="13.5">
      <c r="A6" s="19"/>
      <c r="C6" s="20" t="s">
        <v>75</v>
      </c>
      <c r="D6" s="28"/>
      <c r="E6" s="21"/>
      <c r="F6" s="21"/>
      <c r="G6" s="21"/>
      <c r="H6" s="21"/>
      <c r="I6" s="21"/>
      <c r="K6" s="20" t="s">
        <v>67</v>
      </c>
      <c r="M6" s="19"/>
      <c r="N6" s="19"/>
      <c r="O6" s="21"/>
      <c r="P6" s="21"/>
      <c r="R6" s="19"/>
      <c r="S6" s="20" t="s">
        <v>76</v>
      </c>
      <c r="T6" s="28"/>
      <c r="U6" s="21"/>
      <c r="V6" s="21"/>
      <c r="W6" s="21"/>
      <c r="X6" s="21"/>
      <c r="Y6" s="19"/>
      <c r="Z6" s="19"/>
      <c r="AA6" s="19"/>
      <c r="AB6" s="19"/>
      <c r="AD6" s="17"/>
      <c r="AE6" s="17"/>
      <c r="AF6" s="17"/>
      <c r="AG6" s="17"/>
      <c r="AH6" s="17"/>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row>
    <row r="7" spans="1:163" ht="13.5" thickBot="1">
      <c r="A7" s="19"/>
      <c r="C7" s="22" t="s">
        <v>77</v>
      </c>
      <c r="G7" s="107"/>
      <c r="H7" s="107"/>
      <c r="I7" s="108"/>
      <c r="K7" s="22" t="s">
        <v>77</v>
      </c>
      <c r="N7" s="15"/>
      <c r="O7" s="21"/>
      <c r="P7" s="21"/>
      <c r="S7" s="22" t="s">
        <v>77</v>
      </c>
      <c r="T7" s="14"/>
      <c r="V7" s="107"/>
      <c r="W7" s="107"/>
      <c r="X7" s="108"/>
      <c r="AD7" s="17"/>
      <c r="AE7" s="17"/>
      <c r="AF7" s="17"/>
      <c r="AG7" s="17"/>
      <c r="AH7" s="17"/>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row>
    <row r="8" spans="1:163" ht="25.5" customHeight="1">
      <c r="A8" s="19"/>
      <c r="C8" s="506" t="s">
        <v>78</v>
      </c>
      <c r="D8" s="479" t="s">
        <v>79</v>
      </c>
      <c r="E8" s="445" t="s">
        <v>80</v>
      </c>
      <c r="F8" s="445" t="s">
        <v>81</v>
      </c>
      <c r="G8" s="445" t="s">
        <v>82</v>
      </c>
      <c r="H8" s="24" t="s">
        <v>83</v>
      </c>
      <c r="I8" s="34"/>
      <c r="K8" s="508" t="s">
        <v>78</v>
      </c>
      <c r="L8" s="510" t="s">
        <v>79</v>
      </c>
      <c r="M8" s="445" t="s">
        <v>80</v>
      </c>
      <c r="N8" s="445" t="s">
        <v>81</v>
      </c>
      <c r="O8" s="445" t="s">
        <v>82</v>
      </c>
      <c r="P8" s="24" t="s">
        <v>83</v>
      </c>
      <c r="S8" s="506" t="s">
        <v>78</v>
      </c>
      <c r="T8" s="479" t="s">
        <v>79</v>
      </c>
      <c r="U8" s="445" t="s">
        <v>80</v>
      </c>
      <c r="V8" s="445" t="s">
        <v>84</v>
      </c>
      <c r="W8" s="445" t="s">
        <v>82</v>
      </c>
      <c r="X8" s="24" t="s">
        <v>83</v>
      </c>
      <c r="Y8" s="34"/>
      <c r="Z8" s="34"/>
      <c r="AA8" s="34"/>
      <c r="AB8" s="34"/>
      <c r="AC8" s="34"/>
      <c r="AD8" s="17"/>
      <c r="AE8" s="17"/>
      <c r="AF8" s="17"/>
      <c r="AG8" s="17"/>
      <c r="AH8" s="17"/>
      <c r="AI8" s="17"/>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row>
    <row r="9" spans="1:163" ht="27.75" customHeight="1" thickBot="1">
      <c r="A9" s="19"/>
      <c r="C9" s="507"/>
      <c r="D9" s="494"/>
      <c r="E9" s="26" t="s">
        <v>85</v>
      </c>
      <c r="F9" s="26" t="s">
        <v>86</v>
      </c>
      <c r="G9" s="26" t="s">
        <v>87</v>
      </c>
      <c r="H9" s="27" t="s">
        <v>88</v>
      </c>
      <c r="I9" s="34"/>
      <c r="K9" s="509"/>
      <c r="L9" s="511"/>
      <c r="M9" s="446" t="s">
        <v>85</v>
      </c>
      <c r="N9" s="446" t="s">
        <v>86</v>
      </c>
      <c r="O9" s="446" t="s">
        <v>89</v>
      </c>
      <c r="P9" s="30" t="s">
        <v>90</v>
      </c>
      <c r="S9" s="507"/>
      <c r="T9" s="494"/>
      <c r="U9" s="446" t="s">
        <v>91</v>
      </c>
      <c r="V9" s="446" t="s">
        <v>86</v>
      </c>
      <c r="W9" s="446" t="s">
        <v>87</v>
      </c>
      <c r="X9" s="30" t="s">
        <v>88</v>
      </c>
      <c r="Y9" s="34"/>
      <c r="Z9" s="34"/>
      <c r="AA9" s="34"/>
      <c r="AB9" s="34"/>
      <c r="AC9" s="34"/>
      <c r="AD9" s="17"/>
      <c r="AE9" s="17"/>
      <c r="AF9" s="17"/>
      <c r="AG9" s="17"/>
      <c r="AH9" s="17"/>
      <c r="AI9" s="17"/>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row>
    <row r="10" spans="1:163" ht="15" customHeight="1" thickBot="1">
      <c r="A10" s="19"/>
      <c r="C10" s="512" t="str">
        <f>$H$4</f>
        <v>Average Adult Worker</v>
      </c>
      <c r="D10" s="330" t="s">
        <v>92</v>
      </c>
      <c r="E10" s="333">
        <f>SUMIFS(Inhalation_Exp[24hr_High-End],Inhalation_Exp[OES],$C$4,Inhalation_Exp[Worker Type],$C10,Inhalation_Exp[Data Type],$D$4)</f>
        <v>6.3750000000000005E-3</v>
      </c>
      <c r="F10" s="252">
        <f>SUMIFS(Inhalation_Exp[Int_High-End],Inhalation_Exp[OES],$C$4,Inhalation_Exp[Worker Type],$C10,Inhalation_Exp[Data Type],$D$4)</f>
        <v>4.6750000000000003E-3</v>
      </c>
      <c r="G10" s="252">
        <f>SUMIFS(Inhalation_Exp[ADD_High-End],Inhalation_Exp[OES],$C$4,Inhalation_Exp[Worker Type],$C10,Inhalation_Exp[Data Type],$D$4)</f>
        <v>4.3664383561643838E-3</v>
      </c>
      <c r="H10" s="253">
        <f>SUMIFS(Inhalation_Exp[LADD_High-End],Inhalation_Exp[OES],$C$4,Inhalation_Exp[Worker Type],$C10,Inhalation_Exp[Data Type],$D$4)</f>
        <v>2.2391991570073766E-3</v>
      </c>
      <c r="I10" s="59"/>
      <c r="K10" s="512" t="str">
        <f>$H$4</f>
        <v>Average Adult Worker</v>
      </c>
      <c r="L10" s="254" t="s">
        <v>92</v>
      </c>
      <c r="M10" s="252">
        <f>SUMIFS(Dermal_Exp[High-End AD (mg/kg-day)],Dermal_Exp[Worker Type],Dashboard!$K$10,Dermal_Exp[OES],Dashboard!$C$4)</f>
        <v>5.1359999999999999E-3</v>
      </c>
      <c r="N10" s="252">
        <f>SUMIFS(Dermal_Exp[High-End IADD (mg/kg-day)],Dermal_Exp[Worker Type],Dashboard!$K$10,Dermal_Exp[OES],Dashboard!$C$4)</f>
        <v>3.7664E-3</v>
      </c>
      <c r="O10" s="252">
        <f>SUMIFS(Dermal_Exp[High-End ADD (mg/kg-day)],Dermal_Exp[Worker Type],Dashboard!$K$10,Dermal_Exp[OES],Dashboard!$C$4)</f>
        <v>3.5178082191780822E-3</v>
      </c>
      <c r="P10" s="253">
        <f>SUMIFS(Dermal_Exp[High-End LADD (mg/kg-day)],Dermal_Exp[Worker Type],Dashboard!$K$10,Dermal_Exp[OES],Dashboard!$C$4)</f>
        <v>1.804004214963119E-3</v>
      </c>
      <c r="S10" s="512" t="str">
        <f>$H$4</f>
        <v>Average Adult Worker</v>
      </c>
      <c r="T10" s="254" t="s">
        <v>92</v>
      </c>
      <c r="U10" s="242">
        <f>E10+M10</f>
        <v>1.1511E-2</v>
      </c>
      <c r="V10" s="242">
        <f t="shared" ref="V10:X13" si="0">F10+N10</f>
        <v>8.4413999999999999E-3</v>
      </c>
      <c r="W10" s="242">
        <f t="shared" si="0"/>
        <v>7.8842465753424656E-3</v>
      </c>
      <c r="X10" s="242">
        <f t="shared" si="0"/>
        <v>4.0432033719704956E-3</v>
      </c>
      <c r="Y10" s="59"/>
      <c r="Z10" s="59"/>
      <c r="AA10" s="59"/>
      <c r="AB10" s="59"/>
      <c r="AC10" s="59"/>
      <c r="AD10" s="17"/>
      <c r="AE10" s="17"/>
      <c r="AF10" s="17"/>
      <c r="AG10" s="17"/>
      <c r="AH10" s="17"/>
      <c r="AI10" s="17"/>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row>
    <row r="11" spans="1:163" ht="15.75" customHeight="1" thickBot="1">
      <c r="A11" s="19"/>
      <c r="C11" s="513"/>
      <c r="D11" s="331" t="s">
        <v>93</v>
      </c>
      <c r="E11" s="335">
        <f>SUMIFS(Inhalation_Exp[24hr_Central Tendency],Inhalation_Exp[OES],$C$4,Inhalation_Exp[Worker Type],$C10,Inhalation_Exp[Data Type],$D$4)</f>
        <v>6.3750000000000005E-3</v>
      </c>
      <c r="F11" s="305">
        <f>SUMIFS(Inhalation_Exp[Int_Central Tendency],Inhalation_Exp[OES],$C$4,Inhalation_Exp[Worker Type],$C10,Inhalation_Exp[Data Type],$D$4)</f>
        <v>4.6750000000000003E-3</v>
      </c>
      <c r="G11" s="305">
        <f>SUMIFS(Inhalation_Exp[ADD_Central Tendency],Inhalation_Exp[OES],$C$4,Inhalation_Exp[Worker Type],$C10,Inhalation_Exp[Data Type],$D$4)</f>
        <v>4.3664383561643838E-3</v>
      </c>
      <c r="H11" s="306">
        <f>SUMIFS(Inhalation_Exp[LADD_Central Tendency],Inhalation_Exp[OES],$C$4,Inhalation_Exp[Worker Type],$C10,Inhalation_Exp[Data Type],$D$4)</f>
        <v>1.7353793466807167E-3</v>
      </c>
      <c r="I11" s="59"/>
      <c r="K11" s="513"/>
      <c r="L11" s="256" t="s">
        <v>93</v>
      </c>
      <c r="M11" s="252">
        <f>SUMIFS(Dermal_Exp[Central Tendency AD (mg/kg-day)],Dermal_Exp[Worker Type],Dashboard!$K$10,Dermal_Exp[OES],Dashboard!$C$4)</f>
        <v>2.568E-3</v>
      </c>
      <c r="N11" s="252">
        <f>SUMIFS(Dermal_Exp[Central Tendency IADD (mg/kg-day)],Dermal_Exp[Worker Type],Dashboard!$K$10,Dermal_Exp[OES],Dashboard!$C$4)</f>
        <v>1.8832E-3</v>
      </c>
      <c r="O11" s="252">
        <f>SUMIFS(Dermal_Exp[Central Tendency ADD (mg/kg-day)],Dermal_Exp[Worker Type],Dashboard!$K$10,Dermal_Exp[OES],Dashboard!$C$4)</f>
        <v>1.7589041095890411E-3</v>
      </c>
      <c r="P11" s="253">
        <f>SUMIFS(Dermal_Exp[Central Tendency LADD (mg/kg-day)],Dermal_Exp[Worker Type],Dashboard!$K$10,Dermal_Exp[OES],Dashboard!$C$4)</f>
        <v>6.990516332982087E-4</v>
      </c>
      <c r="S11" s="513"/>
      <c r="T11" s="256" t="s">
        <v>93</v>
      </c>
      <c r="U11" s="242">
        <f t="shared" ref="U11:U13" si="1">E11+M11</f>
        <v>8.9429999999999996E-3</v>
      </c>
      <c r="V11" s="242">
        <f t="shared" si="0"/>
        <v>6.5582000000000001E-3</v>
      </c>
      <c r="W11" s="242">
        <f t="shared" si="0"/>
        <v>6.1253424657534252E-3</v>
      </c>
      <c r="X11" s="242">
        <f t="shared" si="0"/>
        <v>2.4344309799789253E-3</v>
      </c>
      <c r="Y11" s="59"/>
      <c r="Z11" s="59"/>
      <c r="AA11" s="59"/>
      <c r="AB11" s="59"/>
      <c r="AC11" s="59"/>
      <c r="AD11" s="17"/>
      <c r="AE11" s="17"/>
      <c r="AF11" s="17"/>
      <c r="AG11" s="17"/>
      <c r="AH11" s="17"/>
      <c r="AI11" s="17"/>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row>
    <row r="12" spans="1:163" ht="15" customHeight="1" thickBot="1">
      <c r="A12" s="19"/>
      <c r="C12" s="516" t="s">
        <v>94</v>
      </c>
      <c r="D12" s="332" t="s">
        <v>92</v>
      </c>
      <c r="E12" s="336">
        <f>SUMIFS(Inhalation_Exp[24hr_High-End],Inhalation_Exp[OES],$C$4,Inhalation_Exp[Worker Type],$C12,Inhalation_Exp[Data Type],$D$4)</f>
        <v>6.3750000000000005E-3</v>
      </c>
      <c r="F12" s="242">
        <f>SUMIFS(Inhalation_Exp[Int_High-End],Inhalation_Exp[OES],$C$4,Inhalation_Exp[Worker Type],$C12,Inhalation_Exp[Data Type],$D$4)</f>
        <v>4.6750000000000003E-3</v>
      </c>
      <c r="G12" s="242">
        <f>SUMIFS(Inhalation_Exp[ADD_High-End],Inhalation_Exp[OES],$C$4,Inhalation_Exp[Worker Type],$C12,Inhalation_Exp[Data Type],$D$4)</f>
        <v>4.3664383561643838E-3</v>
      </c>
      <c r="H12" s="240">
        <f>SUMIFS(Inhalation_Exp[LADD_High-End],Inhalation_Exp[OES],$C$4,Inhalation_Exp[Worker Type],$C12,Inhalation_Exp[Data Type],$D$4)</f>
        <v>2.2391991570073766E-3</v>
      </c>
      <c r="I12" s="59"/>
      <c r="K12" s="516" t="s">
        <v>94</v>
      </c>
      <c r="L12" s="259" t="s">
        <v>92</v>
      </c>
      <c r="M12" s="252">
        <f>SUMIFS(Dermal_Exp[High-End AD (mg/kg-day)],Dermal_Exp[Worker Type],Dashboard!$K$12,Dermal_Exp[OES],Dashboard!$C$4)</f>
        <v>2.568E-3</v>
      </c>
      <c r="N12" s="252">
        <f>SUMIFS(Dermal_Exp[High-End IADD (mg/kg-day)],Dermal_Exp[Worker Type],Dashboard!$K$12,Dermal_Exp[OES],Dashboard!$C$4)</f>
        <v>1.8832E-3</v>
      </c>
      <c r="O12" s="252">
        <f>SUMIFS(Dermal_Exp[High-End ADD (mg/kg-day)],Dermal_Exp[Worker Type],Dashboard!$K$12,Dermal_Exp[OES],Dashboard!$C$4)</f>
        <v>1.7589041095890411E-3</v>
      </c>
      <c r="P12" s="253">
        <f>SUMIFS(Dermal_Exp[High-End LADD (mg/kg-day)],Dermal_Exp[Worker Type],Dashboard!$K$12,Dermal_Exp[OES],Dashboard!$C$4)</f>
        <v>9.0200210748155952E-4</v>
      </c>
      <c r="S12" s="516" t="s">
        <v>94</v>
      </c>
      <c r="T12" s="259" t="s">
        <v>92</v>
      </c>
      <c r="U12" s="242">
        <f t="shared" si="1"/>
        <v>8.9429999999999996E-3</v>
      </c>
      <c r="V12" s="242">
        <f t="shared" si="0"/>
        <v>6.5582000000000001E-3</v>
      </c>
      <c r="W12" s="242">
        <f t="shared" si="0"/>
        <v>6.1253424657534252E-3</v>
      </c>
      <c r="X12" s="242">
        <f t="shared" si="0"/>
        <v>3.1412012644889361E-3</v>
      </c>
      <c r="Y12" s="59"/>
      <c r="Z12" s="59"/>
      <c r="AA12" s="59"/>
      <c r="AB12" s="59"/>
      <c r="AC12" s="59"/>
      <c r="AD12" s="17"/>
      <c r="AE12" s="17"/>
      <c r="AF12" s="17"/>
      <c r="AG12" s="17"/>
      <c r="AH12" s="17"/>
      <c r="AI12" s="17"/>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row>
    <row r="13" spans="1:163" ht="15.75" customHeight="1" thickBot="1">
      <c r="A13" s="19"/>
      <c r="C13" s="517"/>
      <c r="D13" s="332" t="s">
        <v>93</v>
      </c>
      <c r="E13" s="334">
        <f>SUMIFS(Inhalation_Exp[24hr_Central Tendency],Inhalation_Exp[OES],$C$4,Inhalation_Exp[Worker Type],$C12,Inhalation_Exp[Data Type],$D$4)</f>
        <v>6.3750000000000005E-3</v>
      </c>
      <c r="F13" s="243">
        <f>SUMIFS(Inhalation_Exp[Int_Central Tendency],Inhalation_Exp[OES],$C$4,Inhalation_Exp[Worker Type],$C12,Inhalation_Exp[Data Type],$D$4)</f>
        <v>4.6750000000000003E-3</v>
      </c>
      <c r="G13" s="243">
        <f>SUMIFS(Inhalation_Exp[ADD_Central Tendency],Inhalation_Exp[OES],$C$4,Inhalation_Exp[Worker Type],$C12,Inhalation_Exp[Data Type],$D$4)</f>
        <v>4.3664383561643838E-3</v>
      </c>
      <c r="H13" s="241">
        <f>SUMIFS(Inhalation_Exp[LADD_Central Tendency],Inhalation_Exp[OES],$C$4,Inhalation_Exp[Worker Type],$C12,Inhalation_Exp[Data Type],$D$4)</f>
        <v>1.7353793466807167E-3</v>
      </c>
      <c r="I13" s="59"/>
      <c r="K13" s="517"/>
      <c r="L13" s="259" t="s">
        <v>93</v>
      </c>
      <c r="M13" s="257">
        <f>SUMIFS(Dermal_Exp[Central Tendency AD (mg/kg-day)],Dermal_Exp[Worker Type],Dashboard!$K$12,Dermal_Exp[OES],Dashboard!$C$4)</f>
        <v>2.568E-3</v>
      </c>
      <c r="N13" s="257">
        <f>SUMIFS(Dermal_Exp[Central Tendency IADD (mg/kg-day)],Dermal_Exp[Worker Type],Dashboard!$K$12,Dermal_Exp[OES],Dashboard!$C$4)</f>
        <v>1.8832E-3</v>
      </c>
      <c r="O13" s="257">
        <f>SUMIFS(Dermal_Exp[Central Tendency ADD (mg/kg-day)],Dermal_Exp[Worker Type],Dashboard!$K$12,Dermal_Exp[OES],Dashboard!$C$4)</f>
        <v>1.7589041095890411E-3</v>
      </c>
      <c r="P13" s="258">
        <f>SUMIFS(Dermal_Exp[Central Tendency LADD (mg/kg-day)],Dermal_Exp[Worker Type],Dashboard!$K$12,Dermal_Exp[OES],Dashboard!$C$4)</f>
        <v>6.990516332982087E-4</v>
      </c>
      <c r="Q13" s="255"/>
      <c r="S13" s="517"/>
      <c r="T13" s="259" t="s">
        <v>93</v>
      </c>
      <c r="U13" s="242">
        <f t="shared" si="1"/>
        <v>8.9429999999999996E-3</v>
      </c>
      <c r="V13" s="242">
        <f t="shared" si="0"/>
        <v>6.5582000000000001E-3</v>
      </c>
      <c r="W13" s="242">
        <f t="shared" si="0"/>
        <v>6.1253424657534252E-3</v>
      </c>
      <c r="X13" s="242">
        <f t="shared" si="0"/>
        <v>2.4344309799789253E-3</v>
      </c>
      <c r="Y13" s="59"/>
      <c r="Z13" s="59"/>
      <c r="AA13" s="59"/>
      <c r="AB13" s="59"/>
      <c r="AC13" s="59"/>
      <c r="AD13" s="17"/>
      <c r="AE13" s="17"/>
      <c r="AF13" s="17"/>
      <c r="AG13" s="17"/>
      <c r="AH13" s="17"/>
      <c r="AI13" s="17"/>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row>
    <row r="14" spans="1:163" s="3" customFormat="1">
      <c r="A14" s="19"/>
      <c r="B14" s="17"/>
      <c r="C14" s="36"/>
      <c r="D14" s="36"/>
      <c r="F14" s="34"/>
      <c r="G14" s="34"/>
      <c r="H14" s="34"/>
      <c r="I14" s="106"/>
      <c r="J14" s="17"/>
      <c r="K14" s="14"/>
      <c r="L14" s="14"/>
      <c r="M14" s="60"/>
      <c r="N14" s="60"/>
      <c r="O14" s="60"/>
      <c r="P14" s="60"/>
      <c r="Q14" s="60"/>
      <c r="R14" s="19"/>
      <c r="S14" s="19"/>
      <c r="T14" s="19"/>
      <c r="U14" s="19"/>
      <c r="V14" s="19"/>
      <c r="W14" s="19"/>
      <c r="X14" s="19"/>
      <c r="Y14" s="19"/>
      <c r="Z14" s="19"/>
      <c r="AA14" s="19"/>
      <c r="AB14" s="19"/>
      <c r="AC14" s="17"/>
      <c r="AD14" s="17"/>
      <c r="AE14" s="17"/>
      <c r="AF14" s="17"/>
      <c r="AG14" s="17"/>
      <c r="AH14" s="17"/>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row>
    <row r="15" spans="1:163" s="28" customFormat="1" ht="30" customHeight="1" thickBot="1">
      <c r="A15" s="19"/>
      <c r="C15" s="37" t="s">
        <v>95</v>
      </c>
      <c r="D15" s="35"/>
      <c r="E15" s="21"/>
      <c r="F15" s="19"/>
      <c r="G15" s="35"/>
      <c r="H15" s="19"/>
      <c r="I15" s="19"/>
      <c r="J15" s="19"/>
      <c r="K15" s="490" t="s">
        <v>96</v>
      </c>
      <c r="L15" s="490"/>
      <c r="M15" s="490"/>
      <c r="N15" s="491"/>
      <c r="O15" s="19"/>
      <c r="P15" s="19"/>
      <c r="Q15" s="19"/>
      <c r="R15" s="17"/>
      <c r="S15" s="490" t="s">
        <v>97</v>
      </c>
      <c r="T15" s="490"/>
      <c r="U15" s="490"/>
      <c r="V15" s="491"/>
      <c r="W15" s="19"/>
      <c r="X15" s="19"/>
      <c r="Y15" s="19"/>
      <c r="Z15" s="19"/>
      <c r="AA15" s="19"/>
      <c r="AB15" s="19"/>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9"/>
      <c r="BN15" s="19"/>
      <c r="BO15" s="19"/>
      <c r="BP15" s="19"/>
      <c r="BQ15" s="17"/>
      <c r="BR15" s="17"/>
      <c r="BS15" s="17"/>
      <c r="BT15" s="17"/>
      <c r="BU15" s="17"/>
      <c r="BV15" s="17"/>
      <c r="BW15" s="17"/>
      <c r="BX15" s="17"/>
      <c r="BY15" s="17"/>
    </row>
    <row r="16" spans="1:163" s="28" customFormat="1" ht="51.6" customHeight="1">
      <c r="A16" s="19"/>
      <c r="C16" s="514" t="s">
        <v>98</v>
      </c>
      <c r="D16" s="487" t="s">
        <v>99</v>
      </c>
      <c r="E16" s="481" t="s">
        <v>79</v>
      </c>
      <c r="F16" s="488" t="s">
        <v>100</v>
      </c>
      <c r="G16" s="487" t="s">
        <v>101</v>
      </c>
      <c r="H16" s="487"/>
      <c r="I16" s="61" t="str">
        <f>_xlfn.CONCAT("Respirator Scenario: APF of ",$F$4)</f>
        <v>Respirator Scenario: APF of 10</v>
      </c>
      <c r="J16" s="34"/>
      <c r="K16" s="514" t="s">
        <v>98</v>
      </c>
      <c r="L16" s="487" t="s">
        <v>99</v>
      </c>
      <c r="M16" s="481" t="s">
        <v>79</v>
      </c>
      <c r="N16" s="488" t="s">
        <v>100</v>
      </c>
      <c r="O16" s="488" t="s">
        <v>101</v>
      </c>
      <c r="P16" s="489"/>
      <c r="Q16" s="61" t="s">
        <v>102</v>
      </c>
      <c r="R16" s="17"/>
      <c r="S16" s="477" t="s">
        <v>98</v>
      </c>
      <c r="T16" s="479" t="s">
        <v>99</v>
      </c>
      <c r="U16" s="481" t="s">
        <v>79</v>
      </c>
      <c r="V16" s="479" t="s">
        <v>100</v>
      </c>
      <c r="W16" s="487" t="s">
        <v>101</v>
      </c>
      <c r="X16" s="487"/>
      <c r="Y16" s="62" t="str">
        <f>_xlfn.CONCAT("Respirator-Only Scenario: APF of ",$F$4)</f>
        <v>Respirator-Only Scenario: APF of 10</v>
      </c>
      <c r="Z16" s="63" t="str">
        <f>_xlfn.CONCAT("Gloved-only Scenario: APF of ",$G$4)</f>
        <v>Gloved-only Scenario: APF of 5</v>
      </c>
      <c r="AA16" s="64" t="s">
        <v>103</v>
      </c>
      <c r="AB16" s="34"/>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row>
    <row r="17" spans="1:77" s="28" customFormat="1" ht="30" customHeight="1" thickBot="1">
      <c r="A17" s="19"/>
      <c r="C17" s="515"/>
      <c r="D17" s="492"/>
      <c r="E17" s="497"/>
      <c r="F17" s="500"/>
      <c r="G17" s="446" t="s">
        <v>104</v>
      </c>
      <c r="H17" s="446" t="s">
        <v>105</v>
      </c>
      <c r="I17" s="30" t="s">
        <v>104</v>
      </c>
      <c r="J17" s="34"/>
      <c r="K17" s="515"/>
      <c r="L17" s="492"/>
      <c r="M17" s="497"/>
      <c r="N17" s="500"/>
      <c r="O17" s="446" t="s">
        <v>106</v>
      </c>
      <c r="P17" s="446" t="s">
        <v>107</v>
      </c>
      <c r="Q17" s="65" t="str">
        <f>_xlfn.CONCAT("Worker MOE with Gloves: ",$G$4)</f>
        <v>Worker MOE with Gloves: 5</v>
      </c>
      <c r="R17" s="17"/>
      <c r="S17" s="493"/>
      <c r="T17" s="494"/>
      <c r="U17" s="497"/>
      <c r="V17" s="494"/>
      <c r="W17" s="446" t="s">
        <v>104</v>
      </c>
      <c r="X17" s="446" t="s">
        <v>105</v>
      </c>
      <c r="Y17" s="446" t="s">
        <v>104</v>
      </c>
      <c r="Z17" s="446" t="s">
        <v>104</v>
      </c>
      <c r="AA17" s="30" t="s">
        <v>104</v>
      </c>
      <c r="AB17" s="34"/>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row>
    <row r="18" spans="1:77" s="28" customFormat="1" ht="34.5" customHeight="1">
      <c r="A18" s="19"/>
      <c r="B18" s="28" t="s">
        <v>108</v>
      </c>
      <c r="C18" s="483" t="str">
        <f>_xlfn.CONCAT(_xlfn.XLOOKUP($B18,Tox_Table[Code],Tox_Table[Health Effect],"",0,1),"
",_xlfn.XLOOKUP($B18,Tox_Table[Code],Tox_Table[Endpoint],"",0,1),"
",_xlfn.XLOOKUP($B18,Tox_Table[Code],Tox_Table[Study],"",0,1))</f>
        <v xml:space="preserve">Phthalate syndrome-related effects
</v>
      </c>
      <c r="D18" s="485">
        <f>_xlfn.XLOOKUP($B18, Tox_Table[Code],Tox_Table[HED / POD (mg/kg/day)], FALSE)</f>
        <v>1.1000000000000001</v>
      </c>
      <c r="E18" s="49" t="s">
        <v>92</v>
      </c>
      <c r="F18" s="452">
        <f>_xlfn.XLOOKUP($B18,Tox_Table[Code],Tox_Table[Benchmark MOE])</f>
        <v>30</v>
      </c>
      <c r="G18" s="66">
        <f>IFERROR(D18/$E$10, "")</f>
        <v>172.54901960784315</v>
      </c>
      <c r="H18" s="50">
        <f>IFERROR(D18/$E$12, "")</f>
        <v>172.54901960784315</v>
      </c>
      <c r="I18" s="67">
        <f>IFERROR(G18*$F$4,"")</f>
        <v>1725.4901960784314</v>
      </c>
      <c r="J18" s="34"/>
      <c r="K18" s="483" t="str">
        <f>_xlfn.CONCAT(_xlfn.XLOOKUP($B18,Tox_Table[Code],Tox_Table[Health Effect],"",0,1),"
",_xlfn.XLOOKUP($B18,Tox_Table[Code],Tox_Table[Endpoint],"",0,1),"
",_xlfn.XLOOKUP($B18,Tox_Table[Code],Tox_Table[Study],"",0,1))</f>
        <v xml:space="preserve">Phthalate syndrome-related effects
</v>
      </c>
      <c r="L18" s="485">
        <f>_xlfn.XLOOKUP($B18, Tox_Table[Code],Tox_Table[HED / POD (mg/kg/day)], FALSE)</f>
        <v>1.1000000000000001</v>
      </c>
      <c r="M18" s="49" t="s">
        <v>92</v>
      </c>
      <c r="N18" s="452">
        <f>_xlfn.XLOOKUP($B18,Tox_Table[Code],Tox_Table[Benchmark MOE])</f>
        <v>30</v>
      </c>
      <c r="O18" s="270">
        <f>IFERROR(L18/$M$10, "")</f>
        <v>214.17445482866046</v>
      </c>
      <c r="P18" s="270">
        <f>IFERROR(L18/$M$12, "")</f>
        <v>428.34890965732092</v>
      </c>
      <c r="Q18" s="67">
        <f>IFERROR(L18/($M$10/$G$4), "")</f>
        <v>1070.8722741433023</v>
      </c>
      <c r="R18" s="17"/>
      <c r="S18" s="473" t="str">
        <f>_xlfn.CONCAT(_xlfn.XLOOKUP($B18,Tox_Table[Code],Tox_Table[Health Effect],"",0,1),"
",_xlfn.XLOOKUP($B18,Tox_Table[Code],Tox_Table[Endpoint],"",0,1),"
",_xlfn.XLOOKUP($B18,Tox_Table[Code],Tox_Table[Study],"",0,1))</f>
        <v xml:space="preserve">Phthalate syndrome-related effects
</v>
      </c>
      <c r="T18" s="475">
        <f>_xlfn.XLOOKUP($B18, Tox_Table[Code],Tox_Table[HED / POD (mg/kg/day)], FALSE)</f>
        <v>1.1000000000000001</v>
      </c>
      <c r="U18" s="49" t="s">
        <v>92</v>
      </c>
      <c r="V18" s="452">
        <f>_xlfn.XLOOKUP($B18,Tox_Table[Code],Tox_Table[Benchmark MOE])</f>
        <v>30</v>
      </c>
      <c r="W18" s="66">
        <f>IFERROR(T18/$U$10, "")</f>
        <v>95.560767961080714</v>
      </c>
      <c r="X18" s="50">
        <f>IFERROR(T18/$U$12, "")</f>
        <v>123.00123001230014</v>
      </c>
      <c r="Y18" s="50">
        <f>IFERROR($T18/((E$10/$F$4)+M$10),"")</f>
        <v>190.52567766519445</v>
      </c>
      <c r="Z18" s="50">
        <f>IFERROR(T18/((E$10)+M$10/$G$4),"")</f>
        <v>148.604468941666</v>
      </c>
      <c r="AA18" s="51">
        <f>IFERROR(T18/((E$10/$F$4)+M$10/$G$4),"")</f>
        <v>660.7797200696823</v>
      </c>
      <c r="AB18" s="34"/>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row>
    <row r="19" spans="1:77" s="28" customFormat="1" ht="34.5" customHeight="1" thickBot="1">
      <c r="A19" s="19"/>
      <c r="B19" s="28" t="s">
        <v>108</v>
      </c>
      <c r="C19" s="484"/>
      <c r="D19" s="486"/>
      <c r="E19" s="45" t="s">
        <v>93</v>
      </c>
      <c r="F19" s="451">
        <f>_xlfn.XLOOKUP($B19,Tox_Table[Code],Tox_Table[Benchmark MOE])</f>
        <v>30</v>
      </c>
      <c r="G19" s="68">
        <f>IFERROR(D18/$E$11, "")</f>
        <v>172.54901960784315</v>
      </c>
      <c r="H19" s="239">
        <f>IFERROR(D18/$E$13, "")</f>
        <v>172.54901960784315</v>
      </c>
      <c r="I19" s="69">
        <f>IFERROR(G19*$F$4,"")</f>
        <v>1725.4901960784314</v>
      </c>
      <c r="J19" s="34"/>
      <c r="K19" s="484"/>
      <c r="L19" s="486"/>
      <c r="M19" s="45" t="s">
        <v>93</v>
      </c>
      <c r="N19" s="451">
        <f>_xlfn.XLOOKUP($B19,Tox_Table[Code],Tox_Table[Benchmark MOE])</f>
        <v>30</v>
      </c>
      <c r="O19" s="271">
        <f>IFERROR(L18/$M$11, "")</f>
        <v>428.34890965732092</v>
      </c>
      <c r="P19" s="271">
        <f>IFERROR(L18/$M$13, "")</f>
        <v>428.34890965732092</v>
      </c>
      <c r="Q19" s="69">
        <f>IFERROR(L18/($M$11/$G$4), "")</f>
        <v>2141.7445482866046</v>
      </c>
      <c r="R19" s="17"/>
      <c r="S19" s="474"/>
      <c r="T19" s="476"/>
      <c r="U19" s="45" t="s">
        <v>93</v>
      </c>
      <c r="V19" s="451">
        <f>_xlfn.XLOOKUP($B19,Tox_Table[Code],Tox_Table[Benchmark MOE])</f>
        <v>30</v>
      </c>
      <c r="W19" s="70">
        <f>IFERROR(T18/$U$11, "")</f>
        <v>123.00123001230014</v>
      </c>
      <c r="X19" s="46">
        <f>IFERROR(T18/$U$13, "")</f>
        <v>123.00123001230014</v>
      </c>
      <c r="Y19" s="46">
        <f>IFERROR(T18/((E11/$F$4)+M11),"")</f>
        <v>343.16019341756356</v>
      </c>
      <c r="Z19" s="46">
        <f>IFERROR(T18/((E11)+M11/$G$4),"")</f>
        <v>159.68411578550067</v>
      </c>
      <c r="AA19" s="47">
        <f>IFERROR(T18/((E11/$F$4)+M11/$G$4),"")</f>
        <v>955.60767961080717</v>
      </c>
      <c r="AB19" s="34"/>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row>
    <row r="20" spans="1:77" s="28" customFormat="1" ht="30" customHeight="1" thickBot="1">
      <c r="A20" s="19"/>
      <c r="C20" s="37" t="s">
        <v>109</v>
      </c>
      <c r="D20" s="35"/>
      <c r="E20" s="21"/>
      <c r="F20" s="19"/>
      <c r="G20" s="35"/>
      <c r="H20" s="19"/>
      <c r="I20" s="19"/>
      <c r="J20" s="19"/>
      <c r="K20" s="490" t="s">
        <v>110</v>
      </c>
      <c r="L20" s="490"/>
      <c r="M20" s="490"/>
      <c r="N20" s="491"/>
      <c r="O20" s="21"/>
      <c r="P20" s="21"/>
      <c r="Q20" s="19"/>
      <c r="R20" s="17"/>
      <c r="S20" s="490" t="s">
        <v>111</v>
      </c>
      <c r="T20" s="490"/>
      <c r="U20" s="490"/>
      <c r="V20" s="491"/>
      <c r="W20" s="19"/>
      <c r="X20" s="19"/>
      <c r="Y20" s="19"/>
      <c r="Z20" s="19"/>
      <c r="AA20" s="19"/>
      <c r="AB20" s="34"/>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row>
    <row r="21" spans="1:77" s="28" customFormat="1" ht="30" customHeight="1">
      <c r="A21" s="19"/>
      <c r="C21" s="514" t="s">
        <v>98</v>
      </c>
      <c r="D21" s="487" t="s">
        <v>99</v>
      </c>
      <c r="E21" s="481" t="s">
        <v>79</v>
      </c>
      <c r="F21" s="488" t="s">
        <v>100</v>
      </c>
      <c r="G21" s="487" t="s">
        <v>112</v>
      </c>
      <c r="H21" s="487"/>
      <c r="I21" s="61" t="str">
        <f>_xlfn.CONCAT("Respirator Scenario: APF of ",$F$4)</f>
        <v>Respirator Scenario: APF of 10</v>
      </c>
      <c r="J21" s="34"/>
      <c r="K21" s="514" t="s">
        <v>98</v>
      </c>
      <c r="L21" s="487" t="s">
        <v>99</v>
      </c>
      <c r="M21" s="481" t="s">
        <v>79</v>
      </c>
      <c r="N21" s="488" t="s">
        <v>100</v>
      </c>
      <c r="O21" s="488" t="s">
        <v>112</v>
      </c>
      <c r="P21" s="489"/>
      <c r="Q21" s="61" t="s">
        <v>102</v>
      </c>
      <c r="R21" s="17"/>
      <c r="S21" s="477" t="s">
        <v>98</v>
      </c>
      <c r="T21" s="479" t="s">
        <v>99</v>
      </c>
      <c r="U21" s="481" t="s">
        <v>79</v>
      </c>
      <c r="V21" s="479" t="s">
        <v>100</v>
      </c>
      <c r="W21" s="487" t="s">
        <v>112</v>
      </c>
      <c r="X21" s="487"/>
      <c r="Y21" s="62" t="str">
        <f>_xlfn.CONCAT("Respirator-Only Scenario: APF of ",$F$4)</f>
        <v>Respirator-Only Scenario: APF of 10</v>
      </c>
      <c r="Z21" s="63" t="str">
        <f>_xlfn.CONCAT("Gloved-only Scenario: APF of ",$G$4)</f>
        <v>Gloved-only Scenario: APF of 5</v>
      </c>
      <c r="AA21" s="64" t="s">
        <v>103</v>
      </c>
      <c r="AB21" s="34"/>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row>
    <row r="22" spans="1:77" s="28" customFormat="1" ht="30" customHeight="1" thickBot="1">
      <c r="A22" s="19"/>
      <c r="C22" s="515"/>
      <c r="D22" s="492"/>
      <c r="E22" s="497"/>
      <c r="F22" s="500"/>
      <c r="G22" s="446" t="s">
        <v>104</v>
      </c>
      <c r="H22" s="446" t="s">
        <v>105</v>
      </c>
      <c r="I22" s="30" t="s">
        <v>104</v>
      </c>
      <c r="J22" s="34"/>
      <c r="K22" s="515"/>
      <c r="L22" s="492"/>
      <c r="M22" s="497"/>
      <c r="N22" s="500"/>
      <c r="O22" s="446" t="s">
        <v>106</v>
      </c>
      <c r="P22" s="446" t="s">
        <v>107</v>
      </c>
      <c r="Q22" s="65" t="str">
        <f>_xlfn.CONCAT("Worker MOE with Gloves: ",$G$4)</f>
        <v>Worker MOE with Gloves: 5</v>
      </c>
      <c r="R22" s="17"/>
      <c r="S22" s="493"/>
      <c r="T22" s="494"/>
      <c r="U22" s="497"/>
      <c r="V22" s="494"/>
      <c r="W22" s="446" t="s">
        <v>104</v>
      </c>
      <c r="X22" s="446" t="s">
        <v>105</v>
      </c>
      <c r="Y22" s="446" t="s">
        <v>104</v>
      </c>
      <c r="Z22" s="446" t="s">
        <v>104</v>
      </c>
      <c r="AA22" s="30" t="s">
        <v>104</v>
      </c>
      <c r="AB22" s="34"/>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row>
    <row r="23" spans="1:77" s="28" customFormat="1" ht="34.5" customHeight="1">
      <c r="A23" s="19"/>
      <c r="B23" s="35" t="s">
        <v>113</v>
      </c>
      <c r="C23" s="483" t="str">
        <f>_xlfn.CONCAT(_xlfn.XLOOKUP($B23,Tox_Table[Code],Tox_Table[Health Effect],"",0,1),"
",_xlfn.XLOOKUP($B23,Tox_Table[Code],Tox_Table[Endpoint],"",0,1),"
",_xlfn.XLOOKUP($B23,Tox_Table[Code],Tox_Table[Study],"",0,1))</f>
        <v xml:space="preserve">Phthalate syndrome-related effects
</v>
      </c>
      <c r="D23" s="485">
        <f>_xlfn.XLOOKUP($B23, Tox_Table[Code],Tox_Table[HED / POD (mg/kg/day)], FALSE)</f>
        <v>1.1000000000000001</v>
      </c>
      <c r="E23" s="49" t="s">
        <v>92</v>
      </c>
      <c r="F23" s="452">
        <f>_xlfn.XLOOKUP($B23,Tox_Table[Code],Tox_Table[Benchmark MOE])</f>
        <v>30</v>
      </c>
      <c r="G23" s="66">
        <f>IFERROR(D23/$F$10, "")</f>
        <v>235.29411764705881</v>
      </c>
      <c r="H23" s="50">
        <f>IFERROR(D23/$F$12, "")</f>
        <v>235.29411764705881</v>
      </c>
      <c r="I23" s="67">
        <f>IFERROR(G23*$F$4,"")</f>
        <v>2352.9411764705883</v>
      </c>
      <c r="J23" s="34"/>
      <c r="K23" s="483" t="str">
        <f>_xlfn.CONCAT(_xlfn.XLOOKUP($B23,Tox_Table[Code],Tox_Table[Health Effect],"",0,1),"
",_xlfn.XLOOKUP($B23,Tox_Table[Code],Tox_Table[Endpoint],"",0,1),"
",_xlfn.XLOOKUP($B23,Tox_Table[Code],Tox_Table[Study],"",0,1))</f>
        <v xml:space="preserve">Phthalate syndrome-related effects
</v>
      </c>
      <c r="L23" s="485">
        <f>_xlfn.XLOOKUP($B23, Tox_Table[Code],Tox_Table[HED / POD (mg/kg/day)], FALSE)</f>
        <v>1.1000000000000001</v>
      </c>
      <c r="M23" s="49" t="s">
        <v>92</v>
      </c>
      <c r="N23" s="452">
        <f>_xlfn.XLOOKUP($B23,Tox_Table[Code],Tox_Table[Benchmark MOE])</f>
        <v>30</v>
      </c>
      <c r="O23" s="270">
        <f>IFERROR(L23/$N$10, "")</f>
        <v>292.05607476635515</v>
      </c>
      <c r="P23" s="270">
        <f>IFERROR(L23/$N$12, "")</f>
        <v>584.1121495327103</v>
      </c>
      <c r="Q23" s="272">
        <f>IFERROR(L23/($N$10/$G$4), "")</f>
        <v>1460.2803738317757</v>
      </c>
      <c r="R23" s="17"/>
      <c r="S23" s="473" t="str">
        <f>_xlfn.CONCAT(_xlfn.XLOOKUP($B23,Tox_Table[Code],Tox_Table[Health Effect],"",0,1),"
",_xlfn.XLOOKUP($B23,Tox_Table[Code],Tox_Table[Endpoint],"",0,1),"
",_xlfn.XLOOKUP($B23,Tox_Table[Code],Tox_Table[Study],"",0,1))</f>
        <v xml:space="preserve">Phthalate syndrome-related effects
</v>
      </c>
      <c r="T23" s="475">
        <f>_xlfn.XLOOKUP($B23, Tox_Table[Code],Tox_Table[HED / POD (mg/kg/day)], FALSE)</f>
        <v>1.1000000000000001</v>
      </c>
      <c r="U23" s="49" t="s">
        <v>92</v>
      </c>
      <c r="V23" s="452">
        <f>_xlfn.XLOOKUP($B23,Tox_Table[Code],Tox_Table[Benchmark MOE])</f>
        <v>30</v>
      </c>
      <c r="W23" s="66">
        <f>IFERROR(T23/$V$10, "")</f>
        <v>130.31013812874642</v>
      </c>
      <c r="X23" s="50">
        <f>IFERROR(T23/$V$12, "")</f>
        <v>167.7289500167729</v>
      </c>
      <c r="Y23" s="50">
        <f>IFERROR(T23/((F$10/$F$4)+N$10),"")</f>
        <v>259.80774227071964</v>
      </c>
      <c r="Z23" s="50">
        <f>IFERROR(T23/((F$10)+N$10/$G$4),"")</f>
        <v>202.64245764772633</v>
      </c>
      <c r="AA23" s="51">
        <f>IFERROR(T23/((F$10/$F$4)+N$10/$G$4),"")</f>
        <v>901.06325464047575</v>
      </c>
      <c r="AB23" s="34"/>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row>
    <row r="24" spans="1:77" s="28" customFormat="1" ht="34.5" customHeight="1" thickBot="1">
      <c r="A24" s="19"/>
      <c r="B24" s="35" t="s">
        <v>113</v>
      </c>
      <c r="C24" s="484"/>
      <c r="D24" s="486"/>
      <c r="E24" s="45" t="s">
        <v>93</v>
      </c>
      <c r="F24" s="451">
        <f>_xlfn.XLOOKUP($B24,Tox_Table[Code],Tox_Table[Benchmark MOE])</f>
        <v>30</v>
      </c>
      <c r="G24" s="68">
        <f>IFERROR(D23/$F$11, "")</f>
        <v>235.29411764705881</v>
      </c>
      <c r="H24" s="239">
        <f>IFERROR(D23/$F$13, "")</f>
        <v>235.29411764705881</v>
      </c>
      <c r="I24" s="69">
        <f>IFERROR(G24*$F$4,"")</f>
        <v>2352.9411764705883</v>
      </c>
      <c r="J24" s="34"/>
      <c r="K24" s="484"/>
      <c r="L24" s="486"/>
      <c r="M24" s="45" t="s">
        <v>93</v>
      </c>
      <c r="N24" s="451">
        <f>_xlfn.XLOOKUP($B24,Tox_Table[Code],Tox_Table[Benchmark MOE])</f>
        <v>30</v>
      </c>
      <c r="O24" s="271">
        <f>IFERROR(L23/$N$11, "")</f>
        <v>584.1121495327103</v>
      </c>
      <c r="P24" s="271">
        <f>IFERROR(L23/$N$13, "")</f>
        <v>584.1121495327103</v>
      </c>
      <c r="Q24" s="273">
        <f>IFERROR(L23/($N$11/$G$4), "")</f>
        <v>2920.5607476635514</v>
      </c>
      <c r="R24" s="17"/>
      <c r="S24" s="474"/>
      <c r="T24" s="476"/>
      <c r="U24" s="45" t="s">
        <v>93</v>
      </c>
      <c r="V24" s="451">
        <f>_xlfn.XLOOKUP($B24,Tox_Table[Code],Tox_Table[Benchmark MOE])</f>
        <v>30</v>
      </c>
      <c r="W24" s="70">
        <f>IFERROR(T23/$V$11, "")</f>
        <v>167.7289500167729</v>
      </c>
      <c r="X24" s="46">
        <f>IFERROR(T23/$V$13, "")</f>
        <v>167.7289500167729</v>
      </c>
      <c r="Y24" s="46">
        <f>IFERROR(T23/((F$11/$F$4)+N$11),"")</f>
        <v>467.94571829667768</v>
      </c>
      <c r="Z24" s="46">
        <f>IFERROR(T23/((F$11)+N$11/$G$4),"")</f>
        <v>217.75106698022819</v>
      </c>
      <c r="AA24" s="47">
        <f>IFERROR(T23/((F$11/$F$4)+N$11/$G$4),"")</f>
        <v>1303.1013812874642</v>
      </c>
      <c r="AB24" s="34"/>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row>
    <row r="25" spans="1:77" s="28" customFormat="1" ht="30" customHeight="1" thickBot="1">
      <c r="A25" s="19"/>
      <c r="B25" s="35"/>
      <c r="C25" s="38" t="s">
        <v>114</v>
      </c>
      <c r="D25" s="38"/>
      <c r="E25" s="71"/>
      <c r="F25" s="109"/>
      <c r="G25" s="110"/>
      <c r="H25" s="111"/>
      <c r="I25" s="111"/>
      <c r="J25" s="36"/>
      <c r="K25" s="38" t="s">
        <v>115</v>
      </c>
      <c r="L25" s="38"/>
      <c r="M25" s="38"/>
      <c r="N25" s="111"/>
      <c r="O25" s="36"/>
      <c r="P25" s="36"/>
      <c r="Q25" s="37"/>
      <c r="R25" s="19"/>
      <c r="S25" s="38" t="s">
        <v>116</v>
      </c>
      <c r="T25" s="38"/>
      <c r="U25" s="38"/>
      <c r="V25" s="111"/>
      <c r="W25" s="110"/>
      <c r="X25" s="111"/>
      <c r="Y25" s="111"/>
      <c r="Z25" s="37"/>
      <c r="AA25" s="36"/>
      <c r="AB25" s="36"/>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7"/>
      <c r="BN25" s="17"/>
      <c r="BO25" s="17"/>
      <c r="BP25" s="17"/>
      <c r="BQ25" s="17"/>
      <c r="BR25" s="17"/>
      <c r="BS25" s="17"/>
      <c r="BT25" s="17"/>
      <c r="BU25" s="17"/>
      <c r="BV25" s="17"/>
      <c r="BW25" s="17"/>
      <c r="BX25" s="17"/>
      <c r="BY25" s="17"/>
    </row>
    <row r="26" spans="1:77" s="28" customFormat="1" ht="35.25" customHeight="1">
      <c r="A26" s="19"/>
      <c r="B26" s="35"/>
      <c r="C26" s="514" t="s">
        <v>98</v>
      </c>
      <c r="D26" s="487" t="s">
        <v>99</v>
      </c>
      <c r="E26" s="481" t="s">
        <v>79</v>
      </c>
      <c r="F26" s="488" t="s">
        <v>100</v>
      </c>
      <c r="G26" s="487" t="s">
        <v>117</v>
      </c>
      <c r="H26" s="487"/>
      <c r="I26" s="61" t="str">
        <f>_xlfn.CONCAT("Respirator Scenario: APF of ",$F$4)</f>
        <v>Respirator Scenario: APF of 10</v>
      </c>
      <c r="J26" s="34"/>
      <c r="K26" s="514" t="s">
        <v>98</v>
      </c>
      <c r="L26" s="487" t="s">
        <v>118</v>
      </c>
      <c r="M26" s="481" t="s">
        <v>79</v>
      </c>
      <c r="N26" s="488" t="s">
        <v>100</v>
      </c>
      <c r="O26" s="488" t="s">
        <v>117</v>
      </c>
      <c r="P26" s="489"/>
      <c r="Q26" s="61" t="s">
        <v>102</v>
      </c>
      <c r="R26" s="17"/>
      <c r="S26" s="477" t="s">
        <v>98</v>
      </c>
      <c r="T26" s="479" t="s">
        <v>118</v>
      </c>
      <c r="U26" s="481" t="s">
        <v>79</v>
      </c>
      <c r="V26" s="479" t="s">
        <v>100</v>
      </c>
      <c r="W26" s="487" t="s">
        <v>117</v>
      </c>
      <c r="X26" s="487"/>
      <c r="Y26" s="62" t="str">
        <f>_xlfn.CONCAT("Respirator-Only Scenario: APF of ",$F$4)</f>
        <v>Respirator-Only Scenario: APF of 10</v>
      </c>
      <c r="Z26" s="63" t="str">
        <f>_xlfn.CONCAT("Gloved-only Scenario: APF of ",$G$4)</f>
        <v>Gloved-only Scenario: APF of 5</v>
      </c>
      <c r="AA26" s="64" t="s">
        <v>103</v>
      </c>
      <c r="AB26" s="34"/>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row>
    <row r="27" spans="1:77" s="28" customFormat="1" ht="30" customHeight="1" thickBot="1">
      <c r="A27" s="19"/>
      <c r="B27" s="35"/>
      <c r="C27" s="515"/>
      <c r="D27" s="492"/>
      <c r="E27" s="497"/>
      <c r="F27" s="500"/>
      <c r="G27" s="446" t="s">
        <v>104</v>
      </c>
      <c r="H27" s="446" t="s">
        <v>105</v>
      </c>
      <c r="I27" s="30" t="s">
        <v>104</v>
      </c>
      <c r="J27" s="34"/>
      <c r="K27" s="515"/>
      <c r="L27" s="492"/>
      <c r="M27" s="497"/>
      <c r="N27" s="500"/>
      <c r="O27" s="446" t="s">
        <v>106</v>
      </c>
      <c r="P27" s="446" t="s">
        <v>107</v>
      </c>
      <c r="Q27" s="65" t="str">
        <f>_xlfn.CONCAT("Worker MOE with Gloves: ",$G$4)</f>
        <v>Worker MOE with Gloves: 5</v>
      </c>
      <c r="R27" s="17"/>
      <c r="S27" s="478"/>
      <c r="T27" s="480"/>
      <c r="U27" s="482"/>
      <c r="V27" s="480"/>
      <c r="W27" s="446" t="s">
        <v>104</v>
      </c>
      <c r="X27" s="446" t="s">
        <v>105</v>
      </c>
      <c r="Y27" s="446" t="s">
        <v>104</v>
      </c>
      <c r="Z27" s="446" t="s">
        <v>104</v>
      </c>
      <c r="AA27" s="30" t="s">
        <v>104</v>
      </c>
      <c r="AB27" s="34"/>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row>
    <row r="28" spans="1:77" s="19" customFormat="1" ht="37.5" customHeight="1">
      <c r="B28" s="14" t="s">
        <v>119</v>
      </c>
      <c r="C28" s="483" t="str">
        <f>_xlfn.CONCAT(_xlfn.XLOOKUP($B28,Tox_Table[Code],Tox_Table[Health Effect],"",0,1),"
",_xlfn.XLOOKUP($B28,Tox_Table[Code],Tox_Table[Endpoint],"",0,1),"
",_xlfn.XLOOKUP($B28,Tox_Table[Code],Tox_Table[Study],"",0,1))</f>
        <v xml:space="preserve">Phthalate syndrome-related effects
</v>
      </c>
      <c r="D28" s="485">
        <f>_xlfn.XLOOKUP($B28, Tox_Table[Code],Tox_Table[HED / POD (mg/kg/day)], FALSE)</f>
        <v>1.1000000000000001</v>
      </c>
      <c r="E28" s="49" t="s">
        <v>92</v>
      </c>
      <c r="F28" s="452">
        <f>_xlfn.XLOOKUP($B28,Tox_Table[Code],Tox_Table[Benchmark MOE])</f>
        <v>30</v>
      </c>
      <c r="G28" s="72">
        <f>IFERROR(D28/$G$10, "")</f>
        <v>251.92156862745099</v>
      </c>
      <c r="H28" s="72">
        <f>IFERROR(D28/$G$12, "")</f>
        <v>251.92156862745099</v>
      </c>
      <c r="I28" s="73">
        <f>IFERROR(G28*$F$4,"")</f>
        <v>2519.2156862745101</v>
      </c>
      <c r="K28" s="473" t="str">
        <f>_xlfn.CONCAT(_xlfn.XLOOKUP($B28,Tox_Table[Code],Tox_Table[Health Effect],"",0,1),"
",_xlfn.XLOOKUP($B28,Tox_Table[Code],Tox_Table[Endpoint],"",0,1),"
",_xlfn.XLOOKUP($B28,Tox_Table[Code],Tox_Table[Study],"",0,1))</f>
        <v xml:space="preserve">Phthalate syndrome-related effects
</v>
      </c>
      <c r="L28" s="475">
        <f>_xlfn.XLOOKUP($B28, Tox_Table[Code],Tox_Table[HED / POD (mg/kg/day)], FALSE)</f>
        <v>1.1000000000000001</v>
      </c>
      <c r="M28" s="49" t="s">
        <v>92</v>
      </c>
      <c r="N28" s="452">
        <f>_xlfn.XLOOKUP($B28,Tox_Table[Code],Tox_Table[Benchmark MOE])</f>
        <v>30</v>
      </c>
      <c r="O28" s="270">
        <f>IFERROR(L28/$O$10, "")</f>
        <v>312.69470404984423</v>
      </c>
      <c r="P28" s="270">
        <f>IFERROR(L28/$O$12, "")</f>
        <v>625.38940809968847</v>
      </c>
      <c r="Q28" s="67">
        <f>IFERROR(L28/($O$10/$G$4), "")</f>
        <v>1563.4735202492213</v>
      </c>
      <c r="R28" s="17"/>
      <c r="S28" s="483" t="str">
        <f>_xlfn.CONCAT(_xlfn.XLOOKUP($B28,Tox_Table[Code],Tox_Table[Health Effect],"",0,1),"
",_xlfn.XLOOKUP($B28,Tox_Table[Code],Tox_Table[Endpoint],"",0,1),"
",_xlfn.XLOOKUP($B28,Tox_Table[Code],Tox_Table[Study],"",0,1))</f>
        <v xml:space="preserve">Phthalate syndrome-related effects
</v>
      </c>
      <c r="T28" s="485">
        <f>_xlfn.XLOOKUP($B28, Tox_Table[Code],Tox_Table[HED / POD (mg/kg/day)], FALSE)</f>
        <v>1.1000000000000001</v>
      </c>
      <c r="U28" s="49" t="s">
        <v>92</v>
      </c>
      <c r="V28" s="452">
        <f>_xlfn.XLOOKUP($B28,Tox_Table[Code],Tox_Table[Benchmark MOE])</f>
        <v>30</v>
      </c>
      <c r="W28" s="72">
        <f>IFERROR(T28/$W$10, "")</f>
        <v>139.51872122317783</v>
      </c>
      <c r="X28" s="72">
        <f>IFERROR(T28/$W$12, "")</f>
        <v>179.58179581795818</v>
      </c>
      <c r="Y28" s="50">
        <f>IFERROR(T28/((G$10/$F$4)+O$10),"")</f>
        <v>278.16748939118389</v>
      </c>
      <c r="Z28" s="50">
        <f>IFERROR(T28/((G$10)+O$10/$G$4),"")</f>
        <v>216.96252465483238</v>
      </c>
      <c r="AA28" s="51">
        <f>IFERROR(T28/((G$10/$F$4)+O$10/$G$4),"")</f>
        <v>964.73839130173599</v>
      </c>
      <c r="AB28" s="74"/>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row>
    <row r="29" spans="1:77" s="19" customFormat="1" ht="40.5" customHeight="1" thickBot="1">
      <c r="B29" s="14" t="s">
        <v>119</v>
      </c>
      <c r="C29" s="484"/>
      <c r="D29" s="486"/>
      <c r="E29" s="45" t="s">
        <v>93</v>
      </c>
      <c r="F29" s="451">
        <f>_xlfn.XLOOKUP($B29,Tox_Table[Code],Tox_Table[Benchmark MOE])</f>
        <v>30</v>
      </c>
      <c r="G29" s="75">
        <f>IFERROR(D28/$G$11, "")</f>
        <v>251.92156862745099</v>
      </c>
      <c r="H29" s="75">
        <f>IFERROR(D28/$G$13, "")</f>
        <v>251.92156862745099</v>
      </c>
      <c r="I29" s="76">
        <f>IFERROR(G29*$F$4,"")</f>
        <v>2519.2156862745101</v>
      </c>
      <c r="K29" s="474"/>
      <c r="L29" s="476"/>
      <c r="M29" s="45" t="s">
        <v>93</v>
      </c>
      <c r="N29" s="451">
        <f>_xlfn.XLOOKUP($B29,Tox_Table[Code],Tox_Table[Benchmark MOE])</f>
        <v>30</v>
      </c>
      <c r="O29" s="271">
        <f>IFERROR(L28/$O$11, "")</f>
        <v>625.38940809968847</v>
      </c>
      <c r="P29" s="271">
        <f>IFERROR(L28/$O$13, "")</f>
        <v>625.38940809968847</v>
      </c>
      <c r="Q29" s="69">
        <f>IFERROR(L28/($O$11/$G$4), "")</f>
        <v>3126.9470404984427</v>
      </c>
      <c r="R29" s="17"/>
      <c r="S29" s="484"/>
      <c r="T29" s="486"/>
      <c r="U29" s="45" t="s">
        <v>93</v>
      </c>
      <c r="V29" s="451">
        <f>_xlfn.XLOOKUP($B29,Tox_Table[Code],Tox_Table[Benchmark MOE])</f>
        <v>30</v>
      </c>
      <c r="W29" s="75">
        <f>IFERROR(T28/$W$11, "")</f>
        <v>179.58179581795818</v>
      </c>
      <c r="X29" s="75">
        <f>IFERROR(T28/$W$13, "")</f>
        <v>179.58179581795818</v>
      </c>
      <c r="Y29" s="46">
        <f>IFERROR(T28/((G$11/$F$4)+O$11),"")</f>
        <v>501.01388238964284</v>
      </c>
      <c r="Z29" s="46">
        <f>IFERROR(T28/((G$11)+O$11/$G$4),"")</f>
        <v>233.138809046831</v>
      </c>
      <c r="AA29" s="47">
        <f>IFERROR(T28/((G$11/$F$4)+O$11/$G$4),"")</f>
        <v>1395.1872122317784</v>
      </c>
      <c r="AB29" s="74"/>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row>
    <row r="30" spans="1:77" ht="13.5" thickBot="1">
      <c r="A30" s="28"/>
      <c r="B30" s="35"/>
      <c r="C30" s="35"/>
      <c r="D30" s="17"/>
      <c r="E30" s="77"/>
      <c r="F30" s="78"/>
      <c r="G30" s="79"/>
      <c r="H30" s="80"/>
      <c r="I30" s="19"/>
      <c r="J30" s="19"/>
      <c r="K30" s="35"/>
      <c r="L30" s="35"/>
      <c r="M30" s="35"/>
      <c r="N30" s="77"/>
      <c r="S30" s="35"/>
      <c r="T30" s="35"/>
      <c r="U30" s="35"/>
      <c r="V30" s="77"/>
      <c r="W30" s="79"/>
      <c r="X30" s="80"/>
      <c r="Y30" s="19"/>
      <c r="AA30" s="19"/>
      <c r="AB30" s="19"/>
      <c r="AD30" s="17"/>
      <c r="AE30" s="17"/>
      <c r="AF30" s="17"/>
      <c r="AG30" s="17"/>
      <c r="AH30" s="17"/>
      <c r="AI30" s="17"/>
      <c r="AJ30" s="17"/>
    </row>
    <row r="31" spans="1:77" ht="36" customHeight="1" thickBot="1">
      <c r="A31" s="28"/>
      <c r="B31" s="35"/>
      <c r="C31" s="37" t="s">
        <v>120</v>
      </c>
      <c r="D31" s="19"/>
      <c r="E31" s="36"/>
      <c r="G31" s="471" t="s">
        <v>121</v>
      </c>
      <c r="H31" s="472"/>
      <c r="I31" s="81" t="str">
        <f>_xlfn.CONCAT("Respirator Scenario: APF of ",$F$4)</f>
        <v>Respirator Scenario: APF of 10</v>
      </c>
      <c r="J31" s="34"/>
      <c r="K31" s="37" t="s">
        <v>120</v>
      </c>
      <c r="L31" s="37"/>
      <c r="M31" s="19"/>
      <c r="N31" s="36"/>
      <c r="O31" s="471" t="s">
        <v>121</v>
      </c>
      <c r="P31" s="472"/>
      <c r="Q31" s="81" t="s">
        <v>102</v>
      </c>
      <c r="S31" s="37" t="s">
        <v>122</v>
      </c>
      <c r="T31" s="37"/>
      <c r="U31" s="19"/>
      <c r="V31" s="36"/>
      <c r="W31" s="471" t="s">
        <v>121</v>
      </c>
      <c r="X31" s="472"/>
      <c r="Y31" s="83" t="str">
        <f>_xlfn.CONCAT("Respirator-Only Scenario: APF of ",$F$4)</f>
        <v>Respirator-Only Scenario: APF of 10</v>
      </c>
      <c r="Z31" s="84" t="str">
        <f>_xlfn.CONCAT("Gloved-only Scenario: APF of ",$G$4)</f>
        <v>Gloved-only Scenario: APF of 5</v>
      </c>
      <c r="AA31" s="85" t="s">
        <v>103</v>
      </c>
      <c r="AB31" s="34"/>
      <c r="AD31" s="17"/>
      <c r="AE31" s="17"/>
      <c r="AF31" s="17"/>
      <c r="AG31" s="17"/>
      <c r="AH31" s="17"/>
      <c r="AI31" s="17"/>
      <c r="AJ31" s="17"/>
    </row>
    <row r="32" spans="1:77" ht="30" customHeight="1" thickBot="1">
      <c r="A32" s="19"/>
      <c r="B32" s="35"/>
      <c r="C32" s="448" t="s">
        <v>123</v>
      </c>
      <c r="D32" s="89" t="s">
        <v>124</v>
      </c>
      <c r="E32" s="86" t="s">
        <v>79</v>
      </c>
      <c r="F32" s="87" t="s">
        <v>125</v>
      </c>
      <c r="G32" s="447" t="s">
        <v>126</v>
      </c>
      <c r="H32" s="447" t="s">
        <v>127</v>
      </c>
      <c r="I32" s="88" t="s">
        <v>126</v>
      </c>
      <c r="J32" s="34"/>
      <c r="K32" s="448" t="s">
        <v>123</v>
      </c>
      <c r="L32" s="89" t="s">
        <v>124</v>
      </c>
      <c r="M32" s="90" t="s">
        <v>79</v>
      </c>
      <c r="N32" s="87" t="s">
        <v>125</v>
      </c>
      <c r="O32" s="91" t="s">
        <v>128</v>
      </c>
      <c r="P32" s="456" t="s">
        <v>129</v>
      </c>
      <c r="Q32" s="92" t="str">
        <f>_xlfn.CONCAT("Gloves: PF of ",$G$4)</f>
        <v>Gloves: PF of 5</v>
      </c>
      <c r="S32" s="82" t="s">
        <v>123</v>
      </c>
      <c r="T32" s="89" t="s">
        <v>124</v>
      </c>
      <c r="U32" s="93" t="s">
        <v>79</v>
      </c>
      <c r="V32" s="94" t="s">
        <v>125</v>
      </c>
      <c r="W32" s="91" t="s">
        <v>126</v>
      </c>
      <c r="X32" s="91" t="s">
        <v>127</v>
      </c>
      <c r="Y32" s="91" t="s">
        <v>126</v>
      </c>
      <c r="Z32" s="95" t="s">
        <v>130</v>
      </c>
      <c r="AA32" s="96" t="s">
        <v>130</v>
      </c>
      <c r="AB32" s="34"/>
      <c r="AD32" s="17"/>
      <c r="AE32" s="17"/>
      <c r="AF32" s="17"/>
      <c r="AG32" s="17"/>
      <c r="AH32" s="17"/>
      <c r="AI32" s="17"/>
      <c r="AJ32" s="17"/>
    </row>
    <row r="33" spans="1:77" ht="24.75" customHeight="1">
      <c r="A33" s="19"/>
      <c r="B33" s="14" t="s">
        <v>131</v>
      </c>
      <c r="C33" s="483" t="str">
        <f>_xlfn.CONCAT(_xlfn.XLOOKUP($B33,Tox_Table[Code],Tox_Table[Health Effect],"",0,1),"
",_xlfn.XLOOKUP($B33,Tox_Table[Code],Tox_Table[Endpoint],"",0,1),"
",_xlfn.XLOOKUP($B33,Tox_Table[Code],Tox_Table[Study],"",0,1))</f>
        <v xml:space="preserve">
</v>
      </c>
      <c r="D33" s="485">
        <f>_xlfn.XLOOKUP($B33, Tox_Table[Code],Tox_Table[CSF (mg/kg-day-1)], FALSE)</f>
        <v>0</v>
      </c>
      <c r="E33" s="29" t="s">
        <v>92</v>
      </c>
      <c r="F33" s="283">
        <v>1E-4</v>
      </c>
      <c r="G33" s="72">
        <f>IFERROR(D33*$H$10, "")</f>
        <v>0</v>
      </c>
      <c r="H33" s="72">
        <f>IFERROR(D33*$H$12, "")</f>
        <v>0</v>
      </c>
      <c r="I33" s="73">
        <f>IFERROR(G33/$F$4,"")</f>
        <v>0</v>
      </c>
      <c r="J33" s="97"/>
      <c r="K33" s="483" t="str">
        <f>_xlfn.CONCAT(_xlfn.XLOOKUP($B33,Tox_Table[Code],Tox_Table[Health Effect],"",0,1),"
",_xlfn.XLOOKUP($B33,Tox_Table[Code],Tox_Table[Endpoint],"",0,1),"
",_xlfn.XLOOKUP($B33,Tox_Table[Code],Tox_Table[Study],"",0,1))</f>
        <v xml:space="preserve">
</v>
      </c>
      <c r="L33" s="485">
        <f>_xlfn.XLOOKUP($B33, Tox_Table[Code],Tox_Table[CSF (mg/kg-day-1)], FALSE)</f>
        <v>0</v>
      </c>
      <c r="M33" s="49" t="s">
        <v>92</v>
      </c>
      <c r="N33" s="283">
        <v>1E-4</v>
      </c>
      <c r="O33" s="72">
        <f>IFERROR(L33*$P$10, "")</f>
        <v>0</v>
      </c>
      <c r="P33" s="72">
        <f>IFERROR(L33*$P$12, "")</f>
        <v>0</v>
      </c>
      <c r="Q33" s="73">
        <f>IFERROR(L33*$P$10/G4, "")</f>
        <v>0</v>
      </c>
      <c r="S33" s="483" t="str">
        <f>_xlfn.CONCAT(_xlfn.XLOOKUP($B33,Tox_Table[Code],Tox_Table[Health Effect],"",0,1),"
",_xlfn.XLOOKUP($B33,Tox_Table[Code],Tox_Table[Endpoint],"",0,1),"
",_xlfn.XLOOKUP($B33,Tox_Table[Code],Tox_Table[Study],"",0,1))</f>
        <v xml:space="preserve">
</v>
      </c>
      <c r="T33" s="485">
        <f>_xlfn.XLOOKUP($B33, Tox_Table[Code],Tox_Table[CSF (mg/kg-day-1)], FALSE)</f>
        <v>0</v>
      </c>
      <c r="U33" s="49" t="s">
        <v>92</v>
      </c>
      <c r="V33" s="495">
        <v>1E-4</v>
      </c>
      <c r="W33" s="72">
        <f>IFERROR(T33*$X$10, "")</f>
        <v>0</v>
      </c>
      <c r="X33" s="72">
        <f>IFERROR(T33*$X$12, "")</f>
        <v>0</v>
      </c>
      <c r="Y33" s="50">
        <f>IFERROR(T33*((H$10/$F$4)+P$10),"")</f>
        <v>0</v>
      </c>
      <c r="Z33" s="50">
        <f>IFERROR(T33*((H$10)+P$10/$G$4),"")</f>
        <v>0</v>
      </c>
      <c r="AA33" s="51">
        <f>IFERROR(T33*((H$10/$F$4)+P$10/$G$4),"")</f>
        <v>0</v>
      </c>
      <c r="AB33" s="97"/>
      <c r="AD33" s="17"/>
      <c r="AE33" s="17"/>
      <c r="AF33" s="17"/>
      <c r="AG33" s="17"/>
      <c r="AH33" s="17"/>
      <c r="AI33" s="17"/>
      <c r="AJ33" s="17"/>
    </row>
    <row r="34" spans="1:77" s="19" customFormat="1" ht="28.5" customHeight="1" thickBot="1">
      <c r="B34" s="14" t="s">
        <v>131</v>
      </c>
      <c r="C34" s="484"/>
      <c r="D34" s="486"/>
      <c r="E34" s="33" t="s">
        <v>93</v>
      </c>
      <c r="F34" s="284">
        <v>1E-4</v>
      </c>
      <c r="G34" s="75">
        <f>IFERROR(D33*$H$11, "")</f>
        <v>0</v>
      </c>
      <c r="H34" s="75">
        <f>IFERROR(D33*$H$13, "")</f>
        <v>0</v>
      </c>
      <c r="I34" s="76">
        <f>IFERROR(G34/$F$4,"")</f>
        <v>0</v>
      </c>
      <c r="J34" s="97"/>
      <c r="K34" s="484"/>
      <c r="L34" s="486"/>
      <c r="M34" s="45" t="s">
        <v>93</v>
      </c>
      <c r="N34" s="284">
        <v>1E-4</v>
      </c>
      <c r="O34" s="75">
        <f>IFERROR(L33*$P$11, "")</f>
        <v>0</v>
      </c>
      <c r="P34" s="75">
        <f>IFERROR(L33*$P$13, "")</f>
        <v>0</v>
      </c>
      <c r="Q34" s="76">
        <f>IFERROR(L33*$P$11/G4, "")</f>
        <v>0</v>
      </c>
      <c r="R34" s="17"/>
      <c r="S34" s="484"/>
      <c r="T34" s="486"/>
      <c r="U34" s="45" t="s">
        <v>93</v>
      </c>
      <c r="V34" s="496"/>
      <c r="W34" s="75">
        <f>IFERROR(T33*$X$11, "")</f>
        <v>0</v>
      </c>
      <c r="X34" s="75">
        <f>IFERROR(T33*$X$13, "")</f>
        <v>0</v>
      </c>
      <c r="Y34" s="46">
        <f>IFERROR(T33*((H$11/$F$4)+P$11),"")</f>
        <v>0</v>
      </c>
      <c r="Z34" s="46">
        <f>IFERROR(T33*((H$11)+P$11/$G$4),"")</f>
        <v>0</v>
      </c>
      <c r="AA34" s="47">
        <f>IFERROR(T33*((H$11/$F$4)+P$11/$G$4),"")</f>
        <v>0</v>
      </c>
      <c r="AB34" s="9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row>
    <row r="35" spans="1:77">
      <c r="A35" s="19"/>
      <c r="B35" s="35"/>
      <c r="Q35" s="19"/>
      <c r="AD35" s="17"/>
      <c r="AE35" s="17"/>
      <c r="AF35" s="17"/>
      <c r="AG35" s="17"/>
      <c r="AH35" s="17"/>
      <c r="AI35" s="17"/>
      <c r="AJ35" s="17"/>
    </row>
    <row r="36" spans="1:77">
      <c r="A36" s="19"/>
      <c r="B36" s="35"/>
      <c r="O36" s="19"/>
      <c r="P36" s="19"/>
      <c r="Q36" s="19"/>
      <c r="AD36" s="17"/>
      <c r="AE36" s="17"/>
      <c r="AF36" s="17"/>
      <c r="AG36" s="17"/>
      <c r="AH36" s="17"/>
      <c r="AI36" s="17"/>
      <c r="AJ36" s="17"/>
    </row>
    <row r="37" spans="1:77">
      <c r="A37" s="19"/>
      <c r="B37" s="28"/>
      <c r="Q37" s="19"/>
      <c r="AD37" s="17"/>
      <c r="AE37" s="17"/>
      <c r="AF37" s="17"/>
      <c r="AG37" s="17"/>
      <c r="AH37" s="17"/>
      <c r="AI37" s="17"/>
      <c r="AJ37" s="17"/>
    </row>
    <row r="38" spans="1:77">
      <c r="A38" s="19"/>
      <c r="Q38" s="19"/>
      <c r="AD38" s="17"/>
      <c r="AE38" s="17"/>
      <c r="AF38" s="17"/>
      <c r="AG38" s="17"/>
      <c r="AH38" s="17"/>
      <c r="AI38" s="17"/>
      <c r="AJ38" s="17"/>
    </row>
    <row r="39" spans="1:77">
      <c r="A39" s="19"/>
      <c r="AD39" s="17"/>
      <c r="AE39" s="17"/>
      <c r="AF39" s="17"/>
      <c r="AG39" s="17"/>
      <c r="AH39" s="17"/>
      <c r="AI39" s="17"/>
      <c r="AJ39" s="17"/>
    </row>
    <row r="40" spans="1:77" ht="35.25" customHeight="1">
      <c r="A40" s="19"/>
      <c r="AD40" s="17"/>
      <c r="AE40" s="17"/>
      <c r="AF40" s="17"/>
      <c r="AG40" s="17"/>
      <c r="AH40" s="17"/>
      <c r="AI40" s="17"/>
      <c r="AJ40" s="17"/>
    </row>
    <row r="41" spans="1:77">
      <c r="A41" s="19"/>
      <c r="AD41" s="17"/>
      <c r="AE41" s="17"/>
      <c r="AF41" s="17"/>
      <c r="AG41" s="17"/>
      <c r="AH41" s="17"/>
      <c r="AI41" s="17"/>
      <c r="AJ41" s="17"/>
    </row>
    <row r="42" spans="1:77">
      <c r="AD42" s="17"/>
      <c r="AE42" s="17"/>
      <c r="AF42" s="17"/>
      <c r="AG42" s="17"/>
      <c r="AH42" s="17"/>
      <c r="AI42" s="17"/>
      <c r="AJ42" s="17"/>
    </row>
    <row r="43" spans="1:77">
      <c r="H43" s="19"/>
      <c r="I43" s="19"/>
      <c r="J43" s="19"/>
      <c r="T43" s="19"/>
      <c r="U43" s="19"/>
      <c r="V43" s="19"/>
      <c r="W43" s="19"/>
      <c r="X43" s="19"/>
      <c r="Y43" s="19"/>
      <c r="Z43" s="19"/>
      <c r="AA43" s="19"/>
      <c r="AB43" s="19"/>
      <c r="AD43" s="17"/>
      <c r="AE43" s="17"/>
      <c r="AF43" s="17"/>
      <c r="AG43" s="17"/>
      <c r="AH43" s="17"/>
      <c r="AI43" s="17"/>
      <c r="AJ43" s="17"/>
    </row>
    <row r="44" spans="1:77">
      <c r="AD44" s="17"/>
      <c r="AE44" s="17"/>
      <c r="AF44" s="17"/>
      <c r="AG44" s="17"/>
      <c r="AH44" s="17"/>
      <c r="AI44" s="17"/>
      <c r="AJ44" s="17"/>
    </row>
    <row r="45" spans="1:77">
      <c r="AD45" s="17"/>
      <c r="AE45" s="17"/>
      <c r="AF45" s="17"/>
      <c r="AG45" s="17"/>
      <c r="AH45" s="17"/>
      <c r="AI45" s="17"/>
      <c r="AJ45" s="17"/>
    </row>
    <row r="46" spans="1:77">
      <c r="AD46" s="17"/>
      <c r="AE46" s="17"/>
      <c r="AF46" s="17"/>
      <c r="AG46" s="17"/>
      <c r="AH46" s="17"/>
      <c r="AI46" s="17"/>
      <c r="AJ46" s="17"/>
    </row>
    <row r="47" spans="1:77">
      <c r="AD47" s="17"/>
      <c r="AE47" s="17"/>
      <c r="AF47" s="17"/>
      <c r="AG47" s="17"/>
      <c r="AH47" s="17"/>
      <c r="AI47" s="17"/>
      <c r="AJ47" s="17"/>
    </row>
    <row r="48" spans="1:77">
      <c r="AD48" s="17"/>
      <c r="AE48" s="17"/>
      <c r="AF48" s="17"/>
      <c r="AG48" s="17"/>
      <c r="AH48" s="17"/>
      <c r="AI48" s="17"/>
      <c r="AJ48" s="17"/>
    </row>
    <row r="49" spans="1:36">
      <c r="G49" s="19"/>
      <c r="AD49" s="17"/>
      <c r="AE49" s="17"/>
      <c r="AF49" s="17"/>
      <c r="AG49" s="17"/>
      <c r="AH49" s="17"/>
      <c r="AI49" s="17"/>
      <c r="AJ49" s="17"/>
    </row>
    <row r="50" spans="1:36">
      <c r="K50" s="19"/>
      <c r="L50" s="19"/>
      <c r="M50" s="19"/>
      <c r="N50" s="19"/>
      <c r="AD50" s="17"/>
      <c r="AE50" s="17"/>
      <c r="AF50" s="17"/>
      <c r="AG50" s="17"/>
      <c r="AH50" s="17"/>
      <c r="AI50" s="17"/>
      <c r="AJ50" s="17"/>
    </row>
    <row r="51" spans="1:36">
      <c r="C51" s="19"/>
      <c r="D51" s="28"/>
      <c r="E51" s="19"/>
      <c r="F51" s="19"/>
      <c r="AD51" s="17"/>
      <c r="AE51" s="17"/>
      <c r="AF51" s="17"/>
      <c r="AG51" s="17"/>
      <c r="AH51" s="17"/>
      <c r="AI51" s="17"/>
      <c r="AJ51" s="17"/>
    </row>
    <row r="52" spans="1:36">
      <c r="AD52" s="17"/>
      <c r="AE52" s="17"/>
      <c r="AF52" s="17"/>
      <c r="AG52" s="17"/>
      <c r="AH52" s="17"/>
      <c r="AI52" s="17"/>
      <c r="AJ52" s="17"/>
    </row>
    <row r="53" spans="1:36">
      <c r="H53" s="55"/>
      <c r="I53" s="55"/>
      <c r="J53" s="55"/>
      <c r="T53" s="55"/>
      <c r="U53" s="55"/>
      <c r="V53" s="55"/>
      <c r="W53" s="55"/>
      <c r="X53" s="55"/>
      <c r="Y53" s="55"/>
      <c r="Z53" s="55"/>
      <c r="AA53" s="55"/>
      <c r="AB53" s="55"/>
      <c r="AD53" s="17"/>
      <c r="AE53" s="17"/>
      <c r="AF53" s="17"/>
      <c r="AG53" s="17"/>
      <c r="AH53" s="17"/>
      <c r="AI53" s="17"/>
      <c r="AJ53" s="17"/>
    </row>
    <row r="54" spans="1:36">
      <c r="H54" s="55"/>
      <c r="I54" s="55"/>
      <c r="J54" s="55"/>
      <c r="O54" s="19"/>
      <c r="P54" s="19"/>
      <c r="T54" s="55"/>
      <c r="U54" s="55"/>
      <c r="V54" s="55"/>
      <c r="W54" s="55"/>
      <c r="X54" s="55"/>
      <c r="Y54" s="55"/>
      <c r="Z54" s="55"/>
      <c r="AA54" s="55"/>
      <c r="AB54" s="55"/>
      <c r="AD54" s="17"/>
      <c r="AE54" s="17"/>
      <c r="AF54" s="17"/>
      <c r="AG54" s="17"/>
      <c r="AH54" s="17"/>
      <c r="AI54" s="17"/>
      <c r="AJ54" s="17"/>
    </row>
    <row r="55" spans="1:36">
      <c r="B55" s="28"/>
      <c r="H55" s="58"/>
      <c r="I55" s="58"/>
      <c r="J55" s="58"/>
      <c r="T55" s="58"/>
      <c r="U55" s="58"/>
      <c r="V55" s="58"/>
      <c r="W55" s="58"/>
      <c r="X55" s="58"/>
      <c r="Y55" s="58"/>
      <c r="Z55" s="58"/>
      <c r="AA55" s="58"/>
      <c r="AB55" s="58"/>
      <c r="AD55" s="17"/>
      <c r="AE55" s="17"/>
      <c r="AF55" s="17"/>
      <c r="AG55" s="17"/>
      <c r="AH55" s="17"/>
      <c r="AI55" s="17"/>
      <c r="AJ55" s="17"/>
    </row>
    <row r="56" spans="1:36">
      <c r="B56" s="54"/>
      <c r="H56" s="58"/>
      <c r="I56" s="58"/>
      <c r="J56" s="58"/>
      <c r="Q56" s="19"/>
      <c r="T56" s="58"/>
      <c r="U56" s="58"/>
      <c r="V56" s="58"/>
      <c r="W56" s="58"/>
      <c r="X56" s="58"/>
      <c r="Y56" s="58"/>
      <c r="Z56" s="58"/>
      <c r="AA56" s="58"/>
      <c r="AB56" s="58"/>
      <c r="AD56" s="17"/>
      <c r="AE56" s="17"/>
      <c r="AF56" s="17"/>
      <c r="AG56" s="17"/>
      <c r="AH56" s="17"/>
      <c r="AI56" s="17"/>
      <c r="AJ56" s="17"/>
    </row>
    <row r="57" spans="1:36">
      <c r="B57" s="54"/>
      <c r="AD57" s="17"/>
      <c r="AE57" s="17"/>
      <c r="AF57" s="17"/>
      <c r="AG57" s="17"/>
      <c r="AH57" s="17"/>
      <c r="AI57" s="17"/>
      <c r="AJ57" s="17"/>
    </row>
    <row r="58" spans="1:36">
      <c r="B58" s="54"/>
      <c r="AD58" s="17"/>
      <c r="AE58" s="17"/>
      <c r="AF58" s="17"/>
      <c r="AG58" s="17"/>
      <c r="AH58" s="17"/>
      <c r="AI58" s="17"/>
      <c r="AJ58" s="17"/>
    </row>
    <row r="59" spans="1:36">
      <c r="A59" s="19"/>
      <c r="B59" s="54"/>
      <c r="G59" s="55"/>
      <c r="AD59" s="17"/>
      <c r="AE59" s="17"/>
      <c r="AF59" s="17"/>
      <c r="AG59" s="17"/>
      <c r="AH59" s="17"/>
      <c r="AI59" s="17"/>
      <c r="AJ59" s="17"/>
    </row>
    <row r="60" spans="1:36">
      <c r="B60" s="54"/>
      <c r="C60" s="227"/>
      <c r="D60" s="54"/>
      <c r="E60" s="227"/>
      <c r="K60" s="58"/>
      <c r="L60" s="58"/>
      <c r="M60" s="58"/>
      <c r="N60" s="58"/>
      <c r="AD60" s="17"/>
      <c r="AE60" s="17"/>
      <c r="AF60" s="17"/>
      <c r="AG60" s="17"/>
      <c r="AH60" s="17"/>
      <c r="AI60" s="17"/>
      <c r="AJ60" s="17"/>
    </row>
    <row r="61" spans="1:36">
      <c r="B61" s="54"/>
      <c r="E61" s="56"/>
      <c r="F61" s="58"/>
      <c r="K61" s="58"/>
      <c r="L61" s="58"/>
      <c r="M61" s="58"/>
      <c r="N61" s="58"/>
      <c r="AD61" s="17"/>
      <c r="AE61" s="17"/>
      <c r="AF61" s="17"/>
      <c r="AG61" s="17"/>
      <c r="AH61" s="17"/>
      <c r="AI61" s="17"/>
      <c r="AJ61" s="17"/>
    </row>
    <row r="62" spans="1:36">
      <c r="B62" s="54"/>
      <c r="AD62" s="17"/>
      <c r="AE62" s="17"/>
      <c r="AF62" s="17"/>
      <c r="AG62" s="17"/>
      <c r="AH62" s="17"/>
      <c r="AI62" s="17"/>
      <c r="AJ62" s="17"/>
    </row>
    <row r="63" spans="1:36">
      <c r="B63" s="54"/>
      <c r="M63" s="14"/>
      <c r="AD63" s="17"/>
      <c r="AE63" s="17"/>
      <c r="AF63" s="17"/>
      <c r="AG63" s="17"/>
      <c r="AH63" s="17"/>
      <c r="AI63" s="17"/>
      <c r="AJ63" s="17"/>
    </row>
    <row r="64" spans="1:36">
      <c r="C64" s="228"/>
      <c r="D64" s="228"/>
      <c r="E64" s="229"/>
      <c r="L64" s="228"/>
      <c r="M64" s="228"/>
      <c r="AD64" s="17"/>
      <c r="AE64" s="17"/>
      <c r="AF64" s="17"/>
      <c r="AG64" s="17"/>
      <c r="AH64" s="17"/>
      <c r="AI64" s="17"/>
      <c r="AJ64" s="17"/>
    </row>
    <row r="65" spans="3:36">
      <c r="C65" s="230"/>
      <c r="D65" s="231"/>
      <c r="E65" s="231"/>
      <c r="L65" s="231"/>
      <c r="M65" s="231"/>
      <c r="AD65" s="17"/>
      <c r="AE65" s="17"/>
      <c r="AF65" s="17"/>
      <c r="AG65" s="17"/>
      <c r="AH65" s="17"/>
      <c r="AI65" s="17"/>
      <c r="AJ65" s="17"/>
    </row>
    <row r="66" spans="3:36">
      <c r="C66" s="230"/>
      <c r="D66" s="231"/>
      <c r="E66" s="231"/>
      <c r="L66" s="231"/>
      <c r="M66" s="231"/>
      <c r="AD66" s="17"/>
      <c r="AE66" s="17"/>
      <c r="AF66" s="17"/>
      <c r="AG66" s="17"/>
      <c r="AH66" s="17"/>
      <c r="AI66" s="17"/>
      <c r="AJ66" s="17"/>
    </row>
    <row r="67" spans="3:36" ht="30">
      <c r="C67" s="285" t="s">
        <v>132</v>
      </c>
      <c r="D67" s="285" t="s">
        <v>133</v>
      </c>
      <c r="E67" s="286" t="str">
        <f>_xlfn.CONCAT("Cancer Risk with APF of ",$F$4)</f>
        <v>Cancer Risk with APF of 10</v>
      </c>
      <c r="K67" s="228"/>
      <c r="L67" s="285" t="s">
        <v>134</v>
      </c>
      <c r="M67" s="285" t="s">
        <v>92</v>
      </c>
      <c r="N67" s="285" t="s">
        <v>93</v>
      </c>
      <c r="T67" s="285" t="s">
        <v>135</v>
      </c>
      <c r="U67" s="285" t="s">
        <v>92</v>
      </c>
      <c r="V67" s="285" t="s">
        <v>93</v>
      </c>
      <c r="AD67" s="17"/>
      <c r="AE67" s="17"/>
      <c r="AF67" s="17"/>
      <c r="AG67" s="17"/>
      <c r="AH67" s="17"/>
      <c r="AI67" s="17"/>
      <c r="AJ67" s="17"/>
    </row>
    <row r="68" spans="3:36" ht="15">
      <c r="C68" s="287" t="s">
        <v>136</v>
      </c>
      <c r="D68" s="288">
        <f>$H$34</f>
        <v>0</v>
      </c>
      <c r="E68" s="288" t="str">
        <f>$I$32</f>
        <v xml:space="preserve">Worker </v>
      </c>
      <c r="K68" s="230"/>
      <c r="L68" s="287" t="str">
        <f>O32</f>
        <v>Worker No Gloves</v>
      </c>
      <c r="M68" s="288">
        <f>$O$33</f>
        <v>0</v>
      </c>
      <c r="N68" s="288">
        <f>$O$34</f>
        <v>0</v>
      </c>
      <c r="T68" s="287" t="s">
        <v>137</v>
      </c>
      <c r="U68" s="288">
        <f>W33</f>
        <v>0</v>
      </c>
      <c r="V68" s="288">
        <f>W34</f>
        <v>0</v>
      </c>
      <c r="AD68" s="17"/>
      <c r="AE68" s="17"/>
      <c r="AF68" s="17"/>
      <c r="AG68" s="17"/>
      <c r="AH68" s="17"/>
      <c r="AI68" s="17"/>
      <c r="AJ68" s="17"/>
    </row>
    <row r="69" spans="3:36" ht="15">
      <c r="C69" s="287" t="s">
        <v>138</v>
      </c>
      <c r="D69" s="288">
        <f>$H$33</f>
        <v>0</v>
      </c>
      <c r="E69" s="288">
        <f>$I$33</f>
        <v>0</v>
      </c>
      <c r="K69" s="232"/>
      <c r="L69" s="289" t="str">
        <f>Q31</f>
        <v>Gloved Scenarios</v>
      </c>
      <c r="M69" s="290">
        <f>$Q$33</f>
        <v>0</v>
      </c>
      <c r="N69" s="290">
        <f>$Q$34</f>
        <v>0</v>
      </c>
      <c r="T69" s="287" t="str">
        <f>Y31</f>
        <v>Respirator-Only Scenario: APF of 10</v>
      </c>
      <c r="U69" s="288">
        <f>Y33</f>
        <v>0</v>
      </c>
      <c r="V69" s="288">
        <f>Y34</f>
        <v>0</v>
      </c>
      <c r="AD69" s="17"/>
      <c r="AE69" s="17"/>
      <c r="AF69" s="17"/>
      <c r="AG69" s="17"/>
      <c r="AH69" s="17"/>
      <c r="AI69" s="17"/>
      <c r="AJ69" s="17"/>
    </row>
    <row r="70" spans="3:36" ht="15">
      <c r="C70" s="287" t="s">
        <v>139</v>
      </c>
      <c r="D70" s="288">
        <f>$G$34</f>
        <v>0</v>
      </c>
      <c r="E70" s="288">
        <f>$I$34</f>
        <v>0</v>
      </c>
      <c r="K70" s="230"/>
      <c r="L70" s="291"/>
      <c r="M70" s="292"/>
      <c r="N70" s="292"/>
      <c r="T70" s="293" t="str">
        <f>Z31</f>
        <v>Gloved-only Scenario: APF of 5</v>
      </c>
      <c r="U70" s="288">
        <f>Z33</f>
        <v>0</v>
      </c>
      <c r="V70" s="288">
        <f>Z34</f>
        <v>0</v>
      </c>
      <c r="AD70" s="17"/>
      <c r="AE70" s="17"/>
      <c r="AF70" s="17"/>
      <c r="AG70" s="17"/>
      <c r="AH70" s="17"/>
      <c r="AI70" s="17"/>
      <c r="AJ70" s="17"/>
    </row>
    <row r="71" spans="3:36" ht="15">
      <c r="C71" s="287" t="s">
        <v>140</v>
      </c>
      <c r="D71" s="288">
        <f>$G$33</f>
        <v>0</v>
      </c>
      <c r="E71" s="288">
        <f>$I$33</f>
        <v>0</v>
      </c>
      <c r="T71" s="287" t="str">
        <f>AA31</f>
        <v>Respirator and Glove Scenario</v>
      </c>
      <c r="U71" s="288">
        <f>AA33</f>
        <v>0</v>
      </c>
      <c r="V71" s="288">
        <f>AA34</f>
        <v>0</v>
      </c>
      <c r="AD71" s="17"/>
      <c r="AE71" s="17"/>
      <c r="AF71" s="17"/>
      <c r="AG71" s="17"/>
      <c r="AH71" s="17"/>
      <c r="AI71" s="17"/>
      <c r="AJ71" s="17"/>
    </row>
    <row r="72" spans="3:36">
      <c r="AD72" s="17"/>
      <c r="AE72" s="17"/>
      <c r="AF72" s="17"/>
      <c r="AG72" s="17"/>
      <c r="AH72" s="17"/>
      <c r="AI72" s="17"/>
      <c r="AJ72" s="17"/>
    </row>
    <row r="73" spans="3:36">
      <c r="AD73" s="17"/>
      <c r="AE73" s="17"/>
      <c r="AF73" s="17"/>
      <c r="AG73" s="17"/>
      <c r="AH73" s="17"/>
      <c r="AI73" s="17"/>
      <c r="AJ73" s="17"/>
    </row>
    <row r="74" spans="3:36">
      <c r="AD74" s="17"/>
      <c r="AE74" s="17"/>
      <c r="AF74" s="17"/>
      <c r="AG74" s="17"/>
      <c r="AH74" s="17"/>
      <c r="AI74" s="17"/>
      <c r="AJ74" s="17"/>
    </row>
    <row r="75" spans="3:36">
      <c r="AD75" s="17"/>
      <c r="AE75" s="17"/>
      <c r="AF75" s="17"/>
      <c r="AG75" s="17"/>
      <c r="AH75" s="17"/>
      <c r="AI75" s="17"/>
      <c r="AJ75" s="17"/>
    </row>
    <row r="76" spans="3:36">
      <c r="AD76" s="17"/>
      <c r="AE76" s="17"/>
      <c r="AF76" s="17"/>
      <c r="AG76" s="17"/>
      <c r="AH76" s="17"/>
      <c r="AI76" s="17"/>
      <c r="AJ76" s="17"/>
    </row>
    <row r="77" spans="3:36">
      <c r="AD77" s="17"/>
      <c r="AE77" s="17"/>
      <c r="AF77" s="17"/>
      <c r="AG77" s="17"/>
      <c r="AH77" s="17"/>
      <c r="AI77" s="17"/>
      <c r="AJ77" s="17"/>
    </row>
    <row r="78" spans="3:36">
      <c r="AD78" s="17"/>
      <c r="AE78" s="17"/>
      <c r="AF78" s="17"/>
      <c r="AG78" s="17"/>
      <c r="AH78" s="17"/>
      <c r="AI78" s="17"/>
      <c r="AJ78" s="17"/>
    </row>
    <row r="79" spans="3:36">
      <c r="AD79" s="17"/>
      <c r="AE79" s="17"/>
      <c r="AF79" s="17"/>
      <c r="AG79" s="17"/>
      <c r="AH79" s="17"/>
      <c r="AI79" s="17"/>
      <c r="AJ79" s="17"/>
    </row>
    <row r="80" spans="3:36">
      <c r="AD80" s="17"/>
      <c r="AE80" s="17"/>
      <c r="AF80" s="17"/>
      <c r="AG80" s="17"/>
      <c r="AH80" s="17"/>
      <c r="AI80" s="17"/>
      <c r="AJ80" s="17"/>
    </row>
    <row r="81" spans="30:36">
      <c r="AD81" s="17"/>
      <c r="AE81" s="17"/>
      <c r="AF81" s="17"/>
      <c r="AG81" s="17"/>
      <c r="AH81" s="17"/>
      <c r="AI81" s="17"/>
      <c r="AJ81" s="17"/>
    </row>
    <row r="82" spans="30:36">
      <c r="AD82" s="17"/>
      <c r="AE82" s="17"/>
      <c r="AF82" s="17"/>
      <c r="AG82" s="17"/>
      <c r="AH82" s="17"/>
      <c r="AI82" s="17"/>
      <c r="AJ82" s="17"/>
    </row>
    <row r="83" spans="30:36">
      <c r="AD83" s="17"/>
      <c r="AE83" s="17"/>
      <c r="AF83" s="17"/>
      <c r="AG83" s="17"/>
      <c r="AH83" s="17"/>
      <c r="AI83" s="17"/>
      <c r="AJ83" s="17"/>
    </row>
    <row r="84" spans="30:36">
      <c r="AD84" s="17"/>
      <c r="AE84" s="17"/>
      <c r="AF84" s="17"/>
      <c r="AG84" s="17"/>
      <c r="AH84" s="17"/>
      <c r="AI84" s="17"/>
      <c r="AJ84" s="17"/>
    </row>
    <row r="85" spans="30:36">
      <c r="AD85" s="17"/>
      <c r="AE85" s="17"/>
      <c r="AF85" s="17"/>
      <c r="AG85" s="17"/>
      <c r="AH85" s="17"/>
      <c r="AI85" s="17"/>
      <c r="AJ85" s="17"/>
    </row>
    <row r="86" spans="30:36">
      <c r="AD86" s="17"/>
      <c r="AE86" s="17"/>
      <c r="AF86" s="17"/>
      <c r="AG86" s="17"/>
      <c r="AH86" s="17"/>
      <c r="AI86" s="17"/>
      <c r="AJ86" s="17"/>
    </row>
    <row r="87" spans="30:36">
      <c r="AD87" s="17"/>
      <c r="AE87" s="17"/>
      <c r="AF87" s="17"/>
      <c r="AG87" s="17"/>
      <c r="AH87" s="17"/>
      <c r="AI87" s="17"/>
      <c r="AJ87" s="17"/>
    </row>
  </sheetData>
  <sheetProtection sheet="1" objects="1" scenarios="1"/>
  <dataConsolidate link="1"/>
  <mergeCells count="93">
    <mergeCell ref="C12:C13"/>
    <mergeCell ref="S10:S11"/>
    <mergeCell ref="S12:S13"/>
    <mergeCell ref="K12:K13"/>
    <mergeCell ref="O21:P21"/>
    <mergeCell ref="C16:C17"/>
    <mergeCell ref="C18:C19"/>
    <mergeCell ref="L18:L19"/>
    <mergeCell ref="G16:H16"/>
    <mergeCell ref="D18:D19"/>
    <mergeCell ref="O16:P16"/>
    <mergeCell ref="S15:V15"/>
    <mergeCell ref="O31:P31"/>
    <mergeCell ref="C28:C29"/>
    <mergeCell ref="C26:C27"/>
    <mergeCell ref="N26:N27"/>
    <mergeCell ref="F21:F22"/>
    <mergeCell ref="G21:H21"/>
    <mergeCell ref="K21:K22"/>
    <mergeCell ref="L21:L22"/>
    <mergeCell ref="M21:M22"/>
    <mergeCell ref="N21:N22"/>
    <mergeCell ref="D28:D29"/>
    <mergeCell ref="K28:K29"/>
    <mergeCell ref="L28:L29"/>
    <mergeCell ref="D26:D27"/>
    <mergeCell ref="G26:H26"/>
    <mergeCell ref="F26:F27"/>
    <mergeCell ref="C33:C34"/>
    <mergeCell ref="D33:D34"/>
    <mergeCell ref="M26:M27"/>
    <mergeCell ref="K16:K17"/>
    <mergeCell ref="L16:L17"/>
    <mergeCell ref="M16:M17"/>
    <mergeCell ref="K33:K34"/>
    <mergeCell ref="L33:L34"/>
    <mergeCell ref="G31:H31"/>
    <mergeCell ref="C23:C24"/>
    <mergeCell ref="K20:N20"/>
    <mergeCell ref="C21:C22"/>
    <mergeCell ref="D21:D22"/>
    <mergeCell ref="E21:E22"/>
    <mergeCell ref="N16:N17"/>
    <mergeCell ref="K18:K19"/>
    <mergeCell ref="E26:E27"/>
    <mergeCell ref="K26:K27"/>
    <mergeCell ref="D23:D24"/>
    <mergeCell ref="K23:K24"/>
    <mergeCell ref="L23:L24"/>
    <mergeCell ref="T8:T9"/>
    <mergeCell ref="C8:C9"/>
    <mergeCell ref="K8:K9"/>
    <mergeCell ref="L8:L9"/>
    <mergeCell ref="K10:K11"/>
    <mergeCell ref="S8:S9"/>
    <mergeCell ref="C10:C11"/>
    <mergeCell ref="D2:E2"/>
    <mergeCell ref="F16:F17"/>
    <mergeCell ref="D8:D9"/>
    <mergeCell ref="D16:D17"/>
    <mergeCell ref="E16:E17"/>
    <mergeCell ref="D4:E4"/>
    <mergeCell ref="D3:E3"/>
    <mergeCell ref="F2:G2"/>
    <mergeCell ref="S33:S34"/>
    <mergeCell ref="T33:T34"/>
    <mergeCell ref="V33:V34"/>
    <mergeCell ref="U16:U17"/>
    <mergeCell ref="V16:V17"/>
    <mergeCell ref="S23:S24"/>
    <mergeCell ref="T23:T24"/>
    <mergeCell ref="S20:V20"/>
    <mergeCell ref="S21:S22"/>
    <mergeCell ref="T21:T22"/>
    <mergeCell ref="U21:U22"/>
    <mergeCell ref="V21:V22"/>
    <mergeCell ref="O26:P26"/>
    <mergeCell ref="K15:N15"/>
    <mergeCell ref="L26:L27"/>
    <mergeCell ref="W16:X16"/>
    <mergeCell ref="W26:X26"/>
    <mergeCell ref="S16:S17"/>
    <mergeCell ref="T16:T17"/>
    <mergeCell ref="W31:X31"/>
    <mergeCell ref="S18:S19"/>
    <mergeCell ref="T18:T19"/>
    <mergeCell ref="S26:S27"/>
    <mergeCell ref="T26:T27"/>
    <mergeCell ref="U26:U27"/>
    <mergeCell ref="V26:V27"/>
    <mergeCell ref="S28:S29"/>
    <mergeCell ref="T28:T29"/>
    <mergeCell ref="W21:X21"/>
  </mergeCells>
  <phoneticPr fontId="2" type="noConversion"/>
  <conditionalFormatting sqref="C12">
    <cfRule type="cellIs" dxfId="517" priority="4" stopIfTrue="1" operator="equal">
      <formula>0</formula>
    </cfRule>
    <cfRule type="containsBlanks" dxfId="516" priority="5" stopIfTrue="1">
      <formula>LEN(TRIM(C12))=0</formula>
    </cfRule>
    <cfRule type="cellIs" dxfId="515" priority="6" operator="lessThan">
      <formula>0.1</formula>
    </cfRule>
  </conditionalFormatting>
  <conditionalFormatting sqref="D18 L18 G18:I20 O18:Q20 D23 L23 G23:I24 O23:Q24 D28 D33 L33 G33:I34">
    <cfRule type="containsBlanks" dxfId="514" priority="501" stopIfTrue="1">
      <formula>LEN(TRIM(D18))=0</formula>
    </cfRule>
    <cfRule type="cellIs" dxfId="513" priority="504" operator="greaterThanOrEqual">
      <formula>10</formula>
    </cfRule>
    <cfRule type="cellIs" dxfId="512" priority="503" operator="lessThan">
      <formula>10</formula>
    </cfRule>
    <cfRule type="cellIs" dxfId="511" priority="502" operator="lessThan">
      <formula>0.1</formula>
    </cfRule>
  </conditionalFormatting>
  <conditionalFormatting sqref="E10:H13 U10:X13">
    <cfRule type="cellIs" dxfId="510" priority="344" operator="between">
      <formula>1</formula>
      <formula>9.999</formula>
    </cfRule>
    <cfRule type="cellIs" dxfId="509" priority="346" operator="lessThan">
      <formula>0.1</formula>
    </cfRule>
    <cfRule type="cellIs" dxfId="508" priority="345" operator="between">
      <formula>0.1</formula>
      <formula>0.999</formula>
    </cfRule>
    <cfRule type="cellIs" dxfId="507" priority="342" operator="greaterThan">
      <formula>10000</formula>
    </cfRule>
    <cfRule type="cellIs" dxfId="506" priority="343" operator="between">
      <formula>10</formula>
      <formula>9999.999</formula>
    </cfRule>
  </conditionalFormatting>
  <conditionalFormatting sqref="E10:H13">
    <cfRule type="cellIs" dxfId="505" priority="221" operator="equal">
      <formula>0</formula>
    </cfRule>
  </conditionalFormatting>
  <conditionalFormatting sqref="G18:I20 G23:I24 G28:I29">
    <cfRule type="cellIs" dxfId="504" priority="506" operator="greaterThanOrEqual">
      <formula>$F18</formula>
    </cfRule>
    <cfRule type="cellIs" dxfId="503" priority="507" operator="lessThan">
      <formula>$F18</formula>
    </cfRule>
  </conditionalFormatting>
  <conditionalFormatting sqref="G28:I29">
    <cfRule type="cellIs" dxfId="502" priority="493" stopIfTrue="1" operator="equal">
      <formula>0</formula>
    </cfRule>
    <cfRule type="cellIs" dxfId="501" priority="495" operator="lessThan">
      <formula>0.1</formula>
    </cfRule>
    <cfRule type="containsBlanks" dxfId="500" priority="494" stopIfTrue="1">
      <formula>LEN(TRIM(G28))=0</formula>
    </cfRule>
    <cfRule type="cellIs" dxfId="499" priority="496" operator="lessThan">
      <formula>10</formula>
    </cfRule>
    <cfRule type="cellIs" dxfId="498" priority="497" operator="greaterThanOrEqual">
      <formula>10</formula>
    </cfRule>
  </conditionalFormatting>
  <conditionalFormatting sqref="G33:I34 O18:Q20 O23:Q24 D18 L18 G18:I20 D23 L23 G23:I24 D28 D33 L33">
    <cfRule type="cellIs" dxfId="497" priority="500" stopIfTrue="1" operator="equal">
      <formula>0</formula>
    </cfRule>
  </conditionalFormatting>
  <conditionalFormatting sqref="G33:I34">
    <cfRule type="cellIs" dxfId="496" priority="228" operator="greaterThanOrEqual">
      <formula>$F33</formula>
    </cfRule>
    <cfRule type="cellIs" dxfId="495" priority="227" operator="lessThan">
      <formula>$F33</formula>
    </cfRule>
    <cfRule type="cellIs" dxfId="494" priority="608" operator="greaterThan">
      <formula>0.0001</formula>
    </cfRule>
    <cfRule type="cellIs" dxfId="493" priority="226" operator="greaterThanOrEqual">
      <formula>10</formula>
    </cfRule>
    <cfRule type="cellIs" dxfId="492" priority="222" stopIfTrue="1" operator="equal">
      <formula>0</formula>
    </cfRule>
    <cfRule type="containsBlanks" dxfId="491" priority="223" stopIfTrue="1">
      <formula>LEN(TRIM(G33))=0</formula>
    </cfRule>
    <cfRule type="cellIs" dxfId="490" priority="224" operator="lessThan">
      <formula>0.1</formula>
    </cfRule>
    <cfRule type="cellIs" dxfId="489" priority="225" operator="lessThan">
      <formula>10</formula>
    </cfRule>
    <cfRule type="cellIs" dxfId="488" priority="607" operator="lessThanOrEqual">
      <formula>0.0001</formula>
    </cfRule>
  </conditionalFormatting>
  <conditionalFormatting sqref="K12">
    <cfRule type="containsBlanks" dxfId="487" priority="167" stopIfTrue="1">
      <formula>LEN(TRIM(K12))=0</formula>
    </cfRule>
    <cfRule type="cellIs" dxfId="486" priority="168" operator="lessThan">
      <formula>0.1</formula>
    </cfRule>
    <cfRule type="cellIs" dxfId="485" priority="166" stopIfTrue="1" operator="equal">
      <formula>0</formula>
    </cfRule>
  </conditionalFormatting>
  <conditionalFormatting sqref="L28">
    <cfRule type="cellIs" dxfId="484" priority="463" operator="lessThan">
      <formula>10</formula>
    </cfRule>
    <cfRule type="cellIs" dxfId="483" priority="460" stopIfTrue="1" operator="equal">
      <formula>0</formula>
    </cfRule>
    <cfRule type="containsBlanks" dxfId="482" priority="461" stopIfTrue="1">
      <formula>LEN(TRIM(L28))=0</formula>
    </cfRule>
    <cfRule type="cellIs" dxfId="481" priority="462" operator="lessThan">
      <formula>0.1</formula>
    </cfRule>
    <cfRule type="cellIs" dxfId="480" priority="464" operator="greaterThanOrEqual">
      <formula>10</formula>
    </cfRule>
  </conditionalFormatting>
  <conditionalFormatting sqref="M10:P13">
    <cfRule type="cellIs" dxfId="479" priority="12" operator="lessThan">
      <formula>0.1</formula>
    </cfRule>
    <cfRule type="cellIs" dxfId="478" priority="9" operator="between">
      <formula>10</formula>
      <formula>9999.999</formula>
    </cfRule>
    <cfRule type="cellIs" dxfId="477" priority="7" operator="equal">
      <formula>0</formula>
    </cfRule>
    <cfRule type="cellIs" dxfId="476" priority="8" operator="greaterThan">
      <formula>10000</formula>
    </cfRule>
    <cfRule type="cellIs" dxfId="475" priority="10" operator="between">
      <formula>1</formula>
      <formula>9.999</formula>
    </cfRule>
    <cfRule type="cellIs" dxfId="474" priority="11" operator="between">
      <formula>0.1</formula>
      <formula>0.999</formula>
    </cfRule>
  </conditionalFormatting>
  <conditionalFormatting sqref="O28:P29">
    <cfRule type="cellIs" dxfId="473" priority="116" operator="lessThan">
      <formula>10</formula>
    </cfRule>
    <cfRule type="cellIs" dxfId="472" priority="117" operator="greaterThanOrEqual">
      <formula>10</formula>
    </cfRule>
    <cfRule type="containsBlanks" dxfId="471" priority="114" stopIfTrue="1">
      <formula>LEN(TRIM(O28))=0</formula>
    </cfRule>
    <cfRule type="cellIs" dxfId="470" priority="113" stopIfTrue="1" operator="equal">
      <formula>0</formula>
    </cfRule>
    <cfRule type="cellIs" dxfId="469" priority="115" operator="lessThan">
      <formula>0.1</formula>
    </cfRule>
  </conditionalFormatting>
  <conditionalFormatting sqref="O18:Q18 O20:Q20">
    <cfRule type="cellIs" dxfId="468" priority="557" operator="greaterThanOrEqual">
      <formula>$N18</formula>
    </cfRule>
    <cfRule type="cellIs" dxfId="467" priority="558" operator="lessThan">
      <formula>$N18</formula>
    </cfRule>
  </conditionalFormatting>
  <conditionalFormatting sqref="O18:Q19 O23:Q24 O28:Q29">
    <cfRule type="cellIs" dxfId="466" priority="212" operator="lessThan">
      <formula>$N18</formula>
    </cfRule>
    <cfRule type="cellIs" dxfId="465" priority="153" stopIfTrue="1" operator="equal">
      <formula>0</formula>
    </cfRule>
  </conditionalFormatting>
  <conditionalFormatting sqref="O18:Q19 O23:Q24">
    <cfRule type="cellIs" dxfId="464" priority="214" operator="lessThan">
      <formula>10</formula>
    </cfRule>
  </conditionalFormatting>
  <conditionalFormatting sqref="O19:Q19">
    <cfRule type="cellIs" dxfId="463" priority="215" operator="greaterThanOrEqual">
      <formula>10</formula>
    </cfRule>
    <cfRule type="cellIs" dxfId="462" priority="213" operator="lessThan">
      <formula>0.1</formula>
    </cfRule>
  </conditionalFormatting>
  <conditionalFormatting sqref="O23:Q24 O28:Q29 O18:Q19">
    <cfRule type="containsBlanks" dxfId="461" priority="152" stopIfTrue="1">
      <formula>LEN(TRIM(O18))=0</formula>
    </cfRule>
  </conditionalFormatting>
  <conditionalFormatting sqref="O28:Q29 O18:Q19 O23:Q24">
    <cfRule type="cellIs" dxfId="460" priority="211" operator="greaterThanOrEqual">
      <formula>$N18</formula>
    </cfRule>
  </conditionalFormatting>
  <conditionalFormatting sqref="O28:Q29">
    <cfRule type="cellIs" dxfId="459" priority="177" operator="lessThan">
      <formula>10</formula>
    </cfRule>
    <cfRule type="cellIs" dxfId="458" priority="178" operator="greaterThanOrEqual">
      <formula>10</formula>
    </cfRule>
    <cfRule type="containsBlanks" dxfId="457" priority="156" stopIfTrue="1">
      <formula>LEN(TRIM(O28))=0</formula>
    </cfRule>
    <cfRule type="cellIs" dxfId="456" priority="157" operator="lessThan">
      <formula>0.1</formula>
    </cfRule>
    <cfRule type="cellIs" dxfId="455" priority="159" operator="greaterThanOrEqual">
      <formula>10</formula>
    </cfRule>
    <cfRule type="cellIs" dxfId="454" priority="158" operator="lessThan">
      <formula>10</formula>
    </cfRule>
    <cfRule type="containsBlanks" dxfId="453" priority="175" stopIfTrue="1">
      <formula>LEN(TRIM(O28))=0</formula>
    </cfRule>
    <cfRule type="cellIs" dxfId="452" priority="176" operator="lessThan">
      <formula>0.1</formula>
    </cfRule>
    <cfRule type="cellIs" dxfId="451" priority="174" stopIfTrue="1" operator="equal">
      <formula>0</formula>
    </cfRule>
  </conditionalFormatting>
  <conditionalFormatting sqref="O33:Q34">
    <cfRule type="containsBlanks" dxfId="450" priority="14" stopIfTrue="1">
      <formula>LEN(TRIM(O33))=0</formula>
    </cfRule>
    <cfRule type="cellIs" dxfId="449" priority="25" operator="lessThanOrEqual">
      <formula>0.0001</formula>
    </cfRule>
    <cfRule type="cellIs" dxfId="448" priority="13" stopIfTrue="1" operator="equal">
      <formula>0</formula>
    </cfRule>
    <cfRule type="cellIs" dxfId="447" priority="15" operator="lessThan">
      <formula>0.1</formula>
    </cfRule>
    <cfRule type="cellIs" dxfId="446" priority="16" operator="lessThan">
      <formula>10</formula>
    </cfRule>
    <cfRule type="cellIs" dxfId="445" priority="17" operator="greaterThanOrEqual">
      <formula>10</formula>
    </cfRule>
    <cfRule type="cellIs" dxfId="444" priority="18" operator="lessThan">
      <formula>$F33</formula>
    </cfRule>
    <cfRule type="cellIs" dxfId="443" priority="19" operator="greaterThanOrEqual">
      <formula>$F33</formula>
    </cfRule>
    <cfRule type="cellIs" dxfId="442" priority="20" stopIfTrue="1" operator="equal">
      <formula>0</formula>
    </cfRule>
    <cfRule type="containsBlanks" dxfId="441" priority="21" stopIfTrue="1">
      <formula>LEN(TRIM(O33))=0</formula>
    </cfRule>
    <cfRule type="cellIs" dxfId="440" priority="22" operator="lessThan">
      <formula>0.1</formula>
    </cfRule>
    <cfRule type="cellIs" dxfId="439" priority="23" operator="lessThan">
      <formula>10</formula>
    </cfRule>
    <cfRule type="cellIs" dxfId="438" priority="24" operator="greaterThanOrEqual">
      <formula>10</formula>
    </cfRule>
    <cfRule type="cellIs" dxfId="437" priority="26" operator="greaterThan">
      <formula>0.0001</formula>
    </cfRule>
  </conditionalFormatting>
  <conditionalFormatting sqref="P22">
    <cfRule type="cellIs" dxfId="436" priority="162" stopIfTrue="1" operator="equal">
      <formula>0</formula>
    </cfRule>
    <cfRule type="containsBlanks" dxfId="435" priority="163" stopIfTrue="1">
      <formula>LEN(TRIM(P22))=0</formula>
    </cfRule>
    <cfRule type="cellIs" dxfId="434" priority="164" operator="lessThan">
      <formula>0.1</formula>
    </cfRule>
  </conditionalFormatting>
  <conditionalFormatting sqref="P23:P24">
    <cfRule type="cellIs" dxfId="433" priority="150" operator="greaterThanOrEqual">
      <formula>$N23</formula>
    </cfRule>
    <cfRule type="cellIs" dxfId="432" priority="151" operator="lessThan">
      <formula>$N23</formula>
    </cfRule>
  </conditionalFormatting>
  <conditionalFormatting sqref="P24">
    <cfRule type="cellIs" dxfId="431" priority="141" operator="greaterThanOrEqual">
      <formula>$N24</formula>
    </cfRule>
    <cfRule type="cellIs" dxfId="430" priority="142" operator="lessThan">
      <formula>$N24</formula>
    </cfRule>
    <cfRule type="cellIs" dxfId="429" priority="143" stopIfTrue="1" operator="equal">
      <formula>0</formula>
    </cfRule>
    <cfRule type="containsBlanks" dxfId="428" priority="144" stopIfTrue="1">
      <formula>LEN(TRIM(P24))=0</formula>
    </cfRule>
    <cfRule type="cellIs" dxfId="427" priority="145" operator="lessThan">
      <formula>0.1</formula>
    </cfRule>
    <cfRule type="cellIs" dxfId="426" priority="146" operator="lessThan">
      <formula>10</formula>
    </cfRule>
    <cfRule type="cellIs" dxfId="425" priority="147" operator="greaterThanOrEqual">
      <formula>10</formula>
    </cfRule>
    <cfRule type="cellIs" dxfId="424" priority="148" operator="greaterThanOrEqual">
      <formula>$N24</formula>
    </cfRule>
    <cfRule type="cellIs" dxfId="423" priority="149" operator="lessThan">
      <formula>$N24</formula>
    </cfRule>
  </conditionalFormatting>
  <conditionalFormatting sqref="P28:P29">
    <cfRule type="cellIs" dxfId="422" priority="118" operator="greaterThanOrEqual">
      <formula>$N28</formula>
    </cfRule>
    <cfRule type="cellIs" dxfId="421" priority="137" operator="lessThan">
      <formula>10</formula>
    </cfRule>
    <cfRule type="cellIs" dxfId="420" priority="138" operator="greaterThanOrEqual">
      <formula>10</formula>
    </cfRule>
    <cfRule type="cellIs" dxfId="419" priority="139" operator="greaterThanOrEqual">
      <formula>$N28</formula>
    </cfRule>
    <cfRule type="cellIs" dxfId="418" priority="140" operator="lessThan">
      <formula>$N28</formula>
    </cfRule>
    <cfRule type="cellIs" dxfId="417" priority="136" operator="lessThan">
      <formula>0.1</formula>
    </cfRule>
    <cfRule type="cellIs" dxfId="416" priority="123" operator="lessThan">
      <formula>10</formula>
    </cfRule>
    <cfRule type="containsBlanks" dxfId="415" priority="135" stopIfTrue="1">
      <formula>LEN(TRIM(P28))=0</formula>
    </cfRule>
    <cfRule type="cellIs" dxfId="414" priority="134" stopIfTrue="1" operator="equal">
      <formula>0</formula>
    </cfRule>
    <cfRule type="cellIs" dxfId="413" priority="124" operator="greaterThanOrEqual">
      <formula>10</formula>
    </cfRule>
    <cfRule type="cellIs" dxfId="412" priority="122" operator="lessThan">
      <formula>0.1</formula>
    </cfRule>
    <cfRule type="containsBlanks" dxfId="411" priority="121" stopIfTrue="1">
      <formula>LEN(TRIM(P28))=0</formula>
    </cfRule>
    <cfRule type="cellIs" dxfId="410" priority="120" stopIfTrue="1" operator="equal">
      <formula>0</formula>
    </cfRule>
    <cfRule type="cellIs" dxfId="409" priority="119" operator="lessThan">
      <formula>$N28</formula>
    </cfRule>
  </conditionalFormatting>
  <conditionalFormatting sqref="P29">
    <cfRule type="containsBlanks" dxfId="408" priority="128" stopIfTrue="1">
      <formula>LEN(TRIM(P29))=0</formula>
    </cfRule>
    <cfRule type="cellIs" dxfId="407" priority="129" operator="lessThan">
      <formula>0.1</formula>
    </cfRule>
    <cfRule type="cellIs" dxfId="406" priority="131" operator="greaterThanOrEqual">
      <formula>10</formula>
    </cfRule>
    <cfRule type="cellIs" dxfId="405" priority="132" operator="greaterThanOrEqual">
      <formula>$N29</formula>
    </cfRule>
    <cfRule type="cellIs" dxfId="404" priority="133" operator="lessThan">
      <formula>$N29</formula>
    </cfRule>
    <cfRule type="cellIs" dxfId="403" priority="130" operator="lessThan">
      <formula>10</formula>
    </cfRule>
    <cfRule type="cellIs" dxfId="402" priority="125" operator="greaterThanOrEqual">
      <formula>$N29</formula>
    </cfRule>
    <cfRule type="cellIs" dxfId="401" priority="126" operator="lessThan">
      <formula>$N29</formula>
    </cfRule>
    <cfRule type="cellIs" dxfId="400" priority="127" stopIfTrue="1" operator="equal">
      <formula>0</formula>
    </cfRule>
  </conditionalFormatting>
  <conditionalFormatting sqref="R33:R34 AB33:AB34">
    <cfRule type="containsBlanks" dxfId="399" priority="949" stopIfTrue="1">
      <formula>LEN(TRIM(R33))=0</formula>
    </cfRule>
    <cfRule type="cellIs" dxfId="398" priority="800" operator="equal">
      <formula>0</formula>
    </cfRule>
  </conditionalFormatting>
  <conditionalFormatting sqref="S12">
    <cfRule type="cellIs" dxfId="397" priority="3" operator="lessThan">
      <formula>0.1</formula>
    </cfRule>
    <cfRule type="containsBlanks" dxfId="396" priority="2" stopIfTrue="1">
      <formula>LEN(TRIM(S12))=0</formula>
    </cfRule>
    <cfRule type="cellIs" dxfId="395" priority="1" stopIfTrue="1" operator="equal">
      <formula>0</formula>
    </cfRule>
  </conditionalFormatting>
  <conditionalFormatting sqref="T18 T33">
    <cfRule type="cellIs" dxfId="394" priority="450" operator="greaterThanOrEqual">
      <formula>10</formula>
    </cfRule>
    <cfRule type="cellIs" dxfId="393" priority="449" operator="lessThan">
      <formula>10</formula>
    </cfRule>
    <cfRule type="cellIs" dxfId="392" priority="448" operator="lessThan">
      <formula>0.1</formula>
    </cfRule>
    <cfRule type="containsBlanks" dxfId="391" priority="447" stopIfTrue="1">
      <formula>LEN(TRIM(T18))=0</formula>
    </cfRule>
  </conditionalFormatting>
  <conditionalFormatting sqref="T23">
    <cfRule type="containsBlanks" dxfId="390" priority="328" stopIfTrue="1">
      <formula>LEN(TRIM(T23))=0</formula>
    </cfRule>
    <cfRule type="cellIs" dxfId="389" priority="331" operator="greaterThanOrEqual">
      <formula>10</formula>
    </cfRule>
    <cfRule type="cellIs" dxfId="388" priority="327" stopIfTrue="1" operator="equal">
      <formula>0</formula>
    </cfRule>
    <cfRule type="cellIs" dxfId="387" priority="329" operator="lessThan">
      <formula>0.1</formula>
    </cfRule>
    <cfRule type="cellIs" dxfId="386" priority="330" operator="lessThan">
      <formula>10</formula>
    </cfRule>
  </conditionalFormatting>
  <conditionalFormatting sqref="T28">
    <cfRule type="cellIs" dxfId="385" priority="440" operator="greaterThanOrEqual">
      <formula>10</formula>
    </cfRule>
    <cfRule type="cellIs" dxfId="384" priority="438" operator="lessThan">
      <formula>0.1</formula>
    </cfRule>
    <cfRule type="cellIs" dxfId="383" priority="439" operator="lessThan">
      <formula>10</formula>
    </cfRule>
    <cfRule type="containsBlanks" dxfId="382" priority="437" stopIfTrue="1">
      <formula>LEN(TRIM(T28))=0</formula>
    </cfRule>
    <cfRule type="cellIs" dxfId="381" priority="436" stopIfTrue="1" operator="equal">
      <formula>0</formula>
    </cfRule>
  </conditionalFormatting>
  <conditionalFormatting sqref="T33 T18">
    <cfRule type="cellIs" dxfId="380" priority="446" stopIfTrue="1" operator="equal">
      <formula>0</formula>
    </cfRule>
  </conditionalFormatting>
  <conditionalFormatting sqref="T33">
    <cfRule type="cellIs" dxfId="379" priority="75" operator="lessThan">
      <formula>0.1</formula>
    </cfRule>
    <cfRule type="containsBlanks" dxfId="378" priority="74" stopIfTrue="1">
      <formula>LEN(TRIM(T33))=0</formula>
    </cfRule>
    <cfRule type="cellIs" dxfId="377" priority="73" stopIfTrue="1" operator="equal">
      <formula>0</formula>
    </cfRule>
    <cfRule type="cellIs" dxfId="376" priority="77" operator="greaterThanOrEqual">
      <formula>10</formula>
    </cfRule>
    <cfRule type="cellIs" dxfId="375" priority="76" operator="lessThan">
      <formula>10</formula>
    </cfRule>
    <cfRule type="cellIs" dxfId="374" priority="262" operator="lessThan">
      <formula>10</formula>
    </cfRule>
    <cfRule type="cellIs" dxfId="373" priority="259" stopIfTrue="1" operator="equal">
      <formula>0</formula>
    </cfRule>
    <cfRule type="containsBlanks" dxfId="372" priority="260" stopIfTrue="1">
      <formula>LEN(TRIM(T33))=0</formula>
    </cfRule>
    <cfRule type="cellIs" dxfId="371" priority="261" operator="lessThan">
      <formula>0.1</formula>
    </cfRule>
    <cfRule type="cellIs" dxfId="370" priority="263" operator="greaterThanOrEqual">
      <formula>10</formula>
    </cfRule>
  </conditionalFormatting>
  <conditionalFormatting sqref="W18:Y20 W23:Y24 W28:Y29">
    <cfRule type="cellIs" dxfId="369" priority="432" operator="greaterThanOrEqual">
      <formula>$F18</formula>
    </cfRule>
    <cfRule type="cellIs" dxfId="368" priority="433" operator="lessThan">
      <formula>$F18</formula>
    </cfRule>
  </conditionalFormatting>
  <conditionalFormatting sqref="W18:AA20 W23:AA24">
    <cfRule type="cellIs" dxfId="367" priority="403" operator="lessThan">
      <formula>0.1</formula>
    </cfRule>
    <cfRule type="cellIs" dxfId="366" priority="405" operator="greaterThanOrEqual">
      <formula>10</formula>
    </cfRule>
    <cfRule type="cellIs" dxfId="365" priority="401" stopIfTrue="1" operator="equal">
      <formula>0</formula>
    </cfRule>
    <cfRule type="cellIs" dxfId="364" priority="404" operator="lessThan">
      <formula>10</formula>
    </cfRule>
    <cfRule type="containsBlanks" dxfId="363" priority="402" stopIfTrue="1">
      <formula>LEN(TRIM(W18))=0</formula>
    </cfRule>
  </conditionalFormatting>
  <conditionalFormatting sqref="W28:AA29">
    <cfRule type="cellIs" dxfId="362" priority="387" operator="lessThan">
      <formula>10</formula>
    </cfRule>
    <cfRule type="cellIs" dxfId="361" priority="388" operator="greaterThanOrEqual">
      <formula>10</formula>
    </cfRule>
    <cfRule type="cellIs" dxfId="360" priority="386" operator="lessThan">
      <formula>0.1</formula>
    </cfRule>
    <cfRule type="cellIs" dxfId="359" priority="384" stopIfTrue="1" operator="equal">
      <formula>0</formula>
    </cfRule>
    <cfRule type="containsBlanks" dxfId="358" priority="385" stopIfTrue="1">
      <formula>LEN(TRIM(W28))=0</formula>
    </cfRule>
  </conditionalFormatting>
  <conditionalFormatting sqref="W33:AA34">
    <cfRule type="cellIs" dxfId="357" priority="231" operator="lessThan">
      <formula>0.1</formula>
    </cfRule>
    <cfRule type="cellIs" dxfId="356" priority="232" operator="lessThan">
      <formula>10</formula>
    </cfRule>
    <cfRule type="cellIs" dxfId="355" priority="233" operator="greaterThanOrEqual">
      <formula>10</formula>
    </cfRule>
    <cfRule type="cellIs" dxfId="354" priority="234" operator="lessThan">
      <formula>$F33</formula>
    </cfRule>
    <cfRule type="cellIs" dxfId="353" priority="235" operator="greaterThanOrEqual">
      <formula>$F33</formula>
    </cfRule>
    <cfRule type="cellIs" dxfId="352" priority="229" stopIfTrue="1" operator="equal">
      <formula>0</formula>
    </cfRule>
    <cfRule type="containsBlanks" dxfId="351" priority="230" stopIfTrue="1">
      <formula>LEN(TRIM(W33))=0</formula>
    </cfRule>
  </conditionalFormatting>
  <conditionalFormatting sqref="Y28:Y29">
    <cfRule type="cellIs" dxfId="350" priority="370" operator="lessThan">
      <formula>0.1</formula>
    </cfRule>
    <cfRule type="cellIs" dxfId="349" priority="371" operator="lessThan">
      <formula>10</formula>
    </cfRule>
    <cfRule type="cellIs" dxfId="348" priority="372" operator="greaterThanOrEqual">
      <formula>10</formula>
    </cfRule>
    <cfRule type="cellIs" dxfId="347" priority="368" stopIfTrue="1" operator="equal">
      <formula>0</formula>
    </cfRule>
    <cfRule type="containsBlanks" dxfId="346" priority="369" stopIfTrue="1">
      <formula>LEN(TRIM(Y28))=0</formula>
    </cfRule>
  </conditionalFormatting>
  <conditionalFormatting sqref="Y28:AA28">
    <cfRule type="cellIs" dxfId="345" priority="312" operator="greaterThanOrEqual">
      <formula>10</formula>
    </cfRule>
    <cfRule type="cellIs" dxfId="344" priority="311" operator="lessThan">
      <formula>10</formula>
    </cfRule>
    <cfRule type="cellIs" dxfId="343" priority="310" operator="lessThan">
      <formula>0.1</formula>
    </cfRule>
    <cfRule type="containsBlanks" dxfId="342" priority="309" stopIfTrue="1">
      <formula>LEN(TRIM(Y28))=0</formula>
    </cfRule>
    <cfRule type="cellIs" dxfId="341" priority="308" stopIfTrue="1" operator="equal">
      <formula>0</formula>
    </cfRule>
  </conditionalFormatting>
  <conditionalFormatting sqref="Y28:AA29">
    <cfRule type="cellIs" dxfId="340" priority="301" stopIfTrue="1" operator="equal">
      <formula>0</formula>
    </cfRule>
    <cfRule type="containsBlanks" dxfId="339" priority="302" stopIfTrue="1">
      <formula>LEN(TRIM(Y28))=0</formula>
    </cfRule>
    <cfRule type="cellIs" dxfId="338" priority="303" operator="lessThan">
      <formula>0.1</formula>
    </cfRule>
    <cfRule type="cellIs" dxfId="337" priority="304" operator="lessThan">
      <formula>10</formula>
    </cfRule>
    <cfRule type="cellIs" dxfId="336" priority="305" operator="greaterThanOrEqual">
      <formula>10</formula>
    </cfRule>
  </conditionalFormatting>
  <conditionalFormatting sqref="Z18:Z20 Z23:Z24 Z28:Z29">
    <cfRule type="cellIs" dxfId="335" priority="418" operator="greaterThanOrEqual">
      <formula>$N18</formula>
    </cfRule>
    <cfRule type="cellIs" dxfId="334" priority="419" operator="lessThan">
      <formula>$N18</formula>
    </cfRule>
  </conditionalFormatting>
  <conditionalFormatting sqref="AA18:AA20 AA23:AA24">
    <cfRule type="cellIs" dxfId="333" priority="407" operator="lessThan">
      <formula>$F18</formula>
    </cfRule>
    <cfRule type="cellIs" dxfId="332" priority="406" operator="greaterThanOrEqual">
      <formula>$F18</formula>
    </cfRule>
  </conditionalFormatting>
  <conditionalFormatting sqref="AA28">
    <cfRule type="cellIs" dxfId="331" priority="314" operator="lessThan">
      <formula>$F28</formula>
    </cfRule>
    <cfRule type="cellIs" dxfId="330" priority="313" operator="greaterThanOrEqual">
      <formula>$F28</formula>
    </cfRule>
  </conditionalFormatting>
  <conditionalFormatting sqref="AA28:AA29">
    <cfRule type="cellIs" dxfId="329" priority="390" operator="lessThan">
      <formula>$F28</formula>
    </cfRule>
    <cfRule type="cellIs" dxfId="328" priority="307" operator="lessThan">
      <formula>$F28</formula>
    </cfRule>
    <cfRule type="cellIs" dxfId="327" priority="389" operator="greaterThanOrEqual">
      <formula>$F28</formula>
    </cfRule>
    <cfRule type="cellIs" dxfId="326" priority="306" operator="greaterThanOrEqual">
      <formula>$F28</formula>
    </cfRule>
  </conditionalFormatting>
  <dataValidations count="1">
    <dataValidation allowBlank="1" showErrorMessage="1" sqref="F14:H14 C8 K8 C12 S8 E12" xr:uid="{00000000-0002-0000-0200-000005000000}"/>
  </dataValidations>
  <pageMargins left="0.7" right="0.7" top="0.75" bottom="0.75" header="0.3" footer="0.3"/>
  <pageSetup orientation="portrait" r:id="rId1"/>
  <ignoredErrors>
    <ignoredError sqref="D4" unlockedFormula="1"/>
  </ignoredError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B0688B23-6125-49FA-9B9F-BE3A00B4E2DD}">
          <x14:formula1>
            <xm:f>'List Values'!$D$16:$D$20</xm:f>
          </x14:formula1>
          <xm:sqref>F4</xm:sqref>
        </x14:dataValidation>
        <x14:dataValidation type="list" allowBlank="1" showInputMessage="1" showErrorMessage="1" xr:uid="{44E4887F-EC09-4DD3-A7BB-3FED90528BBA}">
          <x14:formula1>
            <xm:f>'List Values'!$D$23:$D$25</xm:f>
          </x14:formula1>
          <xm:sqref>G4</xm:sqref>
        </x14:dataValidation>
        <x14:dataValidation type="list" allowBlank="1" showInputMessage="1" showErrorMessage="1" xr:uid="{7A257FB3-03C7-4DEF-9441-F0399894DF14}">
          <x14:formula1>
            <xm:f>'List Values'!$B$2:$B$18</xm:f>
          </x14:formula1>
          <xm:sqref>C4</xm:sqref>
        </x14:dataValidation>
        <x14:dataValidation type="list" allowBlank="1" showInputMessage="1" showErrorMessage="1" xr:uid="{3D820074-6605-408F-8FB7-476692367AAF}">
          <x14:formula1>
            <xm:f>'List Values'!D6:D7</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3F8EF-0238-48DF-B0F9-9BD2EA206E1A}">
  <sheetPr codeName="Sheet11">
    <tabColor rgb="FF92D050"/>
  </sheetPr>
  <dimension ref="A1:V79"/>
  <sheetViews>
    <sheetView workbookViewId="0"/>
  </sheetViews>
  <sheetFormatPr defaultColWidth="8.85546875" defaultRowHeight="12.75"/>
  <cols>
    <col min="1" max="1" width="2.140625" style="17" customWidth="1"/>
    <col min="2" max="2" width="8.42578125" style="14" customWidth="1"/>
    <col min="3" max="3" width="20.85546875" style="15" customWidth="1"/>
    <col min="4" max="4" width="15.42578125" style="16" customWidth="1"/>
    <col min="5" max="5" width="11.42578125" style="15" customWidth="1"/>
    <col min="6" max="6" width="11.5703125" style="15" customWidth="1"/>
    <col min="7" max="7" width="2.42578125" style="17" customWidth="1"/>
    <col min="8" max="8" width="10.42578125" style="17" customWidth="1"/>
    <col min="9" max="9" width="9.85546875" style="15" customWidth="1"/>
    <col min="10" max="10" width="10.140625" style="17" bestFit="1" customWidth="1"/>
    <col min="11" max="11" width="14.42578125" style="17" customWidth="1"/>
    <col min="12" max="12" width="22.5703125" style="17" customWidth="1"/>
    <col min="13" max="13" width="18.140625" style="17" customWidth="1"/>
    <col min="14" max="14" width="18.85546875" style="17" customWidth="1"/>
    <col min="15" max="15" width="21.140625" style="17" customWidth="1"/>
    <col min="16" max="17" width="18.85546875" style="17" customWidth="1"/>
    <col min="18" max="18" width="23.140625" style="17" customWidth="1"/>
    <col min="19" max="19" width="18.140625" style="17" customWidth="1"/>
    <col min="20" max="20" width="21.140625" style="17" customWidth="1"/>
    <col min="21" max="21" width="17.140625" style="17" customWidth="1"/>
    <col min="22" max="22" width="17.5703125" style="17" customWidth="1"/>
    <col min="23" max="23" width="16.85546875" style="17" customWidth="1"/>
    <col min="24" max="24" width="17" style="17" customWidth="1"/>
    <col min="25" max="25" width="13.140625" style="17" customWidth="1"/>
    <col min="26" max="16384" width="8.85546875" style="17"/>
  </cols>
  <sheetData>
    <row r="1" spans="2:22" ht="13.5" thickBot="1"/>
    <row r="2" spans="2:22" ht="27.75" customHeight="1" thickBot="1">
      <c r="C2" s="98" t="s">
        <v>64</v>
      </c>
      <c r="D2" s="559" t="s">
        <v>65</v>
      </c>
      <c r="E2" s="560"/>
      <c r="F2" s="18" t="s">
        <v>67</v>
      </c>
      <c r="L2" s="204" t="s">
        <v>141</v>
      </c>
      <c r="M2" s="204"/>
      <c r="N2" s="28"/>
      <c r="O2" s="19"/>
      <c r="P2" s="21"/>
      <c r="Q2" s="21"/>
      <c r="S2" s="15"/>
      <c r="T2" s="21"/>
      <c r="U2" s="19"/>
      <c r="V2" s="19"/>
    </row>
    <row r="3" spans="2:22" ht="39" thickBot="1">
      <c r="C3" s="99" t="s">
        <v>68</v>
      </c>
      <c r="D3" s="488" t="s">
        <v>69</v>
      </c>
      <c r="E3" s="503"/>
      <c r="F3" s="102" t="s">
        <v>72</v>
      </c>
      <c r="G3" s="15"/>
      <c r="I3" s="17"/>
      <c r="K3" s="205"/>
      <c r="L3" s="205" t="s">
        <v>77</v>
      </c>
    </row>
    <row r="4" spans="2:22" ht="25.5">
      <c r="C4" s="23" t="s">
        <v>142</v>
      </c>
      <c r="D4" s="501" t="str">
        <f>_xlfn.XLOOKUP($C$4,Inhalation_Exp[OES],Inhalation_Exp[Data Type])</f>
        <v>Monitoring Data</v>
      </c>
      <c r="E4" s="567"/>
      <c r="F4" s="105" t="s">
        <v>74</v>
      </c>
      <c r="G4" s="15"/>
      <c r="H4" s="15"/>
      <c r="L4" s="506" t="s">
        <v>143</v>
      </c>
      <c r="M4" s="481" t="s">
        <v>79</v>
      </c>
      <c r="N4" s="445" t="s">
        <v>144</v>
      </c>
      <c r="O4" s="445" t="s">
        <v>81</v>
      </c>
      <c r="P4" s="445" t="s">
        <v>145</v>
      </c>
      <c r="Q4" s="24" t="s">
        <v>146</v>
      </c>
    </row>
    <row r="5" spans="2:22" ht="26.25" thickBot="1">
      <c r="G5" s="21"/>
      <c r="H5" s="21"/>
      <c r="I5" s="21"/>
      <c r="J5" s="19"/>
      <c r="L5" s="507"/>
      <c r="M5" s="497"/>
      <c r="N5" s="446" t="s">
        <v>147</v>
      </c>
      <c r="O5" s="446" t="s">
        <v>86</v>
      </c>
      <c r="P5" s="446" t="s">
        <v>148</v>
      </c>
      <c r="Q5" s="30" t="s">
        <v>149</v>
      </c>
    </row>
    <row r="6" spans="2:22" ht="18" customHeight="1">
      <c r="L6" s="512" t="str">
        <f>$F$4</f>
        <v>Average Adult Worker</v>
      </c>
      <c r="M6" s="212" t="s">
        <v>92</v>
      </c>
      <c r="N6" s="242">
        <f>SUMIFS(Inhalation_Exp[24hr_High-End],Inhalation_Exp[OES],$C$4,Inhalation_Exp[Worker Type],$L6,Inhalation_Exp[Data Type],$D$4)</f>
        <v>1.25125</v>
      </c>
      <c r="O6" s="242">
        <f>SUMIFS(Inhalation_Exp[Int_High-End],Inhalation_Exp[OES],$C$4,Inhalation_Exp[Worker Type],$L6,Inhalation_Exp[Data Type],$D$4)</f>
        <v>0.91758333333333331</v>
      </c>
      <c r="P6" s="242">
        <f>SUMIFS(Inhalation_Exp[ADD_High-End],Inhalation_Exp[OES],$C$4,Inhalation_Exp[Worker Type],$L6,Inhalation_Exp[Data Type],$D$4)</f>
        <v>0.85702054794520544</v>
      </c>
      <c r="Q6" s="240">
        <f>SUMIFS(Inhalation_Exp[LADD_High-End],Inhalation_Exp[OES],$C$4,Inhalation_Exp[Worker Type],$L6,Inhalation_Exp[Data Type],$D$4)</f>
        <v>0.43949771689497719</v>
      </c>
    </row>
    <row r="7" spans="2:22" ht="15" customHeight="1" thickBot="1">
      <c r="L7" s="513"/>
      <c r="M7" s="213" t="s">
        <v>93</v>
      </c>
      <c r="N7" s="243">
        <f>SUMIFS(Inhalation_Exp[24hr_Central Tendency],Inhalation_Exp[OES],$C$4,Inhalation_Exp[Worker Type],$L6,Inhalation_Exp[Data Type],$D$4)</f>
        <v>0.20874999999999999</v>
      </c>
      <c r="O7" s="243">
        <f>SUMIFS(Inhalation_Exp[Int_Central Tendency],Inhalation_Exp[OES],$C$4,Inhalation_Exp[Worker Type],$L6,Inhalation_Exp[Data Type],$D$4)</f>
        <v>0.15308333333333332</v>
      </c>
      <c r="P7" s="243">
        <f>SUMIFS(Inhalation_Exp[ADD_Central Tendency],Inhalation_Exp[OES],$C$4,Inhalation_Exp[Worker Type],$L6,Inhalation_Exp[Data Type],$D$4)</f>
        <v>0.14297945205479451</v>
      </c>
      <c r="Q7" s="241">
        <f>SUMIFS(Inhalation_Exp[LADD_Central Tendency],Inhalation_Exp[OES],$C$4,Inhalation_Exp[Worker Type],$L6,Inhalation_Exp[Data Type],$D$4)</f>
        <v>5.682516684229013E-2</v>
      </c>
    </row>
    <row r="8" spans="2:22" ht="15.75">
      <c r="C8" s="17"/>
      <c r="D8" s="17"/>
      <c r="E8" s="17"/>
      <c r="F8" s="17"/>
      <c r="L8" s="204" t="s">
        <v>67</v>
      </c>
    </row>
    <row r="9" spans="2:22" ht="25.5" customHeight="1" thickBot="1">
      <c r="C9" s="17"/>
      <c r="D9" s="17"/>
      <c r="E9" s="17"/>
      <c r="H9" s="14"/>
      <c r="L9" s="205" t="s">
        <v>77</v>
      </c>
    </row>
    <row r="10" spans="2:22" ht="25.5">
      <c r="C10" s="17"/>
      <c r="D10" s="17"/>
      <c r="E10" s="17"/>
      <c r="H10" s="14"/>
      <c r="L10" s="506" t="s">
        <v>143</v>
      </c>
      <c r="M10" s="481" t="s">
        <v>79</v>
      </c>
      <c r="N10" s="445" t="s">
        <v>150</v>
      </c>
      <c r="O10" s="445" t="s">
        <v>81</v>
      </c>
      <c r="P10" s="445" t="s">
        <v>151</v>
      </c>
      <c r="Q10" s="24" t="s">
        <v>152</v>
      </c>
    </row>
    <row r="11" spans="2:22" ht="13.5" thickBot="1">
      <c r="H11" s="14"/>
      <c r="L11" s="507"/>
      <c r="M11" s="497"/>
      <c r="N11" s="446" t="s">
        <v>153</v>
      </c>
      <c r="O11" s="446" t="s">
        <v>86</v>
      </c>
      <c r="P11" s="446" t="s">
        <v>154</v>
      </c>
      <c r="Q11" s="30" t="s">
        <v>155</v>
      </c>
    </row>
    <row r="12" spans="2:22" ht="12.75" customHeight="1" thickBot="1">
      <c r="H12" s="14"/>
      <c r="L12" s="512" t="str">
        <f>$F$4</f>
        <v>Average Adult Worker</v>
      </c>
      <c r="M12" s="212" t="s">
        <v>92</v>
      </c>
      <c r="N12" s="252">
        <f>SUMIFS(Dermal_Exp[High-End AD (mg/kg-day)],Dermal_Exp[Worker Type],$L$12,Dermal_Exp[OES],$C$4)</f>
        <v>5.1359999999999999E-3</v>
      </c>
      <c r="O12" s="252">
        <f>SUMIFS(Dermal_Exp[High-End IADD (mg/kg-day)],Dermal_Exp[Worker Type],$L$12,Dermal_Exp[OES],$C$4)</f>
        <v>3.7664E-3</v>
      </c>
      <c r="P12" s="252">
        <f>SUMIFS(Dermal_Exp[High-End ADD (mg/kg-day)],Dermal_Exp[Worker Type],$L$12,Dermal_Exp[OES],$C$4)</f>
        <v>3.5178082191780822E-3</v>
      </c>
      <c r="Q12" s="253">
        <f>SUMIFS(Dermal_Exp[High-End LADD (mg/kg-day)],Dermal_Exp[Worker Type],$L$12,Dermal_Exp[OES],$C$4)</f>
        <v>1.804004214963119E-3</v>
      </c>
    </row>
    <row r="13" spans="2:22" ht="15.75" customHeight="1" thickBot="1">
      <c r="H13" s="14"/>
      <c r="L13" s="513"/>
      <c r="M13" s="213" t="s">
        <v>93</v>
      </c>
      <c r="N13" s="337">
        <f>SUMIFS(Dermal_Exp[Central Tendency AD (mg/kg-day)],Dermal_Exp[Worker Type],$L$12,Dermal_Exp[OES],$C$4)</f>
        <v>2.568E-3</v>
      </c>
      <c r="O13" s="257">
        <f>SUMIFS(Dermal_Exp[Central Tendency IADD (mg/kg-day)],Dermal_Exp[Worker Type],$L$12,Dermal_Exp[OES],$C$4)</f>
        <v>1.8832E-3</v>
      </c>
      <c r="P13" s="257">
        <f>SUMIFS(Dermal_Exp[Central Tendency ADD (mg/kg-day)],Dermal_Exp[Worker Type],$L$12,Dermal_Exp[OES],$C$4)</f>
        <v>1.7589041095890411E-3</v>
      </c>
      <c r="Q13" s="258">
        <f>SUMIFS(Dermal_Exp[Central Tendency LADD (mg/kg-day)],Dermal_Exp[Worker Type],$L$12,Dermal_Exp[OES],$C$4)</f>
        <v>6.990516332982087E-4</v>
      </c>
    </row>
    <row r="14" spans="2:22" s="19" customFormat="1" ht="16.5" thickBot="1">
      <c r="B14" s="28"/>
      <c r="C14" s="21"/>
      <c r="D14" s="36"/>
      <c r="E14" s="36"/>
      <c r="F14" s="36"/>
      <c r="G14" s="37"/>
      <c r="H14" s="206" t="s">
        <v>156</v>
      </c>
      <c r="I14" s="21"/>
      <c r="J14" s="21"/>
      <c r="L14" s="35"/>
      <c r="M14" s="546"/>
      <c r="N14" s="546"/>
      <c r="O14" s="449"/>
      <c r="P14" s="449"/>
      <c r="S14" s="261"/>
    </row>
    <row r="15" spans="2:22" s="19" customFormat="1">
      <c r="B15" s="28"/>
      <c r="C15" s="561" t="s">
        <v>157</v>
      </c>
      <c r="D15" s="561" t="s">
        <v>158</v>
      </c>
      <c r="E15" s="561"/>
      <c r="F15" s="563" t="s">
        <v>159</v>
      </c>
      <c r="G15" s="39"/>
      <c r="H15" s="514" t="s">
        <v>99</v>
      </c>
      <c r="I15" s="479" t="s">
        <v>79</v>
      </c>
      <c r="J15" s="488" t="s">
        <v>100</v>
      </c>
      <c r="K15" s="557" t="str">
        <f>_xlfn.CONCAT("Exposure Estimates: ",$F$4," MOE")</f>
        <v>Exposure Estimates: Average Adult Worker MOE</v>
      </c>
      <c r="L15" s="558"/>
      <c r="M15" s="557"/>
      <c r="N15" s="557"/>
      <c r="O15" s="557"/>
      <c r="P15" s="557"/>
      <c r="Q15" s="503"/>
      <c r="S15" s="261"/>
    </row>
    <row r="16" spans="2:22" s="19" customFormat="1">
      <c r="B16" s="28"/>
      <c r="C16" s="562"/>
      <c r="D16" s="562"/>
      <c r="E16" s="562"/>
      <c r="F16" s="564"/>
      <c r="G16" s="40"/>
      <c r="H16" s="565"/>
      <c r="I16" s="494"/>
      <c r="J16" s="547"/>
      <c r="K16" s="555" t="s">
        <v>160</v>
      </c>
      <c r="L16" s="548" t="s">
        <v>161</v>
      </c>
      <c r="M16" s="555" t="s">
        <v>162</v>
      </c>
      <c r="N16" s="555"/>
      <c r="O16" s="555"/>
      <c r="P16" s="555"/>
      <c r="Q16" s="556"/>
      <c r="S16" s="261"/>
    </row>
    <row r="17" spans="2:17" s="19" customFormat="1" ht="13.5" thickBot="1">
      <c r="B17" s="28"/>
      <c r="C17" s="562"/>
      <c r="D17" s="562"/>
      <c r="E17" s="562"/>
      <c r="F17" s="564"/>
      <c r="G17" s="40"/>
      <c r="H17" s="566"/>
      <c r="I17" s="494"/>
      <c r="J17" s="500"/>
      <c r="K17" s="492"/>
      <c r="L17" s="549"/>
      <c r="M17" s="446">
        <f>'List Values'!$D$16</f>
        <v>10</v>
      </c>
      <c r="N17" s="446">
        <f>'List Values'!$D$17</f>
        <v>25</v>
      </c>
      <c r="O17" s="446">
        <f>'List Values'!$D$18</f>
        <v>50</v>
      </c>
      <c r="P17" s="446">
        <f>'List Values'!$D$19</f>
        <v>1000</v>
      </c>
      <c r="Q17" s="30">
        <f>'List Values'!$D$20</f>
        <v>10000</v>
      </c>
    </row>
    <row r="18" spans="2:17" s="19" customFormat="1">
      <c r="B18" s="521" t="s">
        <v>108</v>
      </c>
      <c r="C18" s="522" t="s">
        <v>163</v>
      </c>
      <c r="D18" s="525" t="str">
        <f>_xlfn.XLOOKUP($B18,Tox_Table[Code],Tox_Table[Health Effect])</f>
        <v>Phthalate syndrome-related effects</v>
      </c>
      <c r="E18" s="525">
        <f>_xlfn.XLOOKUP($B18,Tox_Table[Code],Tox_Table[Endpoint])</f>
        <v>0</v>
      </c>
      <c r="F18" s="518">
        <f>_xlfn.XLOOKUP($B18,Tox_Table[Code],Tox_Table[Study])</f>
        <v>0</v>
      </c>
      <c r="G18" s="42"/>
      <c r="H18" s="528">
        <f>_xlfn.XLOOKUP($B18, Tox_Table[Code],Tox_Table[HED / POD (mg/kg/day)], FALSE)</f>
        <v>1.1000000000000001</v>
      </c>
      <c r="I18" s="541" t="s">
        <v>92</v>
      </c>
      <c r="J18" s="550">
        <f>_xlfn.XLOOKUP($B18,Tox_Table[Code],Tox_Table[Benchmark MOE])</f>
        <v>30</v>
      </c>
      <c r="K18" s="216" t="s">
        <v>164</v>
      </c>
      <c r="L18" s="43">
        <f>IFERROR($H$18/($N$6+$N$12),"")</f>
        <v>0.87552710711517012</v>
      </c>
      <c r="M18" s="50">
        <f>IFERROR($H$18/(($N$6/M$17)+$N$12),"")</f>
        <v>8.444584334528372</v>
      </c>
      <c r="N18" s="50">
        <f>IFERROR($H$18/(($N$6/N$17)+$N$12),"")</f>
        <v>19.93259159931867</v>
      </c>
      <c r="O18" s="50">
        <f>IFERROR($H$18/(($N$6/O$17)+$N$12),"")</f>
        <v>36.470939292463783</v>
      </c>
      <c r="P18" s="50">
        <f>IFERROR($H$18/(($N$6/P$17)+$N$12),"")</f>
        <v>172.21809072762144</v>
      </c>
      <c r="Q18" s="51">
        <f>IFERROR($H$18/(($N$6/Q$17)+$N$12),"")</f>
        <v>209.0807574425622</v>
      </c>
    </row>
    <row r="19" spans="2:17" s="19" customFormat="1">
      <c r="B19" s="521"/>
      <c r="C19" s="523"/>
      <c r="D19" s="526"/>
      <c r="E19" s="526"/>
      <c r="F19" s="519"/>
      <c r="G19" s="42"/>
      <c r="H19" s="529"/>
      <c r="I19" s="535"/>
      <c r="J19" s="551"/>
      <c r="K19" s="211">
        <f>'List Values'!$D$23</f>
        <v>5</v>
      </c>
      <c r="L19" s="210">
        <f>IFERROR($H$18/($N$6+$N$12/K19),"")</f>
        <v>0.87839976644148765</v>
      </c>
      <c r="M19" s="210">
        <f t="shared" ref="M19:Q21" si="0">IFERROR($H$18/(($N$6/M$17)+$N$12/$K19),"")</f>
        <v>8.7196259756072436</v>
      </c>
      <c r="N19" s="210">
        <f t="shared" si="0"/>
        <v>21.536027816716661</v>
      </c>
      <c r="O19" s="210">
        <f t="shared" si="0"/>
        <v>42.22292167264186</v>
      </c>
      <c r="P19" s="210">
        <f t="shared" si="0"/>
        <v>482.7843490091949</v>
      </c>
      <c r="Q19" s="214">
        <f t="shared" si="0"/>
        <v>954.59180352765065</v>
      </c>
    </row>
    <row r="20" spans="2:17" s="19" customFormat="1">
      <c r="B20" s="521"/>
      <c r="C20" s="523"/>
      <c r="D20" s="526"/>
      <c r="E20" s="526"/>
      <c r="F20" s="519"/>
      <c r="G20" s="42"/>
      <c r="H20" s="529"/>
      <c r="I20" s="535"/>
      <c r="J20" s="551"/>
      <c r="K20" s="211">
        <f>'List Values'!$D$24</f>
        <v>10</v>
      </c>
      <c r="L20" s="210">
        <f>IFERROR($H$18/($N$6+$N$12/K20),"")</f>
        <v>0.87876017484451552</v>
      </c>
      <c r="M20" s="210">
        <f t="shared" si="0"/>
        <v>8.7552710711517019</v>
      </c>
      <c r="N20" s="210">
        <f t="shared" si="0"/>
        <v>21.754780118504222</v>
      </c>
      <c r="O20" s="210">
        <f t="shared" si="0"/>
        <v>43.072055633433322</v>
      </c>
      <c r="P20" s="210">
        <f t="shared" si="0"/>
        <v>623.28243193472531</v>
      </c>
      <c r="Q20" s="214">
        <f t="shared" si="0"/>
        <v>1722.1809072762144</v>
      </c>
    </row>
    <row r="21" spans="2:17" s="19" customFormat="1">
      <c r="B21" s="521"/>
      <c r="C21" s="523"/>
      <c r="D21" s="526"/>
      <c r="E21" s="526"/>
      <c r="F21" s="519"/>
      <c r="G21" s="42"/>
      <c r="H21" s="529"/>
      <c r="I21" s="535"/>
      <c r="J21" s="552"/>
      <c r="K21" s="211">
        <f>'List Values'!$D$25</f>
        <v>20</v>
      </c>
      <c r="L21" s="210">
        <f>IFERROR($H$18/($N$6+$N$12/K21),"")</f>
        <v>0.87894048997576368</v>
      </c>
      <c r="M21" s="210">
        <f t="shared" si="0"/>
        <v>8.7732031283647238</v>
      </c>
      <c r="N21" s="210">
        <f t="shared" si="0"/>
        <v>21.865831259392372</v>
      </c>
      <c r="O21" s="210">
        <f t="shared" si="0"/>
        <v>43.509560237008444</v>
      </c>
      <c r="P21" s="210">
        <f t="shared" si="0"/>
        <v>729.41878584927565</v>
      </c>
      <c r="Q21" s="214">
        <f t="shared" si="0"/>
        <v>2880.1466256463968</v>
      </c>
    </row>
    <row r="22" spans="2:17" s="19" customFormat="1">
      <c r="B22" s="521" t="s">
        <v>108</v>
      </c>
      <c r="C22" s="523"/>
      <c r="D22" s="526"/>
      <c r="E22" s="526"/>
      <c r="F22" s="519"/>
      <c r="G22" s="42"/>
      <c r="H22" s="529">
        <f>_xlfn.XLOOKUP(B22, Tox_Table[Code],Tox_Table[HED / POD (mg/kg/day)], FALSE)</f>
        <v>1.1000000000000001</v>
      </c>
      <c r="I22" s="535" t="s">
        <v>93</v>
      </c>
      <c r="J22" s="537">
        <f>_xlfn.XLOOKUP($B22,Tox_Table[Code],Tox_Table[Benchmark MOE])</f>
        <v>30</v>
      </c>
      <c r="K22" s="211" t="s">
        <v>164</v>
      </c>
      <c r="L22" s="210">
        <f>IFERROR($H$22/($N$7+$N$13),"")</f>
        <v>5.2054249992901704</v>
      </c>
      <c r="M22" s="210">
        <f>IFERROR($H$22/(($N$7/M$17)+$N$13),"")</f>
        <v>46.922322228383749</v>
      </c>
      <c r="N22" s="210">
        <f>IFERROR($H$22/(($N$7/N$17)+$N$13),"")</f>
        <v>100.75105330646639</v>
      </c>
      <c r="O22" s="210">
        <f>IFERROR($H$22/(($N$7/O$17)+$N$13),"")</f>
        <v>163.13213703099512</v>
      </c>
      <c r="P22" s="210">
        <f>IFERROR($H$22/(($N$7/P$17)+$N$13),"")</f>
        <v>396.14657423246604</v>
      </c>
      <c r="Q22" s="214">
        <f>IFERROR($H$22/(($N$7/Q$17)+$N$13),"")</f>
        <v>424.89498334218536</v>
      </c>
    </row>
    <row r="23" spans="2:17" s="19" customFormat="1">
      <c r="B23" s="521"/>
      <c r="C23" s="523"/>
      <c r="D23" s="526"/>
      <c r="E23" s="526"/>
      <c r="F23" s="519"/>
      <c r="G23" s="42"/>
      <c r="H23" s="529"/>
      <c r="I23" s="535"/>
      <c r="J23" s="537"/>
      <c r="K23" s="211">
        <f>'List Values'!$D$23</f>
        <v>5</v>
      </c>
      <c r="L23" s="210">
        <f>IFERROR($H$22/($N$7+$N$13/K23),"")</f>
        <v>5.2565281300713558</v>
      </c>
      <c r="M23" s="210">
        <f t="shared" ref="M23:Q25" si="1">IFERROR($H$22/(($N$7/M$17)+$N$13/$K23),"")</f>
        <v>51.429266057619493</v>
      </c>
      <c r="N23" s="210">
        <f t="shared" si="1"/>
        <v>124.10307324337742</v>
      </c>
      <c r="O23" s="210">
        <f t="shared" si="1"/>
        <v>234.6116111419187</v>
      </c>
      <c r="P23" s="210">
        <f t="shared" si="1"/>
        <v>1522.8075032878801</v>
      </c>
      <c r="Q23" s="214">
        <f t="shared" si="1"/>
        <v>2058.0943916927831</v>
      </c>
    </row>
    <row r="24" spans="2:17" s="19" customFormat="1">
      <c r="B24" s="521"/>
      <c r="C24" s="523"/>
      <c r="D24" s="526"/>
      <c r="E24" s="526"/>
      <c r="F24" s="519"/>
      <c r="G24" s="42"/>
      <c r="H24" s="529"/>
      <c r="I24" s="535"/>
      <c r="J24" s="537"/>
      <c r="K24" s="211">
        <f>'List Values'!$D$24</f>
        <v>10</v>
      </c>
      <c r="L24" s="210">
        <f>IFERROR($H$22/($N$7+$N$13/K24),"")</f>
        <v>5.2629866588072742</v>
      </c>
      <c r="M24" s="210">
        <f t="shared" si="1"/>
        <v>52.054249992901703</v>
      </c>
      <c r="N24" s="210">
        <f t="shared" si="1"/>
        <v>127.8059208997537</v>
      </c>
      <c r="O24" s="210">
        <f t="shared" si="1"/>
        <v>248.20614648675485</v>
      </c>
      <c r="P24" s="210">
        <f t="shared" si="1"/>
        <v>2362.7966920846311</v>
      </c>
      <c r="Q24" s="214">
        <f t="shared" si="1"/>
        <v>3961.4657423246604</v>
      </c>
    </row>
    <row r="25" spans="2:17" s="19" customFormat="1" ht="13.5" thickBot="1">
      <c r="B25" s="521"/>
      <c r="C25" s="524"/>
      <c r="D25" s="527"/>
      <c r="E25" s="527"/>
      <c r="F25" s="520"/>
      <c r="G25" s="42"/>
      <c r="H25" s="543"/>
      <c r="I25" s="553"/>
      <c r="J25" s="554"/>
      <c r="K25" s="211">
        <f>'List Values'!$D$25</f>
        <v>20</v>
      </c>
      <c r="L25" s="46">
        <f>IFERROR($H$22/($N$7+$N$13/K25),"")</f>
        <v>5.2662218783751698</v>
      </c>
      <c r="M25" s="46">
        <f t="shared" si="1"/>
        <v>52.372473028176401</v>
      </c>
      <c r="N25" s="46">
        <f t="shared" si="1"/>
        <v>129.74146065295338</v>
      </c>
      <c r="O25" s="46">
        <f t="shared" si="1"/>
        <v>255.6118417995074</v>
      </c>
      <c r="P25" s="46">
        <f t="shared" si="1"/>
        <v>3262.6427406199027</v>
      </c>
      <c r="Q25" s="47">
        <f t="shared" si="1"/>
        <v>7368.9499246357391</v>
      </c>
    </row>
    <row r="26" spans="2:17" s="19" customFormat="1">
      <c r="B26" s="521" t="s">
        <v>113</v>
      </c>
      <c r="C26" s="523" t="s">
        <v>165</v>
      </c>
      <c r="D26" s="526" t="str">
        <f>_xlfn.XLOOKUP($B26,Tox_Table[Code],Tox_Table[Health Effect])</f>
        <v>Phthalate syndrome-related effects</v>
      </c>
      <c r="E26" s="526">
        <f>_xlfn.XLOOKUP($B26,Tox_Table[Code],Tox_Table[Endpoint])</f>
        <v>0</v>
      </c>
      <c r="F26" s="519">
        <f>_xlfn.XLOOKUP($B26,Tox_Table[Code],Tox_Table[Study])</f>
        <v>0</v>
      </c>
      <c r="G26" s="42"/>
      <c r="H26" s="544">
        <f>_xlfn.XLOOKUP($B26, Tox_Table[Code],Tox_Table[HED / POD (mg/kg/day)], FALSE)</f>
        <v>1.1000000000000001</v>
      </c>
      <c r="I26" s="545" t="s">
        <v>92</v>
      </c>
      <c r="J26" s="552">
        <f>_xlfn.XLOOKUP($B26,Tox_Table[Code],Tox_Table[Benchmark MOE])</f>
        <v>30</v>
      </c>
      <c r="K26" s="215" t="s">
        <v>164</v>
      </c>
      <c r="L26" s="43">
        <f>IFERROR($H$26/($O$6+$O$12),"")</f>
        <v>1.1939006006115958</v>
      </c>
      <c r="M26" s="43">
        <f>IFERROR($H$26/(($O$6/M$17)+$O$12),"")</f>
        <v>11.515342274356868</v>
      </c>
      <c r="N26" s="43">
        <f>IFERROR($H$26/(($O$6/N$17)+$O$12),"")</f>
        <v>27.18080672634364</v>
      </c>
      <c r="O26" s="43">
        <f>IFERROR($H$26/(($O$6/O$17)+$O$12),"")</f>
        <v>49.733099035177887</v>
      </c>
      <c r="P26" s="43">
        <f>IFERROR($H$26/(($O$6/P$17)+$O$12),"")</f>
        <v>234.84285099221108</v>
      </c>
      <c r="Q26" s="44">
        <f>IFERROR($H$26/(($O$6/Q$17)+$O$12),"")</f>
        <v>285.11012378531206</v>
      </c>
    </row>
    <row r="27" spans="2:17" s="19" customFormat="1">
      <c r="B27" s="521" t="s">
        <v>113</v>
      </c>
      <c r="C27" s="523"/>
      <c r="D27" s="526"/>
      <c r="E27" s="526"/>
      <c r="F27" s="519"/>
      <c r="G27" s="42"/>
      <c r="H27" s="529"/>
      <c r="I27" s="535"/>
      <c r="J27" s="537"/>
      <c r="K27" s="211">
        <f>'List Values'!$D$23</f>
        <v>5</v>
      </c>
      <c r="L27" s="210">
        <f>IFERROR($H$26/($O$6+$O$12/K27),"")</f>
        <v>1.1978178633293013</v>
      </c>
      <c r="M27" s="210">
        <f t="shared" ref="M27:Q29" si="2">IFERROR($H$26/(($O$6/M$17)+$O$12/$K27),"")</f>
        <v>11.890399057646242</v>
      </c>
      <c r="N27" s="210">
        <f t="shared" si="2"/>
        <v>29.367310659159081</v>
      </c>
      <c r="O27" s="210">
        <f t="shared" si="2"/>
        <v>57.576711371784356</v>
      </c>
      <c r="P27" s="210">
        <f t="shared" si="2"/>
        <v>658.34229410344756</v>
      </c>
      <c r="Q27" s="214">
        <f t="shared" si="2"/>
        <v>1301.7160957195235</v>
      </c>
    </row>
    <row r="28" spans="2:17" s="19" customFormat="1">
      <c r="B28" s="521"/>
      <c r="C28" s="523"/>
      <c r="D28" s="526"/>
      <c r="E28" s="526"/>
      <c r="F28" s="519"/>
      <c r="G28" s="42"/>
      <c r="H28" s="529"/>
      <c r="I28" s="535"/>
      <c r="J28" s="537"/>
      <c r="K28" s="211">
        <f>'List Values'!$D$24</f>
        <v>10</v>
      </c>
      <c r="L28" s="210">
        <f>IFERROR($H$26/($O$6+$O$12/K28),"")</f>
        <v>1.1983093293334302</v>
      </c>
      <c r="M28" s="210">
        <f t="shared" si="2"/>
        <v>11.939006006115957</v>
      </c>
      <c r="N28" s="210">
        <f t="shared" si="2"/>
        <v>29.66560925250576</v>
      </c>
      <c r="O28" s="210">
        <f t="shared" si="2"/>
        <v>58.734621318318162</v>
      </c>
      <c r="P28" s="210">
        <f t="shared" si="2"/>
        <v>849.93058900189828</v>
      </c>
      <c r="Q28" s="214">
        <f t="shared" si="2"/>
        <v>2348.4285099221106</v>
      </c>
    </row>
    <row r="29" spans="2:17" s="19" customFormat="1">
      <c r="B29" s="521"/>
      <c r="C29" s="523"/>
      <c r="D29" s="526"/>
      <c r="E29" s="526"/>
      <c r="F29" s="519"/>
      <c r="G29" s="42"/>
      <c r="H29" s="529"/>
      <c r="I29" s="535"/>
      <c r="J29" s="537"/>
      <c r="K29" s="211">
        <f>'List Values'!$D$25</f>
        <v>20</v>
      </c>
      <c r="L29" s="210">
        <f>IFERROR($H$26/($O$6+$O$12/K29),"")</f>
        <v>1.1985552136033142</v>
      </c>
      <c r="M29" s="210">
        <f t="shared" si="2"/>
        <v>11.96345881140644</v>
      </c>
      <c r="N29" s="210">
        <f t="shared" si="2"/>
        <v>29.817042626444145</v>
      </c>
      <c r="O29" s="210">
        <f t="shared" si="2"/>
        <v>59.33121850501152</v>
      </c>
      <c r="P29" s="210">
        <f t="shared" si="2"/>
        <v>994.66198070355767</v>
      </c>
      <c r="Q29" s="214">
        <f t="shared" si="2"/>
        <v>3927.4726713359955</v>
      </c>
    </row>
    <row r="30" spans="2:17" s="19" customFormat="1">
      <c r="B30" s="521" t="s">
        <v>113</v>
      </c>
      <c r="C30" s="523"/>
      <c r="D30" s="526"/>
      <c r="E30" s="526"/>
      <c r="F30" s="519"/>
      <c r="G30" s="42"/>
      <c r="H30" s="529">
        <f>_xlfn.XLOOKUP(B30, Tox_Table[Code],Tox_Table[HED / POD (mg/kg/day)], FALSE)</f>
        <v>1.1000000000000001</v>
      </c>
      <c r="I30" s="535" t="s">
        <v>93</v>
      </c>
      <c r="J30" s="537">
        <f>_xlfn.XLOOKUP($B30,Tox_Table[Code],Tox_Table[Benchmark MOE])</f>
        <v>30</v>
      </c>
      <c r="K30" s="211" t="s">
        <v>164</v>
      </c>
      <c r="L30" s="210">
        <f>IFERROR($H$30/($O$7+$O$13),"")</f>
        <v>7.0983068172138681</v>
      </c>
      <c r="M30" s="210">
        <f>IFERROR($H$30/(($O$7/M$17)+$O$13),"")</f>
        <v>63.984984856886932</v>
      </c>
      <c r="N30" s="210">
        <f>IFERROR($H$30/(($O$7/N$17)+$O$13),"")</f>
        <v>137.38779996336328</v>
      </c>
      <c r="O30" s="210">
        <f>IFERROR($H$30/(($O$7/O$17)+$O$13),"")</f>
        <v>222.45291413317517</v>
      </c>
      <c r="P30" s="210">
        <f>IFERROR($H$30/(($O$7/P$17)+$O$13),"")</f>
        <v>540.19987395336273</v>
      </c>
      <c r="Q30" s="214">
        <f>IFERROR($H$30/(($O$7/Q$17)+$O$13),"")</f>
        <v>579.40225001207091</v>
      </c>
    </row>
    <row r="31" spans="2:17" s="19" customFormat="1">
      <c r="B31" s="521" t="s">
        <v>113</v>
      </c>
      <c r="C31" s="523"/>
      <c r="D31" s="526"/>
      <c r="E31" s="526"/>
      <c r="F31" s="519"/>
      <c r="G31" s="42"/>
      <c r="H31" s="529"/>
      <c r="I31" s="535"/>
      <c r="J31" s="537"/>
      <c r="K31" s="211">
        <f>'List Values'!$D$23</f>
        <v>5</v>
      </c>
      <c r="L31" s="210">
        <f>IFERROR($H$30/($O$7+$O$13/K31),"")</f>
        <v>7.1679929046427571</v>
      </c>
      <c r="M31" s="210">
        <f t="shared" ref="M31:Q33" si="3">IFERROR($H$30/(($O$7/M$17)+$O$13/$K31),"")</f>
        <v>70.130817351299299</v>
      </c>
      <c r="N31" s="210">
        <f t="shared" si="3"/>
        <v>169.2314635136965</v>
      </c>
      <c r="O31" s="210">
        <f t="shared" si="3"/>
        <v>319.92492428443461</v>
      </c>
      <c r="P31" s="210">
        <f t="shared" si="3"/>
        <v>2076.5556863016545</v>
      </c>
      <c r="Q31" s="214">
        <f t="shared" si="3"/>
        <v>2806.4923523083398</v>
      </c>
    </row>
    <row r="32" spans="2:17" s="19" customFormat="1">
      <c r="B32" s="521"/>
      <c r="C32" s="523"/>
      <c r="D32" s="526"/>
      <c r="E32" s="526"/>
      <c r="F32" s="519"/>
      <c r="G32" s="42"/>
      <c r="H32" s="529"/>
      <c r="I32" s="535"/>
      <c r="J32" s="537"/>
      <c r="K32" s="211">
        <f>'List Values'!$D$24</f>
        <v>10</v>
      </c>
      <c r="L32" s="210">
        <f>IFERROR($H$30/($O$7+$O$13/K32),"")</f>
        <v>7.1767999892826468</v>
      </c>
      <c r="M32" s="210">
        <f t="shared" si="3"/>
        <v>70.983068172138687</v>
      </c>
      <c r="N32" s="210">
        <f t="shared" si="3"/>
        <v>174.28080122693686</v>
      </c>
      <c r="O32" s="210">
        <f t="shared" si="3"/>
        <v>338.46292702739299</v>
      </c>
      <c r="P32" s="210">
        <f t="shared" si="3"/>
        <v>3221.9954892063151</v>
      </c>
      <c r="Q32" s="214">
        <f t="shared" si="3"/>
        <v>5401.9987395336275</v>
      </c>
    </row>
    <row r="33" spans="2:17" s="19" customFormat="1" ht="13.5" thickBot="1">
      <c r="B33" s="521"/>
      <c r="C33" s="523"/>
      <c r="D33" s="526"/>
      <c r="E33" s="526"/>
      <c r="F33" s="519"/>
      <c r="G33" s="42"/>
      <c r="H33" s="534"/>
      <c r="I33" s="536"/>
      <c r="J33" s="538"/>
      <c r="K33" s="211">
        <f>'List Values'!$D$25</f>
        <v>20</v>
      </c>
      <c r="L33" s="218">
        <f>IFERROR($H$30/($O$7+$O$13/K33),"")</f>
        <v>7.1812116523297771</v>
      </c>
      <c r="M33" s="218">
        <f t="shared" si="3"/>
        <v>71.417008674786004</v>
      </c>
      <c r="N33" s="218">
        <f t="shared" si="3"/>
        <v>176.92017361766372</v>
      </c>
      <c r="O33" s="218">
        <f t="shared" si="3"/>
        <v>348.56160245387372</v>
      </c>
      <c r="P33" s="218">
        <f t="shared" si="3"/>
        <v>4449.0582826635027</v>
      </c>
      <c r="Q33" s="219">
        <f t="shared" si="3"/>
        <v>10048.568079048737</v>
      </c>
    </row>
    <row r="34" spans="2:17" s="19" customFormat="1">
      <c r="B34" s="521" t="s">
        <v>119</v>
      </c>
      <c r="C34" s="522" t="s">
        <v>166</v>
      </c>
      <c r="D34" s="525" t="str">
        <f>_xlfn.XLOOKUP($B34,Tox_Table[Code],Tox_Table[Health Effect])</f>
        <v>Phthalate syndrome-related effects</v>
      </c>
      <c r="E34" s="525">
        <f>_xlfn.XLOOKUP($B34,Tox_Table[Code],Tox_Table[Endpoint])</f>
        <v>0</v>
      </c>
      <c r="F34" s="518">
        <f>_xlfn.XLOOKUP($B34,Tox_Table[Code],Tox_Table[Study])</f>
        <v>0</v>
      </c>
      <c r="G34" s="48"/>
      <c r="H34" s="528">
        <f>_xlfn.XLOOKUP($B34, Tox_Table[Code],Tox_Table[HED / POD (mg/kg/day)], FALSE)</f>
        <v>1.1000000000000001</v>
      </c>
      <c r="I34" s="541" t="s">
        <v>92</v>
      </c>
      <c r="J34" s="542">
        <f>_xlfn.XLOOKUP($B34,Tox_Table[Code],Tox_Table[Benchmark MOE])</f>
        <v>30</v>
      </c>
      <c r="K34" s="216" t="s">
        <v>164</v>
      </c>
      <c r="L34" s="50">
        <f>IFERROR($H$34/($P$6+$P$12),"")</f>
        <v>1.2782695763881484</v>
      </c>
      <c r="M34" s="50">
        <f>IFERROR($H$34/(($P$6/M$17)+$P$12),"")</f>
        <v>12.329093128411422</v>
      </c>
      <c r="N34" s="50">
        <f>IFERROR($H$34/(($P$6/N$17)+$P$12),"")</f>
        <v>29.10158373500526</v>
      </c>
      <c r="O34" s="50">
        <f>IFERROR($H$34/(($P$6/O$17)+$P$12),"")</f>
        <v>53.247571366997121</v>
      </c>
      <c r="P34" s="50">
        <f>IFERROR($H$34/(($P$6/P$17)+$P$12),"")</f>
        <v>251.43841246232734</v>
      </c>
      <c r="Q34" s="51">
        <f>IFERROR($H$34/(($P$6/Q$17)+$P$12),"")</f>
        <v>305.25790586614085</v>
      </c>
    </row>
    <row r="35" spans="2:17" s="19" customFormat="1">
      <c r="B35" s="521" t="s">
        <v>119</v>
      </c>
      <c r="C35" s="523"/>
      <c r="D35" s="526"/>
      <c r="E35" s="526"/>
      <c r="F35" s="519"/>
      <c r="G35" s="48"/>
      <c r="H35" s="529"/>
      <c r="I35" s="535"/>
      <c r="J35" s="537"/>
      <c r="K35" s="211">
        <f>'List Values'!$D$23</f>
        <v>5</v>
      </c>
      <c r="L35" s="210">
        <f>IFERROR($H$34/($P$6+$P$12/K35),"")</f>
        <v>1.2824636590045719</v>
      </c>
      <c r="M35" s="210">
        <f>IFERROR($H$34/(($P$6/M$17)+$P$12/$K35),"")</f>
        <v>12.730653924386576</v>
      </c>
      <c r="N35" s="210">
        <f t="shared" ref="M35:Q37" si="4">IFERROR($H$34/(($P$6/N$17)+$P$12/$K35),"")</f>
        <v>31.442600612406327</v>
      </c>
      <c r="O35" s="210">
        <f t="shared" si="4"/>
        <v>61.645465642057118</v>
      </c>
      <c r="P35" s="210">
        <f t="shared" si="4"/>
        <v>704.86514955342454</v>
      </c>
      <c r="Q35" s="214">
        <f t="shared" si="4"/>
        <v>1393.7040331503702</v>
      </c>
    </row>
    <row r="36" spans="2:17" s="19" customFormat="1">
      <c r="B36" s="521"/>
      <c r="C36" s="523"/>
      <c r="D36" s="526"/>
      <c r="E36" s="526"/>
      <c r="F36" s="519"/>
      <c r="G36" s="48"/>
      <c r="H36" s="529"/>
      <c r="I36" s="535"/>
      <c r="J36" s="537"/>
      <c r="K36" s="211">
        <f>'List Values'!$D$24</f>
        <v>10</v>
      </c>
      <c r="L36" s="210">
        <f>IFERROR($H$34/($P$6+$P$12/K36),"")</f>
        <v>1.2829898552729926</v>
      </c>
      <c r="M36" s="210">
        <f t="shared" si="4"/>
        <v>12.782695763881483</v>
      </c>
      <c r="N36" s="210">
        <f t="shared" si="4"/>
        <v>31.76197897301617</v>
      </c>
      <c r="O36" s="210">
        <f t="shared" si="4"/>
        <v>62.885201224812654</v>
      </c>
      <c r="P36" s="210">
        <f t="shared" si="4"/>
        <v>909.99235062469904</v>
      </c>
      <c r="Q36" s="214">
        <f t="shared" si="4"/>
        <v>2514.3841246232732</v>
      </c>
    </row>
    <row r="37" spans="2:17" s="19" customFormat="1">
      <c r="B37" s="521"/>
      <c r="C37" s="523"/>
      <c r="D37" s="526"/>
      <c r="E37" s="526"/>
      <c r="F37" s="519"/>
      <c r="G37" s="48"/>
      <c r="H37" s="529"/>
      <c r="I37" s="535"/>
      <c r="J37" s="537"/>
      <c r="K37" s="211">
        <f>'List Values'!$D$25</f>
        <v>20</v>
      </c>
      <c r="L37" s="210">
        <f>IFERROR($H$34/($P$6+$P$12/K37),"")</f>
        <v>1.2832531153646152</v>
      </c>
      <c r="M37" s="210">
        <f t="shared" si="4"/>
        <v>12.808876567412497</v>
      </c>
      <c r="N37" s="210">
        <f t="shared" si="4"/>
        <v>31.924113638712864</v>
      </c>
      <c r="O37" s="210">
        <f t="shared" si="4"/>
        <v>63.52395794603234</v>
      </c>
      <c r="P37" s="210">
        <f t="shared" si="4"/>
        <v>1064.9514273399425</v>
      </c>
      <c r="Q37" s="214">
        <f t="shared" si="4"/>
        <v>4205.0140734437391</v>
      </c>
    </row>
    <row r="38" spans="2:17" s="19" customFormat="1">
      <c r="B38" s="521" t="s">
        <v>119</v>
      </c>
      <c r="C38" s="523"/>
      <c r="D38" s="526"/>
      <c r="E38" s="526"/>
      <c r="F38" s="519"/>
      <c r="G38" s="48"/>
      <c r="H38" s="529">
        <f>_xlfn.XLOOKUP(B38, Tox_Table[Code],Tox_Table[HED / POD (mg/kg/day)], FALSE)</f>
        <v>1.1000000000000001</v>
      </c>
      <c r="I38" s="535" t="s">
        <v>93</v>
      </c>
      <c r="J38" s="537">
        <f>_xlfn.XLOOKUP($B38,Tox_Table[Code],Tox_Table[Benchmark MOE])</f>
        <v>30</v>
      </c>
      <c r="K38" s="211" t="s">
        <v>164</v>
      </c>
      <c r="L38" s="210">
        <f>IFERROR($H$38/($P$7+$P$13),"")</f>
        <v>7.5999204989636482</v>
      </c>
      <c r="M38" s="210">
        <f>IFERROR($H$38/(($P$7/M$17)+$P$13),"")</f>
        <v>68.506590453440282</v>
      </c>
      <c r="N38" s="210">
        <f>IFERROR($H$38/(($P$7/N$17)+$P$13),"")</f>
        <v>147.09653782744093</v>
      </c>
      <c r="O38" s="210">
        <f>IFERROR($H$38/(($P$7/O$17)+$P$13),"")</f>
        <v>238.1729200652529</v>
      </c>
      <c r="P38" s="210">
        <f>IFERROR($H$38/(($P$7/P$17)+$P$13),"")</f>
        <v>578.3739983794004</v>
      </c>
      <c r="Q38" s="214">
        <f>IFERROR($H$38/(($P$7/Q$17)+$P$13),"")</f>
        <v>620.34667567959059</v>
      </c>
    </row>
    <row r="39" spans="2:17" s="19" customFormat="1">
      <c r="B39" s="521" t="s">
        <v>119</v>
      </c>
      <c r="C39" s="523"/>
      <c r="D39" s="526"/>
      <c r="E39" s="526"/>
      <c r="F39" s="519"/>
      <c r="G39" s="48"/>
      <c r="H39" s="529"/>
      <c r="I39" s="535"/>
      <c r="J39" s="537"/>
      <c r="K39" s="211">
        <f>'List Values'!$D$23</f>
        <v>5</v>
      </c>
      <c r="L39" s="210">
        <f>IFERROR($H$38/($P$7+$P$13/K39),"")</f>
        <v>7.6745310699041793</v>
      </c>
      <c r="M39" s="210">
        <f t="shared" ref="M39:Q41" si="5">IFERROR($H$38/(($P$7/M$17)+$P$13/$K39),"")</f>
        <v>75.086728444124461</v>
      </c>
      <c r="N39" s="210">
        <f t="shared" si="5"/>
        <v>181.19048693533102</v>
      </c>
      <c r="O39" s="210">
        <f t="shared" si="5"/>
        <v>342.53295226720138</v>
      </c>
      <c r="P39" s="210">
        <f t="shared" si="5"/>
        <v>2223.2989548003047</v>
      </c>
      <c r="Q39" s="214">
        <f t="shared" si="5"/>
        <v>3004.8178118714627</v>
      </c>
    </row>
    <row r="40" spans="2:17" s="19" customFormat="1">
      <c r="B40" s="521"/>
      <c r="C40" s="523"/>
      <c r="D40" s="526"/>
      <c r="E40" s="526"/>
      <c r="F40" s="519"/>
      <c r="G40" s="48"/>
      <c r="H40" s="529"/>
      <c r="I40" s="535"/>
      <c r="J40" s="537"/>
      <c r="K40" s="211">
        <f>'List Values'!$D$24</f>
        <v>10</v>
      </c>
      <c r="L40" s="210">
        <f>IFERROR($H$38/($P$7+$P$13/K40),"")</f>
        <v>7.6839605218586193</v>
      </c>
      <c r="M40" s="210">
        <f t="shared" si="5"/>
        <v>75.999204989636482</v>
      </c>
      <c r="N40" s="210">
        <f t="shared" si="5"/>
        <v>186.59664451364043</v>
      </c>
      <c r="O40" s="210">
        <f t="shared" si="5"/>
        <v>362.38097387066205</v>
      </c>
      <c r="P40" s="210">
        <f t="shared" si="5"/>
        <v>3449.6831704435617</v>
      </c>
      <c r="Q40" s="214">
        <f t="shared" si="5"/>
        <v>5783.7399837940038</v>
      </c>
    </row>
    <row r="41" spans="2:17" s="19" customFormat="1" ht="13.5" thickBot="1">
      <c r="B41" s="521"/>
      <c r="C41" s="523"/>
      <c r="D41" s="526"/>
      <c r="E41" s="526"/>
      <c r="F41" s="519"/>
      <c r="G41" s="48"/>
      <c r="H41" s="534"/>
      <c r="I41" s="536"/>
      <c r="J41" s="538"/>
      <c r="K41" s="217">
        <f>'List Values'!$D$25</f>
        <v>20</v>
      </c>
      <c r="L41" s="218">
        <f>IFERROR($H$38/($P$7+$P$13/K41),"")</f>
        <v>7.6886839424277493</v>
      </c>
      <c r="M41" s="218">
        <f t="shared" si="5"/>
        <v>76.46381062113754</v>
      </c>
      <c r="N41" s="218">
        <f t="shared" si="5"/>
        <v>189.42253255331198</v>
      </c>
      <c r="O41" s="218">
        <f t="shared" si="5"/>
        <v>373.19328902728085</v>
      </c>
      <c r="P41" s="218">
        <f t="shared" si="5"/>
        <v>4763.458401305058</v>
      </c>
      <c r="Q41" s="219">
        <f t="shared" si="5"/>
        <v>10758.666889968181</v>
      </c>
    </row>
    <row r="42" spans="2:17" s="28" customFormat="1">
      <c r="B42" s="521" t="s">
        <v>131</v>
      </c>
      <c r="C42" s="522" t="s">
        <v>167</v>
      </c>
      <c r="D42" s="525">
        <f>_xlfn.XLOOKUP($B42,Tox_Table[Code],Tox_Table[Health Effect])</f>
        <v>0</v>
      </c>
      <c r="E42" s="525">
        <f>_xlfn.XLOOKUP($B42,Tox_Table[Code],Tox_Table[Endpoint])</f>
        <v>0</v>
      </c>
      <c r="F42" s="518">
        <f>_xlfn.XLOOKUP($B42,Tox_Table[Code],Tox_Table[Study])</f>
        <v>0</v>
      </c>
      <c r="G42" s="295"/>
      <c r="H42" s="528">
        <f>_xlfn.XLOOKUP($B42, Tox_Table[Code],Tox_Table[CSF (mg/kg-day-1)], FALSE)</f>
        <v>0</v>
      </c>
      <c r="I42" s="539" t="s">
        <v>92</v>
      </c>
      <c r="J42" s="540">
        <v>1E-4</v>
      </c>
      <c r="K42" s="216" t="s">
        <v>164</v>
      </c>
      <c r="L42" s="50">
        <f>IFERROR($H$42*($Q$6+$Q$12),"")</f>
        <v>0</v>
      </c>
      <c r="M42" s="50">
        <f>IFERROR($H$42*(($Q$6/M$17)+$Q$12),"")</f>
        <v>0</v>
      </c>
      <c r="N42" s="50">
        <f>IFERROR($H$42*(($Q$6/N$17)+$Q$12),"")</f>
        <v>0</v>
      </c>
      <c r="O42" s="50">
        <f>IFERROR($H$42*(($Q$6/O$17)+$Q$12),"")</f>
        <v>0</v>
      </c>
      <c r="P42" s="50">
        <f>IFERROR($H$42*(($Q$6/P$17)+$Q$12),"")</f>
        <v>0</v>
      </c>
      <c r="Q42" s="51">
        <f>IFERROR($H$42*(($Q$6/Q$17)+$Q$12),"")</f>
        <v>0</v>
      </c>
    </row>
    <row r="43" spans="2:17" s="28" customFormat="1">
      <c r="B43" s="521" t="s">
        <v>131</v>
      </c>
      <c r="C43" s="523"/>
      <c r="D43" s="526"/>
      <c r="E43" s="526"/>
      <c r="F43" s="519"/>
      <c r="G43" s="42"/>
      <c r="H43" s="529"/>
      <c r="I43" s="530"/>
      <c r="J43" s="532"/>
      <c r="K43" s="211">
        <f>'List Values'!$D$23</f>
        <v>5</v>
      </c>
      <c r="L43" s="210">
        <f>IFERROR($H$42*($Q$6+$Q$12/K43),"")</f>
        <v>0</v>
      </c>
      <c r="M43" s="210">
        <f>IFERROR($H$42*(($Q$6/M$17)+$Q$12/$K43),"")</f>
        <v>0</v>
      </c>
      <c r="N43" s="210">
        <f t="shared" ref="M43:Q45" si="6">IFERROR($H$42*(($Q$6/N$17)+$Q$12/$K43),"")</f>
        <v>0</v>
      </c>
      <c r="O43" s="210">
        <f t="shared" si="6"/>
        <v>0</v>
      </c>
      <c r="P43" s="210">
        <f t="shared" si="6"/>
        <v>0</v>
      </c>
      <c r="Q43" s="214">
        <f t="shared" si="6"/>
        <v>0</v>
      </c>
    </row>
    <row r="44" spans="2:17" s="28" customFormat="1">
      <c r="B44" s="521"/>
      <c r="C44" s="523"/>
      <c r="D44" s="526"/>
      <c r="E44" s="526"/>
      <c r="F44" s="519"/>
      <c r="G44" s="42"/>
      <c r="H44" s="529"/>
      <c r="I44" s="530"/>
      <c r="J44" s="532"/>
      <c r="K44" s="211">
        <f>'List Values'!$D$24</f>
        <v>10</v>
      </c>
      <c r="L44" s="210">
        <f>IFERROR($H$42*($Q$6+$Q$12/K44),"")</f>
        <v>0</v>
      </c>
      <c r="M44" s="210">
        <f t="shared" si="6"/>
        <v>0</v>
      </c>
      <c r="N44" s="210">
        <f t="shared" si="6"/>
        <v>0</v>
      </c>
      <c r="O44" s="210">
        <f t="shared" si="6"/>
        <v>0</v>
      </c>
      <c r="P44" s="210">
        <f t="shared" si="6"/>
        <v>0</v>
      </c>
      <c r="Q44" s="214">
        <f t="shared" si="6"/>
        <v>0</v>
      </c>
    </row>
    <row r="45" spans="2:17" s="28" customFormat="1" ht="13.5" thickBot="1">
      <c r="B45" s="521"/>
      <c r="C45" s="523"/>
      <c r="D45" s="526"/>
      <c r="E45" s="526"/>
      <c r="F45" s="519"/>
      <c r="G45" s="42"/>
      <c r="H45" s="529"/>
      <c r="I45" s="530"/>
      <c r="J45" s="532"/>
      <c r="K45" s="211">
        <f>'List Values'!$D$25</f>
        <v>20</v>
      </c>
      <c r="L45" s="210">
        <f>IFERROR($H$42*($Q$6+$Q$12/K45),"")</f>
        <v>0</v>
      </c>
      <c r="M45" s="210">
        <f t="shared" si="6"/>
        <v>0</v>
      </c>
      <c r="N45" s="210">
        <f t="shared" si="6"/>
        <v>0</v>
      </c>
      <c r="O45" s="210">
        <f t="shared" si="6"/>
        <v>0</v>
      </c>
      <c r="P45" s="210">
        <f t="shared" si="6"/>
        <v>0</v>
      </c>
      <c r="Q45" s="214">
        <f t="shared" si="6"/>
        <v>0</v>
      </c>
    </row>
    <row r="46" spans="2:17" s="28" customFormat="1">
      <c r="B46" s="521" t="s">
        <v>131</v>
      </c>
      <c r="C46" s="523"/>
      <c r="D46" s="526"/>
      <c r="E46" s="526"/>
      <c r="F46" s="519"/>
      <c r="G46" s="42"/>
      <c r="H46" s="528">
        <f>_xlfn.XLOOKUP($B46, Tox_Table[Code],Tox_Table[CSF (mg/kg-day-1)], FALSE)</f>
        <v>0</v>
      </c>
      <c r="I46" s="530" t="s">
        <v>93</v>
      </c>
      <c r="J46" s="532">
        <v>1E-4</v>
      </c>
      <c r="K46" s="211" t="s">
        <v>164</v>
      </c>
      <c r="L46" s="210">
        <f>IFERROR($H$46*($Q$7+$Q$13),"")</f>
        <v>0</v>
      </c>
      <c r="M46" s="210">
        <f>IFERROR($H$46*(($Q$7/M$17)+$Q$13),"")</f>
        <v>0</v>
      </c>
      <c r="N46" s="210">
        <f>IFERROR($H$46*(($Q$7/N$17)+$Q$13),"")</f>
        <v>0</v>
      </c>
      <c r="O46" s="210">
        <f>IFERROR($H$46*(($Q$7/O$17)+$Q$13),"")</f>
        <v>0</v>
      </c>
      <c r="P46" s="210">
        <f>IFERROR($H$46*(($Q$7/P$17)+$Q$13),"")</f>
        <v>0</v>
      </c>
      <c r="Q46" s="214">
        <f>IFERROR($H$46*(($Q$7/Q$17)+$Q$13),"")</f>
        <v>0</v>
      </c>
    </row>
    <row r="47" spans="2:17" s="28" customFormat="1">
      <c r="B47" s="521" t="s">
        <v>131</v>
      </c>
      <c r="C47" s="523"/>
      <c r="D47" s="526"/>
      <c r="E47" s="526"/>
      <c r="F47" s="519"/>
      <c r="G47" s="42"/>
      <c r="H47" s="529"/>
      <c r="I47" s="530"/>
      <c r="J47" s="532"/>
      <c r="K47" s="211">
        <f>'List Values'!$D$23</f>
        <v>5</v>
      </c>
      <c r="L47" s="210">
        <f>IFERROR($H$46*($Q$7+$Q$13/K47),"")</f>
        <v>0</v>
      </c>
      <c r="M47" s="210">
        <f t="shared" ref="M47:Q49" si="7">IFERROR($H$46*(($Q$7/M$17)+$Q$13/$K47),"")</f>
        <v>0</v>
      </c>
      <c r="N47" s="210">
        <f t="shared" si="7"/>
        <v>0</v>
      </c>
      <c r="O47" s="210">
        <f t="shared" si="7"/>
        <v>0</v>
      </c>
      <c r="P47" s="210">
        <f t="shared" si="7"/>
        <v>0</v>
      </c>
      <c r="Q47" s="214">
        <f t="shared" si="7"/>
        <v>0</v>
      </c>
    </row>
    <row r="48" spans="2:17" s="28" customFormat="1">
      <c r="B48" s="521"/>
      <c r="C48" s="523"/>
      <c r="D48" s="526"/>
      <c r="E48" s="526"/>
      <c r="F48" s="519"/>
      <c r="G48" s="42"/>
      <c r="H48" s="529"/>
      <c r="I48" s="530"/>
      <c r="J48" s="532"/>
      <c r="K48" s="211">
        <f>'List Values'!$D$24</f>
        <v>10</v>
      </c>
      <c r="L48" s="210">
        <f>IFERROR($H$46*($Q$7+$Q$13/K48),"")</f>
        <v>0</v>
      </c>
      <c r="M48" s="210">
        <f t="shared" si="7"/>
        <v>0</v>
      </c>
      <c r="N48" s="210">
        <f t="shared" si="7"/>
        <v>0</v>
      </c>
      <c r="O48" s="210">
        <f t="shared" si="7"/>
        <v>0</v>
      </c>
      <c r="P48" s="210">
        <f t="shared" si="7"/>
        <v>0</v>
      </c>
      <c r="Q48" s="214">
        <f t="shared" si="7"/>
        <v>0</v>
      </c>
    </row>
    <row r="49" spans="1:17" s="28" customFormat="1" ht="13.5" thickBot="1">
      <c r="B49" s="521"/>
      <c r="C49" s="524"/>
      <c r="D49" s="527"/>
      <c r="E49" s="527"/>
      <c r="F49" s="520"/>
      <c r="G49" s="53"/>
      <c r="H49" s="529"/>
      <c r="I49" s="531"/>
      <c r="J49" s="533"/>
      <c r="K49" s="41">
        <f>'List Values'!$D$25</f>
        <v>20</v>
      </c>
      <c r="L49" s="46">
        <f>IFERROR($H$46*($Q$7+$Q$13/K49),"")</f>
        <v>0</v>
      </c>
      <c r="M49" s="46">
        <f t="shared" si="7"/>
        <v>0</v>
      </c>
      <c r="N49" s="46">
        <f t="shared" si="7"/>
        <v>0</v>
      </c>
      <c r="O49" s="46">
        <f t="shared" si="7"/>
        <v>0</v>
      </c>
      <c r="P49" s="46">
        <f t="shared" si="7"/>
        <v>0</v>
      </c>
      <c r="Q49" s="47">
        <f t="shared" si="7"/>
        <v>0</v>
      </c>
    </row>
    <row r="50" spans="1:17" s="19" customFormat="1">
      <c r="B50" s="14"/>
      <c r="C50" s="15"/>
      <c r="D50" s="16"/>
      <c r="E50" s="15"/>
      <c r="F50" s="15"/>
      <c r="G50" s="17"/>
      <c r="H50" s="17"/>
      <c r="I50" s="15"/>
      <c r="J50" s="17"/>
      <c r="K50" s="17"/>
      <c r="L50" s="17"/>
      <c r="M50" s="17"/>
      <c r="N50" s="17"/>
      <c r="P50" s="17"/>
      <c r="Q50" s="17"/>
    </row>
    <row r="51" spans="1:17" s="19" customFormat="1">
      <c r="B51" s="14"/>
      <c r="C51" s="15"/>
      <c r="D51" s="16"/>
      <c r="E51" s="15"/>
      <c r="F51" s="15"/>
      <c r="G51" s="17"/>
      <c r="H51" s="17"/>
      <c r="I51" s="15"/>
      <c r="J51" s="17"/>
      <c r="K51" s="17"/>
      <c r="L51" s="17"/>
      <c r="M51" s="17"/>
      <c r="N51" s="17"/>
      <c r="O51" s="17"/>
      <c r="P51" s="17"/>
      <c r="Q51" s="17"/>
    </row>
    <row r="52" spans="1:17" s="19" customFormat="1">
      <c r="B52" s="14"/>
      <c r="C52" s="15"/>
      <c r="D52" s="16"/>
      <c r="E52" s="15"/>
      <c r="F52" s="15"/>
      <c r="G52" s="17"/>
      <c r="H52" s="17"/>
      <c r="I52" s="15"/>
      <c r="J52" s="17"/>
      <c r="K52" s="17"/>
      <c r="L52" s="17"/>
      <c r="M52" s="17"/>
      <c r="N52" s="17"/>
      <c r="O52" s="17"/>
      <c r="P52" s="17"/>
      <c r="Q52" s="17"/>
    </row>
    <row r="53" spans="1:17" s="19" customFormat="1">
      <c r="A53" s="17"/>
      <c r="B53" s="14"/>
      <c r="C53" s="15"/>
      <c r="D53" s="16"/>
      <c r="E53" s="15"/>
      <c r="F53" s="15"/>
      <c r="G53" s="17"/>
      <c r="H53" s="17"/>
      <c r="I53" s="15"/>
      <c r="J53" s="17"/>
      <c r="K53" s="17"/>
      <c r="L53" s="17"/>
      <c r="M53" s="17"/>
      <c r="N53" s="17"/>
      <c r="O53" s="17"/>
      <c r="P53" s="17"/>
      <c r="Q53" s="17"/>
    </row>
    <row r="58" spans="1:17">
      <c r="I58" s="21"/>
      <c r="J58" s="19"/>
      <c r="K58" s="19"/>
      <c r="L58" s="19"/>
      <c r="M58" s="19"/>
      <c r="N58" s="19"/>
    </row>
    <row r="63" spans="1:17">
      <c r="P63" s="19"/>
      <c r="Q63" s="19"/>
    </row>
    <row r="64" spans="1:17">
      <c r="C64" s="21"/>
      <c r="D64" s="35"/>
      <c r="E64" s="21"/>
      <c r="F64" s="21"/>
      <c r="G64" s="19"/>
      <c r="H64" s="19"/>
    </row>
    <row r="66" spans="1:17">
      <c r="B66" s="28"/>
    </row>
    <row r="67" spans="1:17">
      <c r="B67" s="54"/>
    </row>
    <row r="68" spans="1:17">
      <c r="B68" s="54"/>
      <c r="I68" s="55"/>
      <c r="J68" s="55"/>
      <c r="K68" s="55"/>
      <c r="L68" s="55"/>
      <c r="M68" s="55"/>
      <c r="N68" s="55"/>
      <c r="O68" s="19"/>
    </row>
    <row r="69" spans="1:17">
      <c r="B69" s="54"/>
      <c r="I69" s="55"/>
      <c r="J69" s="55"/>
      <c r="K69" s="55"/>
      <c r="L69" s="55"/>
      <c r="M69" s="55"/>
      <c r="N69" s="55"/>
    </row>
    <row r="70" spans="1:17">
      <c r="B70" s="54"/>
      <c r="C70" s="56"/>
      <c r="D70" s="57"/>
      <c r="E70" s="56"/>
      <c r="I70" s="55"/>
      <c r="J70" s="55"/>
      <c r="K70" s="55"/>
      <c r="L70" s="55"/>
      <c r="M70" s="55"/>
      <c r="N70" s="55"/>
    </row>
    <row r="71" spans="1:17" s="19" customFormat="1">
      <c r="A71" s="17"/>
      <c r="B71" s="54"/>
      <c r="C71" s="15"/>
      <c r="D71" s="16"/>
      <c r="E71" s="56"/>
      <c r="F71" s="15"/>
      <c r="G71" s="17"/>
      <c r="H71" s="17"/>
      <c r="I71" s="55"/>
      <c r="J71" s="55"/>
      <c r="K71" s="55"/>
      <c r="L71" s="55"/>
      <c r="M71" s="55"/>
      <c r="N71" s="55"/>
      <c r="O71" s="17"/>
      <c r="P71" s="17"/>
      <c r="Q71" s="17"/>
    </row>
    <row r="73" spans="1:17">
      <c r="F73" s="55"/>
      <c r="G73" s="58"/>
      <c r="H73" s="234"/>
      <c r="I73" s="237"/>
      <c r="J73" s="235"/>
      <c r="K73" s="235"/>
    </row>
    <row r="74" spans="1:17">
      <c r="H74" s="34"/>
      <c r="I74" s="238"/>
      <c r="J74" s="231"/>
      <c r="K74" s="231"/>
    </row>
    <row r="75" spans="1:17">
      <c r="A75" s="17" t="s">
        <v>168</v>
      </c>
      <c r="H75" s="34"/>
      <c r="I75" s="238"/>
      <c r="J75" s="231"/>
      <c r="K75" s="231"/>
    </row>
    <row r="76" spans="1:17">
      <c r="H76" s="34"/>
      <c r="I76" s="238"/>
      <c r="J76" s="231"/>
      <c r="K76" s="231"/>
    </row>
    <row r="77" spans="1:17">
      <c r="H77" s="34"/>
      <c r="I77" s="238"/>
      <c r="J77" s="231"/>
      <c r="K77" s="231"/>
    </row>
    <row r="78" spans="1:17">
      <c r="H78" s="34"/>
      <c r="I78" s="238"/>
      <c r="J78" s="231"/>
      <c r="K78" s="231"/>
    </row>
    <row r="79" spans="1:17">
      <c r="H79" s="34"/>
      <c r="I79" s="238"/>
      <c r="J79" s="231"/>
      <c r="K79" s="231"/>
    </row>
  </sheetData>
  <sheetProtection sheet="1" objects="1" scenarios="1"/>
  <autoFilter ref="A17:Y49" xr:uid="{0343F8EF-0238-48DF-B0F9-9BD2EA206E1A}">
    <filterColumn colId="3" showButton="0"/>
  </autoFilter>
  <dataConsolidate link="1"/>
  <mergeCells count="68">
    <mergeCell ref="D2:E2"/>
    <mergeCell ref="L4:L5"/>
    <mergeCell ref="M4:M5"/>
    <mergeCell ref="C15:C17"/>
    <mergeCell ref="D15:E17"/>
    <mergeCell ref="F15:F17"/>
    <mergeCell ref="H15:H17"/>
    <mergeCell ref="I15:I17"/>
    <mergeCell ref="L10:L11"/>
    <mergeCell ref="M10:M11"/>
    <mergeCell ref="D4:E4"/>
    <mergeCell ref="L6:L7"/>
    <mergeCell ref="L12:L13"/>
    <mergeCell ref="D3:E3"/>
    <mergeCell ref="H18:H21"/>
    <mergeCell ref="H22:H25"/>
    <mergeCell ref="H26:H29"/>
    <mergeCell ref="I26:I29"/>
    <mergeCell ref="M14:N14"/>
    <mergeCell ref="J15:J17"/>
    <mergeCell ref="L16:L17"/>
    <mergeCell ref="J18:J21"/>
    <mergeCell ref="I18:I21"/>
    <mergeCell ref="I22:I25"/>
    <mergeCell ref="J22:J25"/>
    <mergeCell ref="J26:J29"/>
    <mergeCell ref="M16:Q16"/>
    <mergeCell ref="K16:K17"/>
    <mergeCell ref="K15:Q15"/>
    <mergeCell ref="H30:H33"/>
    <mergeCell ref="I30:I33"/>
    <mergeCell ref="J30:J33"/>
    <mergeCell ref="H34:H37"/>
    <mergeCell ref="B34:B37"/>
    <mergeCell ref="C34:C41"/>
    <mergeCell ref="I34:I37"/>
    <mergeCell ref="J34:J37"/>
    <mergeCell ref="D34:D41"/>
    <mergeCell ref="E34:E41"/>
    <mergeCell ref="F34:F41"/>
    <mergeCell ref="B38:B41"/>
    <mergeCell ref="E26:E33"/>
    <mergeCell ref="F26:F33"/>
    <mergeCell ref="D26:D33"/>
    <mergeCell ref="H46:H49"/>
    <mergeCell ref="I46:I49"/>
    <mergeCell ref="J46:J49"/>
    <mergeCell ref="H38:H41"/>
    <mergeCell ref="I38:I41"/>
    <mergeCell ref="J38:J41"/>
    <mergeCell ref="H42:H45"/>
    <mergeCell ref="I42:I45"/>
    <mergeCell ref="J42:J45"/>
    <mergeCell ref="F42:F49"/>
    <mergeCell ref="B46:B49"/>
    <mergeCell ref="C18:C25"/>
    <mergeCell ref="B18:B21"/>
    <mergeCell ref="B22:B25"/>
    <mergeCell ref="B26:B29"/>
    <mergeCell ref="C26:C33"/>
    <mergeCell ref="B30:B33"/>
    <mergeCell ref="F18:F25"/>
    <mergeCell ref="E18:E25"/>
    <mergeCell ref="D18:D25"/>
    <mergeCell ref="B42:B45"/>
    <mergeCell ref="C42:C49"/>
    <mergeCell ref="D42:D49"/>
    <mergeCell ref="E42:E49"/>
  </mergeCells>
  <phoneticPr fontId="2" type="noConversion"/>
  <conditionalFormatting sqref="F4">
    <cfRule type="cellIs" dxfId="325" priority="47" stopIfTrue="1" operator="equal">
      <formula>0</formula>
    </cfRule>
    <cfRule type="containsBlanks" dxfId="324" priority="48" stopIfTrue="1">
      <formula>LEN(TRIM(F4))=0</formula>
    </cfRule>
    <cfRule type="cellIs" dxfId="323" priority="49" operator="lessThan">
      <formula>0.1</formula>
    </cfRule>
  </conditionalFormatting>
  <conditionalFormatting sqref="H18 H34 H42 H46">
    <cfRule type="cellIs" dxfId="322" priority="165" operator="lessThan">
      <formula>10</formula>
    </cfRule>
    <cfRule type="cellIs" dxfId="321" priority="164" operator="lessThan">
      <formula>0.1</formula>
    </cfRule>
    <cfRule type="containsBlanks" dxfId="320" priority="163" stopIfTrue="1">
      <formula>LEN(TRIM(H18))=0</formula>
    </cfRule>
    <cfRule type="cellIs" dxfId="319" priority="162" stopIfTrue="1" operator="equal">
      <formula>0</formula>
    </cfRule>
    <cfRule type="cellIs" dxfId="318" priority="166" operator="greaterThanOrEqual">
      <formula>10</formula>
    </cfRule>
  </conditionalFormatting>
  <conditionalFormatting sqref="H22">
    <cfRule type="cellIs" dxfId="317" priority="133" operator="greaterThanOrEqual">
      <formula>10</formula>
    </cfRule>
    <cfRule type="cellIs" dxfId="316" priority="129" stopIfTrue="1" operator="equal">
      <formula>0</formula>
    </cfRule>
    <cfRule type="cellIs" dxfId="315" priority="132" operator="lessThan">
      <formula>10</formula>
    </cfRule>
    <cfRule type="cellIs" dxfId="314" priority="131" operator="lessThan">
      <formula>0.1</formula>
    </cfRule>
    <cfRule type="containsBlanks" dxfId="313" priority="130" stopIfTrue="1">
      <formula>LEN(TRIM(H22))=0</formula>
    </cfRule>
  </conditionalFormatting>
  <conditionalFormatting sqref="H26">
    <cfRule type="cellIs" dxfId="312" priority="111" operator="greaterThanOrEqual">
      <formula>10</formula>
    </cfRule>
    <cfRule type="cellIs" dxfId="311" priority="110" operator="lessThan">
      <formula>10</formula>
    </cfRule>
    <cfRule type="cellIs" dxfId="310" priority="109" operator="lessThan">
      <formula>0.1</formula>
    </cfRule>
    <cfRule type="containsBlanks" dxfId="309" priority="108" stopIfTrue="1">
      <formula>LEN(TRIM(H26))=0</formula>
    </cfRule>
    <cfRule type="cellIs" dxfId="308" priority="107" stopIfTrue="1" operator="equal">
      <formula>0</formula>
    </cfRule>
  </conditionalFormatting>
  <conditionalFormatting sqref="H30">
    <cfRule type="cellIs" dxfId="307" priority="102" stopIfTrue="1" operator="equal">
      <formula>0</formula>
    </cfRule>
    <cfRule type="cellIs" dxfId="306" priority="105" operator="lessThan">
      <formula>10</formula>
    </cfRule>
    <cfRule type="cellIs" dxfId="305" priority="104" operator="lessThan">
      <formula>0.1</formula>
    </cfRule>
    <cfRule type="cellIs" dxfId="304" priority="106" operator="greaterThanOrEqual">
      <formula>10</formula>
    </cfRule>
    <cfRule type="containsBlanks" dxfId="303" priority="103" stopIfTrue="1">
      <formula>LEN(TRIM(H30))=0</formula>
    </cfRule>
  </conditionalFormatting>
  <conditionalFormatting sqref="H38">
    <cfRule type="cellIs" dxfId="302" priority="87" operator="greaterThanOrEqual">
      <formula>10</formula>
    </cfRule>
    <cfRule type="cellIs" dxfId="301" priority="83" stopIfTrue="1" operator="equal">
      <formula>0</formula>
    </cfRule>
    <cfRule type="containsBlanks" dxfId="300" priority="84" stopIfTrue="1">
      <formula>LEN(TRIM(H38))=0</formula>
    </cfRule>
    <cfRule type="cellIs" dxfId="299" priority="85" operator="lessThan">
      <formula>0.1</formula>
    </cfRule>
    <cfRule type="cellIs" dxfId="298" priority="86" operator="lessThan">
      <formula>10</formula>
    </cfRule>
  </conditionalFormatting>
  <conditionalFormatting sqref="L18:Q41">
    <cfRule type="cellIs" dxfId="297" priority="56" operator="greaterThanOrEqual">
      <formula>$J$18</formula>
    </cfRule>
    <cfRule type="cellIs" dxfId="296" priority="55" operator="lessThan">
      <formula>$J$18</formula>
    </cfRule>
  </conditionalFormatting>
  <conditionalFormatting sqref="L18:Q49">
    <cfRule type="containsBlanks" dxfId="295" priority="10">
      <formula>LEN(TRIM(L18))=0</formula>
    </cfRule>
    <cfRule type="cellIs" dxfId="294" priority="53" operator="lessThan">
      <formula>10</formula>
    </cfRule>
    <cfRule type="cellIs" dxfId="293" priority="52" operator="lessThan">
      <formula>0.1</formula>
    </cfRule>
    <cfRule type="cellIs" dxfId="292" priority="54" operator="greaterThanOrEqual">
      <formula>10</formula>
    </cfRule>
    <cfRule type="cellIs" dxfId="291" priority="11" stopIfTrue="1" operator="equal">
      <formula>0</formula>
    </cfRule>
  </conditionalFormatting>
  <conditionalFormatting sqref="L42:Q49">
    <cfRule type="cellIs" dxfId="290" priority="51" operator="greaterThanOrEqual">
      <formula>$J$42</formula>
    </cfRule>
    <cfRule type="cellIs" dxfId="289" priority="50" operator="lessThan">
      <formula>$J$42</formula>
    </cfRule>
  </conditionalFormatting>
  <conditionalFormatting sqref="N6:Q7">
    <cfRule type="cellIs" dxfId="288" priority="46" operator="lessThan">
      <formula>0.1</formula>
    </cfRule>
    <cfRule type="cellIs" dxfId="287" priority="44" operator="between">
      <formula>1</formula>
      <formula>9.999</formula>
    </cfRule>
    <cfRule type="cellIs" dxfId="286" priority="43" operator="between">
      <formula>10</formula>
      <formula>9999.999</formula>
    </cfRule>
    <cfRule type="cellIs" dxfId="285" priority="42" operator="greaterThan">
      <formula>10000</formula>
    </cfRule>
    <cfRule type="cellIs" dxfId="284" priority="41" operator="equal">
      <formula>0</formula>
    </cfRule>
    <cfRule type="cellIs" dxfId="283" priority="45" operator="between">
      <formula>0.1</formula>
      <formula>0.999</formula>
    </cfRule>
  </conditionalFormatting>
  <conditionalFormatting sqref="N12:Q13">
    <cfRule type="cellIs" dxfId="282" priority="1" operator="equal">
      <formula>0</formula>
    </cfRule>
    <cfRule type="cellIs" dxfId="281" priority="6" operator="lessThan">
      <formula>0.1</formula>
    </cfRule>
    <cfRule type="cellIs" dxfId="280" priority="5" operator="between">
      <formula>0.1</formula>
      <formula>0.999</formula>
    </cfRule>
    <cfRule type="cellIs" dxfId="279" priority="4" operator="between">
      <formula>1</formula>
      <formula>9.999</formula>
    </cfRule>
    <cfRule type="cellIs" dxfId="278" priority="3" operator="between">
      <formula>10</formula>
      <formula>9999.999</formula>
    </cfRule>
    <cfRule type="cellIs" dxfId="277" priority="2" operator="greaterThan">
      <formula>10000</formula>
    </cfRule>
  </conditionalFormatting>
  <conditionalFormatting sqref="O4:O5">
    <cfRule type="cellIs" dxfId="276" priority="152" stopIfTrue="1" operator="equal">
      <formula>0</formula>
    </cfRule>
    <cfRule type="cellIs" dxfId="275" priority="154" operator="lessThan">
      <formula>0.1</formula>
    </cfRule>
    <cfRule type="containsBlanks" dxfId="274" priority="153" stopIfTrue="1">
      <formula>LEN(TRIM(O4))=0</formula>
    </cfRule>
  </conditionalFormatting>
  <conditionalFormatting sqref="O10:O11">
    <cfRule type="cellIs" dxfId="273" priority="126" stopIfTrue="1" operator="equal">
      <formula>0</formula>
    </cfRule>
    <cfRule type="containsBlanks" dxfId="272" priority="127" stopIfTrue="1">
      <formula>LEN(TRIM(O10))=0</formula>
    </cfRule>
    <cfRule type="cellIs" dxfId="271" priority="128" operator="lessThan">
      <formula>0.1</formula>
    </cfRule>
  </conditionalFormatting>
  <dataValidations count="1">
    <dataValidation allowBlank="1" showErrorMessage="1" sqref="L4 L10" xr:uid="{0E2F5D05-59E6-4CA8-950E-8C0FEEEF3EDD}"/>
  </dataValidations>
  <pageMargins left="0.7" right="0.7" top="0.75" bottom="0.75" header="0.3" footer="0.3"/>
  <pageSetup orientation="portrait" r:id="rId1"/>
  <ignoredErrors>
    <ignoredError sqref="H22 H26 H34 H30" 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8AA2E77-9C7B-4A85-BD17-BFF4F592D56F}">
          <x14:formula1>
            <xm:f>'List Values'!$D$6:$D$8</xm:f>
          </x14:formula1>
          <xm:sqref>F4</xm:sqref>
        </x14:dataValidation>
        <x14:dataValidation type="list" allowBlank="1" showInputMessage="1" showErrorMessage="1" xr:uid="{D5F6A2A8-3149-4118-9B46-756968515682}">
          <x14:formula1>
            <xm:f>'List Values'!$B$2:$B$18</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D8A6-1677-465E-88B2-1343E7284108}">
  <sheetPr codeName="Sheet3">
    <tabColor rgb="FF92D050"/>
  </sheetPr>
  <dimension ref="A1:Z56"/>
  <sheetViews>
    <sheetView workbookViewId="0"/>
  </sheetViews>
  <sheetFormatPr defaultColWidth="8.85546875" defaultRowHeight="12.75"/>
  <cols>
    <col min="1" max="1" width="2.140625" style="17" customWidth="1"/>
    <col min="2" max="2" width="8.42578125" style="14" hidden="1" customWidth="1"/>
    <col min="3" max="3" width="17.140625" style="15" customWidth="1"/>
    <col min="4" max="4" width="13.5703125" style="16" customWidth="1"/>
    <col min="5" max="5" width="15.85546875" style="15" customWidth="1"/>
    <col min="6" max="6" width="13.42578125" style="15" customWidth="1"/>
    <col min="7" max="7" width="2.140625" style="17" customWidth="1"/>
    <col min="8" max="8" width="15" style="17" customWidth="1"/>
    <col min="9" max="9" width="23" style="17" customWidth="1"/>
    <col min="10" max="10" width="17.42578125" style="17" customWidth="1"/>
    <col min="11" max="11" width="15.5703125" style="17" customWidth="1"/>
    <col min="12" max="14" width="21.5703125" style="17" customWidth="1"/>
    <col min="15" max="15" width="10.140625" style="17" bestFit="1" customWidth="1"/>
    <col min="16" max="16" width="11.140625" style="17" bestFit="1" customWidth="1"/>
    <col min="17" max="17" width="2.85546875" style="17" customWidth="1"/>
    <col min="18" max="18" width="23.140625" style="17" customWidth="1"/>
    <col min="19" max="19" width="18.140625" style="17" customWidth="1"/>
    <col min="20" max="20" width="21.140625" style="17" customWidth="1"/>
    <col min="21" max="23" width="23.140625" style="17" customWidth="1"/>
    <col min="24" max="24" width="17" style="17" customWidth="1"/>
    <col min="25" max="25" width="13.140625" style="17" customWidth="1"/>
    <col min="26" max="16384" width="8.85546875" style="17"/>
  </cols>
  <sheetData>
    <row r="1" spans="2:26" ht="13.5" thickBot="1">
      <c r="C1" s="17"/>
      <c r="D1" s="14"/>
      <c r="E1" s="17"/>
      <c r="F1" s="17"/>
    </row>
    <row r="2" spans="2:26" ht="29.1" customHeight="1" thickBot="1">
      <c r="C2" s="98" t="s">
        <v>64</v>
      </c>
      <c r="D2" s="559" t="s">
        <v>65</v>
      </c>
      <c r="E2" s="560"/>
      <c r="F2" s="18" t="s">
        <v>67</v>
      </c>
      <c r="J2" s="19"/>
      <c r="K2" s="19"/>
      <c r="U2" s="19"/>
    </row>
    <row r="3" spans="2:26" ht="51">
      <c r="C3" s="99" t="s">
        <v>68</v>
      </c>
      <c r="D3" s="488" t="s">
        <v>69</v>
      </c>
      <c r="E3" s="503"/>
      <c r="F3" s="102" t="s">
        <v>72</v>
      </c>
      <c r="J3" s="19"/>
    </row>
    <row r="4" spans="2:26" ht="23.25" customHeight="1" thickBot="1">
      <c r="C4" s="23" t="s">
        <v>142</v>
      </c>
      <c r="D4" s="501" t="str">
        <f>_xlfn.XLOOKUP($C$4,Inhalation_Exp[OES],Inhalation_Exp[Data Type])</f>
        <v>Monitoring Data</v>
      </c>
      <c r="E4" s="502"/>
      <c r="F4" s="105" t="s">
        <v>74</v>
      </c>
      <c r="J4" s="19"/>
    </row>
    <row r="5" spans="2:26" ht="24.75" customHeight="1">
      <c r="I5" s="19"/>
      <c r="J5" s="19"/>
      <c r="K5" s="21"/>
      <c r="L5" s="21"/>
      <c r="M5" s="21"/>
      <c r="N5" s="25"/>
    </row>
    <row r="6" spans="2:26" ht="15.75">
      <c r="I6" s="204" t="s">
        <v>141</v>
      </c>
      <c r="J6" s="28"/>
      <c r="K6" s="19"/>
      <c r="L6" s="21"/>
      <c r="M6" s="21"/>
      <c r="N6" s="19"/>
      <c r="R6" s="204" t="s">
        <v>67</v>
      </c>
      <c r="U6" s="15"/>
      <c r="V6" s="21"/>
      <c r="W6" s="19"/>
    </row>
    <row r="7" spans="2:26" ht="15.75" customHeight="1" thickBot="1">
      <c r="I7" s="205" t="s">
        <v>77</v>
      </c>
      <c r="J7" s="14"/>
      <c r="N7" s="21"/>
      <c r="R7" s="205" t="s">
        <v>77</v>
      </c>
      <c r="T7" s="15"/>
      <c r="U7" s="21"/>
    </row>
    <row r="8" spans="2:26" ht="23.25" customHeight="1">
      <c r="I8" s="506" t="s">
        <v>78</v>
      </c>
      <c r="J8" s="481" t="s">
        <v>79</v>
      </c>
      <c r="K8" s="445" t="s">
        <v>144</v>
      </c>
      <c r="L8" s="445" t="s">
        <v>81</v>
      </c>
      <c r="M8" s="445" t="s">
        <v>145</v>
      </c>
      <c r="N8" s="24" t="s">
        <v>146</v>
      </c>
      <c r="R8" s="506" t="s">
        <v>78</v>
      </c>
      <c r="S8" s="481" t="s">
        <v>79</v>
      </c>
      <c r="T8" s="445" t="s">
        <v>150</v>
      </c>
      <c r="U8" s="445" t="s">
        <v>81</v>
      </c>
      <c r="V8" s="445" t="s">
        <v>151</v>
      </c>
      <c r="W8" s="24" t="s">
        <v>152</v>
      </c>
    </row>
    <row r="9" spans="2:26" ht="27" customHeight="1">
      <c r="H9" s="14"/>
      <c r="I9" s="507"/>
      <c r="J9" s="497"/>
      <c r="K9" s="446" t="s">
        <v>85</v>
      </c>
      <c r="L9" s="446" t="s">
        <v>86</v>
      </c>
      <c r="M9" s="446" t="s">
        <v>87</v>
      </c>
      <c r="N9" s="30" t="s">
        <v>88</v>
      </c>
      <c r="R9" s="507"/>
      <c r="S9" s="497"/>
      <c r="T9" s="446" t="s">
        <v>153</v>
      </c>
      <c r="U9" s="446" t="s">
        <v>86</v>
      </c>
      <c r="V9" s="446" t="s">
        <v>154</v>
      </c>
      <c r="W9" s="30" t="s">
        <v>155</v>
      </c>
    </row>
    <row r="10" spans="2:26" ht="12.75" customHeight="1">
      <c r="H10" s="14"/>
      <c r="I10" s="512" t="str">
        <f>$F$4</f>
        <v>Average Adult Worker</v>
      </c>
      <c r="J10" s="343" t="s">
        <v>92</v>
      </c>
      <c r="K10" s="344">
        <f>SUMIFS(Inhalation_Exp[24hr_High-End],Inhalation_Exp[OES],$C$4,Inhalation_Exp[Worker Type],$I10,Inhalation_Exp[Data Type],$D$4)</f>
        <v>1.25125</v>
      </c>
      <c r="L10" s="344">
        <f>SUMIFS(Inhalation_Exp[Int_High-End],Inhalation_Exp[OES],$C$4,Inhalation_Exp[Worker Type],$I10,Inhalation_Exp[Data Type],$D$4)</f>
        <v>0.91758333333333331</v>
      </c>
      <c r="M10" s="344">
        <f>SUMIFS(Inhalation_Exp[ADD_High-End],Inhalation_Exp[OES],$C$4,Inhalation_Exp[Worker Type],$I10,Inhalation_Exp[Data Type],$D$4)</f>
        <v>0.85702054794520544</v>
      </c>
      <c r="N10" s="345">
        <f>SUMIFS(Inhalation_Exp[LADD_High-End],Inhalation_Exp[OES],$C$4,Inhalation_Exp[Worker Type],$I10,Inhalation_Exp[Data Type],$D$4)</f>
        <v>0.43949771689497719</v>
      </c>
      <c r="R10" s="512" t="str">
        <f>$F$4</f>
        <v>Average Adult Worker</v>
      </c>
      <c r="S10" s="343" t="s">
        <v>92</v>
      </c>
      <c r="T10" s="344">
        <f>SUMIFS(Dermal_Exp[High-End AD (mg/kg-day)],Dermal_Exp[Worker Type],$R$10,Dermal_Exp[OES],$C$4)</f>
        <v>5.1359999999999999E-3</v>
      </c>
      <c r="U10" s="344">
        <f>SUMIFS(Dermal_Exp[High-End IADD (mg/kg-day)],Dermal_Exp[Worker Type],$R$10,Dermal_Exp[OES],$C$4)</f>
        <v>3.7664E-3</v>
      </c>
      <c r="V10" s="344">
        <f>SUMIFS(Dermal_Exp[High-End ADD (mg/kg-day)],Dermal_Exp[Worker Type],$R$10,Dermal_Exp[OES],$C$4)</f>
        <v>3.5178082191780822E-3</v>
      </c>
      <c r="W10" s="345">
        <f>SUMIFS(Dermal_Exp[High-End LADD (mg/kg-day)],Dermal_Exp[Worker Type],$R$10,Dermal_Exp[OES],$C$4)</f>
        <v>1.804004214963119E-3</v>
      </c>
      <c r="Z10" s="261"/>
    </row>
    <row r="11" spans="2:26">
      <c r="H11" s="14"/>
      <c r="I11" s="513"/>
      <c r="J11" s="346" t="s">
        <v>93</v>
      </c>
      <c r="K11" s="347">
        <f>SUMIFS(Inhalation_Exp[24hr_Central Tendency],Inhalation_Exp[OES],$C$4,Inhalation_Exp[Worker Type],$I10,Inhalation_Exp[Data Type],$D$4)</f>
        <v>0.20874999999999999</v>
      </c>
      <c r="L11" s="347">
        <f>SUMIFS(Inhalation_Exp[Int_Central Tendency],Inhalation_Exp[OES],$C$4,Inhalation_Exp[Worker Type],$I10,Inhalation_Exp[Data Type],$D$4)</f>
        <v>0.15308333333333332</v>
      </c>
      <c r="M11" s="347">
        <f>SUMIFS(Inhalation_Exp[ADD_Central Tendency],Inhalation_Exp[OES],$C$4,Inhalation_Exp[Worker Type],$I10,Inhalation_Exp[Data Type],$D$4)</f>
        <v>0.14297945205479451</v>
      </c>
      <c r="N11" s="348">
        <f>SUMIFS(Inhalation_Exp[LADD_Central Tendency],Inhalation_Exp[OES],$C$4,Inhalation_Exp[Worker Type],$I10,Inhalation_Exp[Data Type],$D$4)</f>
        <v>5.682516684229013E-2</v>
      </c>
      <c r="R11" s="513"/>
      <c r="S11" s="346" t="s">
        <v>93</v>
      </c>
      <c r="T11" s="347">
        <f>SUMIFS(Dermal_Exp[Central Tendency AD (mg/kg-day)],Dermal_Exp[Worker Type],$R$10,Dermal_Exp[OES],$C$4)</f>
        <v>2.568E-3</v>
      </c>
      <c r="U11" s="347">
        <f>SUMIFS(Dermal_Exp[Central Tendency IADD (mg/kg-day)],Dermal_Exp[Worker Type],$R$10,Dermal_Exp[OES],$C$4)</f>
        <v>1.8832E-3</v>
      </c>
      <c r="V11" s="347">
        <f>SUMIFS(Dermal_Exp[Central Tendency ADD (mg/kg-day)],Dermal_Exp[Worker Type],$R$10,Dermal_Exp[OES],$C$4)</f>
        <v>1.7589041095890411E-3</v>
      </c>
      <c r="W11" s="348">
        <f>SUMIFS(Dermal_Exp[Central Tendency LADD (mg/kg-day)],Dermal_Exp[Worker Type],$R$10,Dermal_Exp[OES],$C$4)</f>
        <v>6.990516332982087E-4</v>
      </c>
      <c r="Z11" s="261"/>
    </row>
    <row r="12" spans="2:26" ht="12.75" customHeight="1">
      <c r="H12" s="14"/>
      <c r="R12" s="575"/>
      <c r="S12" s="262"/>
      <c r="T12" s="233"/>
      <c r="U12" s="233"/>
      <c r="V12" s="233"/>
      <c r="W12" s="233"/>
      <c r="Z12" s="261"/>
    </row>
    <row r="13" spans="2:26" ht="15.75" customHeight="1">
      <c r="H13" s="14"/>
      <c r="I13" s="14"/>
      <c r="J13" s="15"/>
      <c r="K13" s="233"/>
      <c r="L13" s="233"/>
      <c r="M13" s="233"/>
      <c r="N13" s="233"/>
      <c r="R13" s="576"/>
      <c r="S13" s="262"/>
      <c r="T13" s="233"/>
      <c r="U13" s="233"/>
      <c r="V13" s="233"/>
      <c r="W13" s="233"/>
    </row>
    <row r="14" spans="2:26" s="19" customFormat="1">
      <c r="B14" s="28"/>
      <c r="C14" s="34"/>
      <c r="D14" s="34"/>
      <c r="E14" s="34"/>
      <c r="F14" s="34"/>
      <c r="G14" s="34"/>
      <c r="H14" s="35"/>
      <c r="I14" s="21"/>
      <c r="K14" s="35"/>
      <c r="L14" s="35"/>
      <c r="M14" s="35"/>
      <c r="N14" s="35"/>
      <c r="O14" s="35"/>
      <c r="P14" s="35"/>
      <c r="R14" s="34"/>
      <c r="S14" s="35"/>
      <c r="T14" s="21"/>
      <c r="V14" s="35"/>
    </row>
    <row r="15" spans="2:26" s="19" customFormat="1" ht="16.5" thickBot="1">
      <c r="B15" s="28"/>
      <c r="C15" s="21"/>
      <c r="D15" s="36"/>
      <c r="E15" s="36"/>
      <c r="F15" s="36"/>
      <c r="G15" s="37"/>
      <c r="H15" s="206" t="s">
        <v>169</v>
      </c>
      <c r="I15" s="21"/>
      <c r="K15" s="35"/>
      <c r="L15" s="546"/>
      <c r="M15" s="546"/>
      <c r="N15" s="449"/>
      <c r="O15" s="449"/>
      <c r="R15" s="207" t="s">
        <v>170</v>
      </c>
      <c r="S15" s="38"/>
      <c r="T15" s="38"/>
    </row>
    <row r="16" spans="2:26" s="19" customFormat="1" ht="12.75" customHeight="1">
      <c r="B16" s="28"/>
      <c r="C16" s="561" t="s">
        <v>157</v>
      </c>
      <c r="D16" s="561" t="s">
        <v>158</v>
      </c>
      <c r="E16" s="561"/>
      <c r="F16" s="563" t="s">
        <v>159</v>
      </c>
      <c r="G16" s="39"/>
      <c r="H16" s="514" t="s">
        <v>171</v>
      </c>
      <c r="I16" s="481" t="s">
        <v>79</v>
      </c>
      <c r="J16" s="488" t="s">
        <v>100</v>
      </c>
      <c r="K16" s="488" t="str">
        <f>_xlfn.CONCAT("Exposure Estimates: ",$F$4," MOE")</f>
        <v>Exposure Estimates: Average Adult Worker MOE</v>
      </c>
      <c r="L16" s="557"/>
      <c r="M16" s="557"/>
      <c r="N16" s="557"/>
      <c r="O16" s="557"/>
      <c r="P16" s="503"/>
      <c r="Q16" s="39"/>
      <c r="R16" s="514" t="s">
        <v>99</v>
      </c>
      <c r="S16" s="481" t="s">
        <v>79</v>
      </c>
      <c r="T16" s="479" t="s">
        <v>100</v>
      </c>
      <c r="U16" s="574" t="str">
        <f>_xlfn.CONCAT("Exposure Estimates: ",$F$4," MOE")</f>
        <v>Exposure Estimates: Average Adult Worker MOE</v>
      </c>
      <c r="V16" s="557"/>
      <c r="W16" s="557"/>
      <c r="X16" s="503"/>
    </row>
    <row r="17" spans="1:24" s="19" customFormat="1" ht="12.75" customHeight="1">
      <c r="B17" s="28"/>
      <c r="C17" s="562"/>
      <c r="D17" s="562"/>
      <c r="E17" s="562"/>
      <c r="F17" s="564"/>
      <c r="G17" s="40"/>
      <c r="H17" s="493"/>
      <c r="I17" s="497"/>
      <c r="J17" s="547"/>
      <c r="K17" s="450"/>
      <c r="L17" s="579" t="s">
        <v>172</v>
      </c>
      <c r="M17" s="580"/>
      <c r="N17" s="580"/>
      <c r="O17" s="580"/>
      <c r="P17" s="581"/>
      <c r="Q17" s="40"/>
      <c r="R17" s="493"/>
      <c r="S17" s="497"/>
      <c r="T17" s="494"/>
      <c r="U17" s="577" t="s">
        <v>164</v>
      </c>
      <c r="V17" s="555" t="s">
        <v>173</v>
      </c>
      <c r="W17" s="555"/>
      <c r="X17" s="555"/>
    </row>
    <row r="18" spans="1:24" s="19" customFormat="1">
      <c r="B18" s="28"/>
      <c r="C18" s="562"/>
      <c r="D18" s="573"/>
      <c r="E18" s="573"/>
      <c r="F18" s="564"/>
      <c r="G18" s="40"/>
      <c r="H18" s="572"/>
      <c r="I18" s="497"/>
      <c r="J18" s="500"/>
      <c r="K18" s="446" t="s">
        <v>161</v>
      </c>
      <c r="L18" s="446">
        <f>'List Values'!$D$16</f>
        <v>10</v>
      </c>
      <c r="M18" s="446">
        <f>'List Values'!$D$17</f>
        <v>25</v>
      </c>
      <c r="N18" s="446">
        <f>'List Values'!$D$18</f>
        <v>50</v>
      </c>
      <c r="O18" s="446">
        <f>'List Values'!$D$19</f>
        <v>1000</v>
      </c>
      <c r="P18" s="30">
        <f>'List Values'!$D$20</f>
        <v>10000</v>
      </c>
      <c r="Q18" s="40"/>
      <c r="R18" s="515"/>
      <c r="S18" s="497"/>
      <c r="T18" s="494"/>
      <c r="U18" s="578"/>
      <c r="V18" s="217">
        <f>'List Values'!D23</f>
        <v>5</v>
      </c>
      <c r="W18" s="217">
        <f>'List Values'!$D$24</f>
        <v>10</v>
      </c>
      <c r="X18" s="269">
        <f>'List Values'!$D$25</f>
        <v>20</v>
      </c>
    </row>
    <row r="19" spans="1:24" s="19" customFormat="1" ht="19.5" customHeight="1">
      <c r="B19" s="25" t="s">
        <v>108</v>
      </c>
      <c r="C19" s="522" t="s">
        <v>163</v>
      </c>
      <c r="D19" s="568" t="str">
        <f>_xlfn.XLOOKUP($B19,Tox_Table[Code],Tox_Table[Health Effect])</f>
        <v>Phthalate syndrome-related effects</v>
      </c>
      <c r="E19" s="568">
        <f>_xlfn.XLOOKUP($B19,Tox_Table[Code],Tox_Table[Endpoint])</f>
        <v>0</v>
      </c>
      <c r="F19" s="570">
        <f>_xlfn.XLOOKUP($B19,Tox_Table[Code],Tox_Table[Study])</f>
        <v>0</v>
      </c>
      <c r="G19" s="42"/>
      <c r="H19" s="585">
        <f>_xlfn.XLOOKUP($B19, Tox_Table[Code],Tox_Table[HED / POD (mg/kg/day)], FALSE)</f>
        <v>1.1000000000000001</v>
      </c>
      <c r="I19" s="264" t="s">
        <v>92</v>
      </c>
      <c r="J19" s="452">
        <f>_xlfn.XLOOKUP($B19,Tox_Table[Code],Tox_Table[Benchmark MOE])</f>
        <v>30</v>
      </c>
      <c r="K19" s="50">
        <f>IFERROR($H19/$K10, "")</f>
        <v>0.87912087912087922</v>
      </c>
      <c r="L19" s="50">
        <f t="shared" ref="L19:P20" si="0">IFERROR($H$19/($K10/L$18), "")</f>
        <v>8.7912087912087937</v>
      </c>
      <c r="M19" s="50">
        <f t="shared" si="0"/>
        <v>21.978021978021982</v>
      </c>
      <c r="N19" s="50">
        <f t="shared" si="0"/>
        <v>43.956043956043963</v>
      </c>
      <c r="O19" s="50">
        <f t="shared" si="0"/>
        <v>879.12087912087918</v>
      </c>
      <c r="P19" s="51">
        <f t="shared" si="0"/>
        <v>8791.2087912087918</v>
      </c>
      <c r="Q19" s="42"/>
      <c r="R19" s="583">
        <f>_xlfn.XLOOKUP($B19, Tox_Table[Code],Tox_Table[HED / POD (mg/kg/day)], FALSE)</f>
        <v>1.1000000000000001</v>
      </c>
      <c r="S19" s="49" t="s">
        <v>92</v>
      </c>
      <c r="T19" s="452">
        <f>_xlfn.XLOOKUP($B19,Tox_Table[Code],Tox_Table[Benchmark MOE])</f>
        <v>30</v>
      </c>
      <c r="U19" s="43">
        <f>IFERROR(($R$19/$T10), "")</f>
        <v>214.17445482866046</v>
      </c>
      <c r="V19" s="50">
        <f>IFERROR(($R$19/($T10/$V$18)), "")</f>
        <v>1070.8722741433023</v>
      </c>
      <c r="W19" s="50">
        <f>IFERROR(($R$19/($T10/$W$18)), "")</f>
        <v>2141.7445482866046</v>
      </c>
      <c r="X19" s="51">
        <f>IFERROR(($R$19/($T10/$X$18)), "")</f>
        <v>4283.4890965732093</v>
      </c>
    </row>
    <row r="20" spans="1:24" s="19" customFormat="1" ht="19.5" customHeight="1">
      <c r="B20" s="25" t="s">
        <v>108</v>
      </c>
      <c r="C20" s="523"/>
      <c r="D20" s="569"/>
      <c r="E20" s="569"/>
      <c r="F20" s="571"/>
      <c r="G20" s="42"/>
      <c r="H20" s="586"/>
      <c r="I20" s="265" t="s">
        <v>93</v>
      </c>
      <c r="J20" s="451">
        <f>_xlfn.XLOOKUP($B20,Tox_Table[Code],Tox_Table[Benchmark MOE])</f>
        <v>30</v>
      </c>
      <c r="K20" s="46">
        <f>IFERROR($H19/$K$11, "")</f>
        <v>5.2694610778443121</v>
      </c>
      <c r="L20" s="239">
        <f t="shared" si="0"/>
        <v>52.694610778443121</v>
      </c>
      <c r="M20" s="239">
        <f t="shared" si="0"/>
        <v>131.7365269461078</v>
      </c>
      <c r="N20" s="239">
        <f t="shared" si="0"/>
        <v>263.4730538922156</v>
      </c>
      <c r="O20" s="239">
        <f t="shared" si="0"/>
        <v>5269.4610778443121</v>
      </c>
      <c r="P20" s="244">
        <f t="shared" si="0"/>
        <v>52694.610778443122</v>
      </c>
      <c r="Q20" s="42"/>
      <c r="R20" s="584"/>
      <c r="S20" s="45" t="s">
        <v>93</v>
      </c>
      <c r="T20" s="451">
        <f>_xlfn.XLOOKUP($B20,Tox_Table[Code],Tox_Table[Benchmark MOE])</f>
        <v>30</v>
      </c>
      <c r="U20" s="239">
        <f>IFERROR(($R$19/$T11), "")</f>
        <v>428.34890965732092</v>
      </c>
      <c r="V20" s="239">
        <f>IFERROR(($R$19/($T11/$V$18)), "")</f>
        <v>2141.7445482866046</v>
      </c>
      <c r="W20" s="239">
        <f>IFERROR(($R$19/($T11/$W$18)), "")</f>
        <v>4283.4890965732093</v>
      </c>
      <c r="X20" s="244">
        <f>IFERROR(($R$19/($T11/$X$18)), "")</f>
        <v>8566.9781931464186</v>
      </c>
    </row>
    <row r="21" spans="1:24" s="19" customFormat="1" ht="19.5" customHeight="1">
      <c r="B21" s="25" t="s">
        <v>113</v>
      </c>
      <c r="C21" s="522" t="s">
        <v>165</v>
      </c>
      <c r="D21" s="568" t="str">
        <f>_xlfn.XLOOKUP($B21,Tox_Table[Code],Tox_Table[Health Effect])</f>
        <v>Phthalate syndrome-related effects</v>
      </c>
      <c r="E21" s="568">
        <f>_xlfn.XLOOKUP($B21,Tox_Table[Code],Tox_Table[Endpoint])</f>
        <v>0</v>
      </c>
      <c r="F21" s="570">
        <f>_xlfn.XLOOKUP($B21,Tox_Table[Code],Tox_Table[Study])</f>
        <v>0</v>
      </c>
      <c r="G21" s="42"/>
      <c r="H21" s="585">
        <f>_xlfn.XLOOKUP($B21, Tox_Table[Code],Tox_Table[HED / POD (mg/kg/day)], FALSE)</f>
        <v>1.1000000000000001</v>
      </c>
      <c r="I21" s="264" t="s">
        <v>92</v>
      </c>
      <c r="J21" s="452">
        <f>_xlfn.XLOOKUP($B21,Tox_Table[Code],Tox_Table[Benchmark MOE])</f>
        <v>30</v>
      </c>
      <c r="K21" s="50">
        <f>IFERROR($H21/$L10, "")</f>
        <v>1.1988011988011988</v>
      </c>
      <c r="L21" s="50">
        <f t="shared" ref="L21:P22" si="1">IFERROR($H$21/($L10/L$18), "")</f>
        <v>11.988011988011989</v>
      </c>
      <c r="M21" s="50">
        <f t="shared" si="1"/>
        <v>29.970029970029973</v>
      </c>
      <c r="N21" s="50">
        <f t="shared" si="1"/>
        <v>59.940059940059946</v>
      </c>
      <c r="O21" s="50">
        <f t="shared" si="1"/>
        <v>1198.801198801199</v>
      </c>
      <c r="P21" s="51">
        <f t="shared" si="1"/>
        <v>11988.011988011989</v>
      </c>
      <c r="Q21" s="42"/>
      <c r="R21" s="583">
        <f>_xlfn.XLOOKUP($B21, Tox_Table[Code],Tox_Table[HED / POD (mg/kg/day)], FALSE)</f>
        <v>1.1000000000000001</v>
      </c>
      <c r="S21" s="49" t="s">
        <v>92</v>
      </c>
      <c r="T21" s="452">
        <f>_xlfn.XLOOKUP($B21,Tox_Table[Code],Tox_Table[Benchmark MOE])</f>
        <v>30</v>
      </c>
      <c r="U21" s="50">
        <f>IFERROR(($R$21/$U10), "")</f>
        <v>292.05607476635515</v>
      </c>
      <c r="V21" s="50">
        <f t="shared" ref="V21:X22" si="2">IFERROR(($R$21/($U10/V$18)), "")</f>
        <v>1460.2803738317757</v>
      </c>
      <c r="W21" s="50">
        <f t="shared" si="2"/>
        <v>2920.5607476635514</v>
      </c>
      <c r="X21" s="51">
        <f t="shared" si="2"/>
        <v>5841.1214953271028</v>
      </c>
    </row>
    <row r="22" spans="1:24" s="19" customFormat="1" ht="19.5" customHeight="1" thickBot="1">
      <c r="B22" s="25" t="s">
        <v>113</v>
      </c>
      <c r="C22" s="523"/>
      <c r="D22" s="569"/>
      <c r="E22" s="569"/>
      <c r="F22" s="571"/>
      <c r="G22" s="42"/>
      <c r="H22" s="586"/>
      <c r="I22" s="265" t="s">
        <v>93</v>
      </c>
      <c r="J22" s="451">
        <f>_xlfn.XLOOKUP($B22,Tox_Table[Code],Tox_Table[Benchmark MOE])</f>
        <v>30</v>
      </c>
      <c r="K22" s="239">
        <f>IFERROR($H21/$L11, "")</f>
        <v>7.1856287425149716</v>
      </c>
      <c r="L22" s="239">
        <f t="shared" si="1"/>
        <v>71.856287425149716</v>
      </c>
      <c r="M22" s="239">
        <f t="shared" si="1"/>
        <v>179.64071856287427</v>
      </c>
      <c r="N22" s="239">
        <f t="shared" si="1"/>
        <v>359.28143712574854</v>
      </c>
      <c r="O22" s="239">
        <f t="shared" si="1"/>
        <v>7185.6287425149703</v>
      </c>
      <c r="P22" s="244">
        <f t="shared" si="1"/>
        <v>71856.287425149727</v>
      </c>
      <c r="Q22" s="42"/>
      <c r="R22" s="584"/>
      <c r="S22" s="45" t="s">
        <v>93</v>
      </c>
      <c r="T22" s="451">
        <f>_xlfn.XLOOKUP($B22,Tox_Table[Code],Tox_Table[Benchmark MOE])</f>
        <v>30</v>
      </c>
      <c r="U22" s="239">
        <f>IFERROR(($R$21/$U11), "")</f>
        <v>584.1121495327103</v>
      </c>
      <c r="V22" s="239">
        <f t="shared" si="2"/>
        <v>2920.5607476635514</v>
      </c>
      <c r="W22" s="239">
        <f t="shared" si="2"/>
        <v>5841.1214953271028</v>
      </c>
      <c r="X22" s="244">
        <f t="shared" si="2"/>
        <v>11682.242990654206</v>
      </c>
    </row>
    <row r="23" spans="1:24" s="19" customFormat="1" ht="19.5" customHeight="1">
      <c r="B23" s="25" t="s">
        <v>119</v>
      </c>
      <c r="C23" s="522" t="s">
        <v>166</v>
      </c>
      <c r="D23" s="568" t="str">
        <f>_xlfn.XLOOKUP($B23,Tox_Table[Code],Tox_Table[Health Effect])</f>
        <v>Phthalate syndrome-related effects</v>
      </c>
      <c r="E23" s="568">
        <f>_xlfn.XLOOKUP($B23,Tox_Table[Code],Tox_Table[Endpoint])</f>
        <v>0</v>
      </c>
      <c r="F23" s="570">
        <f>_xlfn.XLOOKUP($B23,Tox_Table[Code],Tox_Table[Study])</f>
        <v>0</v>
      </c>
      <c r="G23" s="48"/>
      <c r="H23" s="585">
        <f>_xlfn.XLOOKUP($B23, Tox_Table[Code],Tox_Table[HED / POD (mg/kg/day)], FALSE)</f>
        <v>1.1000000000000001</v>
      </c>
      <c r="I23" s="264" t="s">
        <v>92</v>
      </c>
      <c r="J23" s="452">
        <f>_xlfn.XLOOKUP($B23,Tox_Table[Code],Tox_Table[Benchmark MOE])</f>
        <v>30</v>
      </c>
      <c r="K23" s="50">
        <f>IFERROR($H23/$M10, "")</f>
        <v>1.2835164835164836</v>
      </c>
      <c r="L23" s="50">
        <f t="shared" ref="L23:P24" si="3">IFERROR($H$23/($M10/L$18), "")</f>
        <v>12.835164835164836</v>
      </c>
      <c r="M23" s="50">
        <f t="shared" si="3"/>
        <v>32.087912087912095</v>
      </c>
      <c r="N23" s="50">
        <f t="shared" si="3"/>
        <v>64.175824175824189</v>
      </c>
      <c r="O23" s="50">
        <f t="shared" si="3"/>
        <v>1283.5164835164835</v>
      </c>
      <c r="P23" s="51">
        <f t="shared" si="3"/>
        <v>12835.164835164838</v>
      </c>
      <c r="Q23" s="48"/>
      <c r="R23" s="583">
        <f>_xlfn.XLOOKUP($B23, Tox_Table[Code],Tox_Table[HED / POD (mg/kg/day)], FALSE)</f>
        <v>1.1000000000000001</v>
      </c>
      <c r="S23" s="49" t="s">
        <v>92</v>
      </c>
      <c r="T23" s="452">
        <f>_xlfn.XLOOKUP($B23,Tox_Table[Code],Tox_Table[Benchmark MOE])</f>
        <v>30</v>
      </c>
      <c r="U23" s="50">
        <f>IFERROR(($R$23/$V10), "")</f>
        <v>312.69470404984423</v>
      </c>
      <c r="V23" s="50">
        <f t="shared" ref="V23:X24" si="4">IFERROR(($R$23/($V10/V$18)), "")</f>
        <v>1563.4735202492213</v>
      </c>
      <c r="W23" s="50">
        <f t="shared" si="4"/>
        <v>3126.9470404984427</v>
      </c>
      <c r="X23" s="51">
        <f t="shared" si="4"/>
        <v>6253.8940809968854</v>
      </c>
    </row>
    <row r="24" spans="1:24" s="19" customFormat="1" ht="19.5" customHeight="1" thickBot="1">
      <c r="B24" s="25" t="s">
        <v>119</v>
      </c>
      <c r="C24" s="523"/>
      <c r="D24" s="569"/>
      <c r="E24" s="569"/>
      <c r="F24" s="571"/>
      <c r="G24" s="48"/>
      <c r="H24" s="586"/>
      <c r="I24" s="266" t="s">
        <v>93</v>
      </c>
      <c r="J24" s="263">
        <f>_xlfn.XLOOKUP($B24,Tox_Table[Code],Tox_Table[Benchmark MOE])</f>
        <v>30</v>
      </c>
      <c r="K24" s="239">
        <f>IFERROR($H23/$M11, "")</f>
        <v>7.6934131736526963</v>
      </c>
      <c r="L24" s="239">
        <f t="shared" si="3"/>
        <v>76.934131736526965</v>
      </c>
      <c r="M24" s="239">
        <f t="shared" si="3"/>
        <v>192.33532934131739</v>
      </c>
      <c r="N24" s="239">
        <f t="shared" si="3"/>
        <v>384.67065868263478</v>
      </c>
      <c r="O24" s="239">
        <f t="shared" si="3"/>
        <v>7693.4131736526961</v>
      </c>
      <c r="P24" s="244">
        <f t="shared" si="3"/>
        <v>76934.13173652695</v>
      </c>
      <c r="Q24" s="48"/>
      <c r="R24" s="584"/>
      <c r="S24" s="52" t="s">
        <v>93</v>
      </c>
      <c r="T24" s="451">
        <f>_xlfn.XLOOKUP($B24,Tox_Table[Code],Tox_Table[Benchmark MOE])</f>
        <v>30</v>
      </c>
      <c r="U24" s="239">
        <f>IFERROR(($R$23/$V11), "")</f>
        <v>625.38940809968847</v>
      </c>
      <c r="V24" s="239">
        <f t="shared" si="4"/>
        <v>3126.9470404984427</v>
      </c>
      <c r="W24" s="239">
        <f t="shared" si="4"/>
        <v>6253.8940809968854</v>
      </c>
      <c r="X24" s="244">
        <f t="shared" si="4"/>
        <v>12507.788161993771</v>
      </c>
    </row>
    <row r="25" spans="1:24" s="28" customFormat="1" ht="19.5" customHeight="1">
      <c r="B25" s="25" t="s">
        <v>131</v>
      </c>
      <c r="C25" s="522" t="s">
        <v>167</v>
      </c>
      <c r="D25" s="568">
        <f>_xlfn.XLOOKUP($B25,Tox_Table[Code],Tox_Table[Health Effect])</f>
        <v>0</v>
      </c>
      <c r="E25" s="568">
        <f>_xlfn.XLOOKUP($B25,Tox_Table[Code],Tox_Table[Endpoint])</f>
        <v>0</v>
      </c>
      <c r="F25" s="570">
        <f>_xlfn.XLOOKUP($B25,Tox_Table[Code],Tox_Table[Study])</f>
        <v>0</v>
      </c>
      <c r="G25" s="42"/>
      <c r="H25" s="585">
        <f>_xlfn.XLOOKUP($B25, Tox_Table[Code],Tox_Table[CSF (mg/kg-day-1)], FALSE)</f>
        <v>0</v>
      </c>
      <c r="I25" s="267" t="s">
        <v>92</v>
      </c>
      <c r="J25" s="455">
        <v>1E-4</v>
      </c>
      <c r="K25" s="50">
        <f>IFERROR($H25*$N10, "")</f>
        <v>0</v>
      </c>
      <c r="L25" s="50">
        <f t="shared" ref="L25:P26" si="5">IFERROR($H$25*($N10/L$18), "")</f>
        <v>0</v>
      </c>
      <c r="M25" s="50">
        <f t="shared" si="5"/>
        <v>0</v>
      </c>
      <c r="N25" s="50">
        <f t="shared" si="5"/>
        <v>0</v>
      </c>
      <c r="O25" s="50">
        <f t="shared" si="5"/>
        <v>0</v>
      </c>
      <c r="P25" s="51">
        <f t="shared" si="5"/>
        <v>0</v>
      </c>
      <c r="Q25" s="42"/>
      <c r="R25" s="583">
        <f>_xlfn.XLOOKUP($B25, Tox_Table[Code],Tox_Table[CSF (mg/kg-day-1)], FALSE)</f>
        <v>0</v>
      </c>
      <c r="S25" s="29" t="s">
        <v>92</v>
      </c>
      <c r="T25" s="455">
        <v>1E-4</v>
      </c>
      <c r="U25" s="50">
        <f>IFERROR(($R25*$W10), "")</f>
        <v>0</v>
      </c>
      <c r="V25" s="50">
        <f t="shared" ref="V25:X26" si="6">IFERROR(($R$25*($W10/V$18)), "")</f>
        <v>0</v>
      </c>
      <c r="W25" s="50">
        <f t="shared" si="6"/>
        <v>0</v>
      </c>
      <c r="X25" s="51">
        <f t="shared" si="6"/>
        <v>0</v>
      </c>
    </row>
    <row r="26" spans="1:24" s="28" customFormat="1" ht="19.5" customHeight="1" thickBot="1">
      <c r="B26" s="25" t="s">
        <v>131</v>
      </c>
      <c r="C26" s="524"/>
      <c r="D26" s="582"/>
      <c r="E26" s="582"/>
      <c r="F26" s="587"/>
      <c r="G26" s="53"/>
      <c r="H26" s="586"/>
      <c r="I26" s="268" t="s">
        <v>93</v>
      </c>
      <c r="J26" s="454">
        <v>1E-4</v>
      </c>
      <c r="K26" s="239">
        <f>IFERROR($H25*$N11, "")</f>
        <v>0</v>
      </c>
      <c r="L26" s="239">
        <f t="shared" si="5"/>
        <v>0</v>
      </c>
      <c r="M26" s="239">
        <f t="shared" si="5"/>
        <v>0</v>
      </c>
      <c r="N26" s="239">
        <f t="shared" si="5"/>
        <v>0</v>
      </c>
      <c r="O26" s="239">
        <f t="shared" si="5"/>
        <v>0</v>
      </c>
      <c r="P26" s="244">
        <f t="shared" si="5"/>
        <v>0</v>
      </c>
      <c r="Q26" s="53"/>
      <c r="R26" s="584"/>
      <c r="S26" s="33" t="s">
        <v>93</v>
      </c>
      <c r="T26" s="454">
        <v>1E-4</v>
      </c>
      <c r="U26" s="239">
        <f>IFERROR(($R25*$W11), "")</f>
        <v>0</v>
      </c>
      <c r="V26" s="239">
        <f t="shared" si="6"/>
        <v>0</v>
      </c>
      <c r="W26" s="239">
        <f t="shared" si="6"/>
        <v>0</v>
      </c>
      <c r="X26" s="244">
        <f t="shared" si="6"/>
        <v>0</v>
      </c>
    </row>
    <row r="27" spans="1:24" s="19" customFormat="1">
      <c r="B27" s="14"/>
      <c r="C27" s="15"/>
      <c r="D27" s="16"/>
      <c r="E27" s="15"/>
      <c r="F27" s="15"/>
      <c r="G27" s="17"/>
      <c r="H27" s="17"/>
      <c r="I27" s="17"/>
      <c r="J27" s="17"/>
      <c r="K27" s="17"/>
      <c r="L27" s="17"/>
      <c r="M27" s="17"/>
      <c r="O27" s="17"/>
      <c r="P27" s="17"/>
      <c r="R27" s="17"/>
    </row>
    <row r="28" spans="1:24" s="19" customFormat="1">
      <c r="B28" s="14"/>
      <c r="C28" s="15"/>
      <c r="D28" s="16"/>
      <c r="E28" s="15"/>
      <c r="F28" s="15"/>
      <c r="G28" s="17"/>
      <c r="H28" s="17"/>
      <c r="I28" s="17"/>
      <c r="J28" s="17"/>
      <c r="K28" s="17"/>
      <c r="L28" s="17"/>
      <c r="M28" s="17"/>
      <c r="N28" s="17"/>
      <c r="O28" s="17"/>
      <c r="P28" s="17"/>
      <c r="R28" s="17"/>
    </row>
    <row r="29" spans="1:24" s="19" customFormat="1">
      <c r="B29" s="14"/>
      <c r="C29" s="15"/>
      <c r="D29" s="16"/>
      <c r="E29" s="15"/>
      <c r="F29" s="15"/>
      <c r="G29" s="17"/>
      <c r="H29" s="17"/>
      <c r="I29" s="17"/>
      <c r="J29" s="17"/>
      <c r="K29" s="17"/>
      <c r="L29" s="17"/>
      <c r="M29" s="17"/>
      <c r="N29" s="17"/>
      <c r="O29" s="17"/>
      <c r="P29" s="17"/>
      <c r="R29" s="17"/>
      <c r="S29" s="17"/>
    </row>
    <row r="30" spans="1:24" s="19" customFormat="1">
      <c r="A30" s="17"/>
      <c r="B30" s="14"/>
      <c r="C30" s="15"/>
      <c r="D30" s="16"/>
      <c r="E30" s="15"/>
      <c r="F30" s="15"/>
      <c r="G30" s="17"/>
      <c r="H30" s="17"/>
      <c r="I30" s="17"/>
      <c r="J30" s="17"/>
      <c r="K30" s="17"/>
      <c r="L30" s="17"/>
      <c r="M30" s="17"/>
      <c r="N30" s="17"/>
      <c r="O30" s="17"/>
      <c r="P30" s="17"/>
      <c r="R30" s="17"/>
      <c r="S30" s="17"/>
    </row>
    <row r="35" spans="1:19">
      <c r="I35" s="19"/>
      <c r="J35" s="19"/>
      <c r="K35" s="19"/>
      <c r="L35" s="19"/>
      <c r="M35" s="19"/>
    </row>
    <row r="40" spans="1:19">
      <c r="O40" s="19"/>
      <c r="P40" s="19"/>
    </row>
    <row r="41" spans="1:19">
      <c r="C41" s="21"/>
      <c r="D41" s="35"/>
      <c r="E41" s="21"/>
      <c r="F41" s="21"/>
      <c r="G41" s="19"/>
      <c r="H41" s="19"/>
    </row>
    <row r="42" spans="1:19">
      <c r="R42" s="19"/>
    </row>
    <row r="43" spans="1:19">
      <c r="B43" s="28"/>
    </row>
    <row r="44" spans="1:19">
      <c r="B44" s="54"/>
    </row>
    <row r="45" spans="1:19">
      <c r="B45" s="54"/>
      <c r="I45" s="55"/>
      <c r="J45" s="55"/>
      <c r="K45" s="55"/>
      <c r="L45" s="55"/>
      <c r="M45" s="55"/>
      <c r="N45" s="19"/>
    </row>
    <row r="46" spans="1:19">
      <c r="B46" s="54"/>
      <c r="I46" s="55"/>
      <c r="J46" s="55"/>
      <c r="K46" s="55"/>
      <c r="L46" s="55"/>
      <c r="M46" s="55"/>
      <c r="S46" s="19"/>
    </row>
    <row r="47" spans="1:19">
      <c r="B47" s="54"/>
      <c r="C47" s="56"/>
      <c r="D47" s="57"/>
      <c r="E47" s="56"/>
      <c r="I47" s="55"/>
      <c r="J47" s="55"/>
      <c r="K47" s="55"/>
      <c r="L47" s="55"/>
      <c r="M47" s="55"/>
    </row>
    <row r="48" spans="1:19" s="19" customFormat="1">
      <c r="A48" s="17"/>
      <c r="B48" s="54"/>
      <c r="C48" s="15"/>
      <c r="D48" s="16"/>
      <c r="E48" s="56"/>
      <c r="F48" s="15"/>
      <c r="G48" s="17"/>
      <c r="H48" s="17"/>
      <c r="I48" s="55"/>
      <c r="J48" s="55"/>
      <c r="K48" s="55"/>
      <c r="L48" s="55"/>
      <c r="M48" s="55"/>
      <c r="N48" s="17"/>
      <c r="O48" s="17"/>
      <c r="P48" s="17"/>
      <c r="R48" s="17"/>
      <c r="S48" s="17"/>
    </row>
    <row r="49" spans="1:20">
      <c r="R49" s="58"/>
      <c r="S49" s="58"/>
      <c r="T49" s="58"/>
    </row>
    <row r="50" spans="1:20">
      <c r="F50" s="55"/>
      <c r="G50" s="58"/>
      <c r="H50" s="234"/>
      <c r="I50" s="235"/>
      <c r="J50" s="235"/>
      <c r="R50" s="234"/>
      <c r="S50" s="235"/>
      <c r="T50" s="235"/>
    </row>
    <row r="51" spans="1:20">
      <c r="H51" s="34"/>
      <c r="I51" s="231"/>
      <c r="J51" s="231"/>
      <c r="R51" s="236"/>
      <c r="S51" s="233"/>
      <c r="T51" s="233"/>
    </row>
    <row r="52" spans="1:20">
      <c r="A52" s="17" t="s">
        <v>168</v>
      </c>
      <c r="H52" s="34"/>
      <c r="I52" s="231"/>
      <c r="J52" s="231"/>
      <c r="R52" s="236"/>
      <c r="S52" s="231"/>
      <c r="T52" s="231"/>
    </row>
    <row r="53" spans="1:20">
      <c r="H53" s="34"/>
      <c r="I53" s="231"/>
      <c r="J53" s="231"/>
      <c r="R53" s="236"/>
      <c r="S53" s="231"/>
      <c r="T53" s="231"/>
    </row>
    <row r="54" spans="1:20">
      <c r="H54" s="34"/>
      <c r="I54" s="231"/>
      <c r="J54" s="231"/>
      <c r="R54" s="236"/>
      <c r="S54" s="231"/>
      <c r="T54" s="231"/>
    </row>
    <row r="55" spans="1:20">
      <c r="H55" s="34"/>
      <c r="I55" s="231"/>
      <c r="J55" s="231"/>
      <c r="R55" s="236"/>
      <c r="S55" s="231"/>
      <c r="T55" s="231"/>
    </row>
    <row r="56" spans="1:20">
      <c r="H56" s="34"/>
      <c r="I56" s="231"/>
      <c r="J56" s="231"/>
      <c r="T56" s="233"/>
    </row>
  </sheetData>
  <sheetProtection sheet="1" objects="1" scenarios="1"/>
  <dataConsolidate link="1"/>
  <mergeCells count="49">
    <mergeCell ref="R25:R26"/>
    <mergeCell ref="R19:R20"/>
    <mergeCell ref="R23:R24"/>
    <mergeCell ref="R21:R22"/>
    <mergeCell ref="F23:F24"/>
    <mergeCell ref="H23:H24"/>
    <mergeCell ref="H19:H20"/>
    <mergeCell ref="F21:F22"/>
    <mergeCell ref="H21:H22"/>
    <mergeCell ref="F25:F26"/>
    <mergeCell ref="H25:H26"/>
    <mergeCell ref="C25:C26"/>
    <mergeCell ref="C23:C24"/>
    <mergeCell ref="E25:E26"/>
    <mergeCell ref="D25:D26"/>
    <mergeCell ref="D23:D24"/>
    <mergeCell ref="E23:E24"/>
    <mergeCell ref="U16:X16"/>
    <mergeCell ref="S8:S9"/>
    <mergeCell ref="R8:R9"/>
    <mergeCell ref="J16:J18"/>
    <mergeCell ref="K16:P16"/>
    <mergeCell ref="T16:T18"/>
    <mergeCell ref="R16:R18"/>
    <mergeCell ref="S16:S18"/>
    <mergeCell ref="L15:M15"/>
    <mergeCell ref="R12:R13"/>
    <mergeCell ref="U17:U18"/>
    <mergeCell ref="V17:X17"/>
    <mergeCell ref="L17:P17"/>
    <mergeCell ref="J8:J9"/>
    <mergeCell ref="R10:R11"/>
    <mergeCell ref="C21:C22"/>
    <mergeCell ref="D21:D22"/>
    <mergeCell ref="E21:E22"/>
    <mergeCell ref="C16:C18"/>
    <mergeCell ref="D16:E18"/>
    <mergeCell ref="E19:E20"/>
    <mergeCell ref="I10:I11"/>
    <mergeCell ref="I8:I9"/>
    <mergeCell ref="C19:C20"/>
    <mergeCell ref="D19:D20"/>
    <mergeCell ref="D2:E2"/>
    <mergeCell ref="D3:E3"/>
    <mergeCell ref="D4:E4"/>
    <mergeCell ref="I16:I18"/>
    <mergeCell ref="F19:F20"/>
    <mergeCell ref="F16:F18"/>
    <mergeCell ref="H16:H18"/>
  </mergeCells>
  <phoneticPr fontId="2" type="noConversion"/>
  <conditionalFormatting sqref="D19:F26">
    <cfRule type="cellIs" priority="1" operator="equal">
      <formula>0</formula>
    </cfRule>
  </conditionalFormatting>
  <conditionalFormatting sqref="F4">
    <cfRule type="cellIs" dxfId="270" priority="22" operator="lessThan">
      <formula>0.1</formula>
    </cfRule>
    <cfRule type="cellIs" dxfId="269" priority="20" stopIfTrue="1" operator="equal">
      <formula>0</formula>
    </cfRule>
    <cfRule type="containsBlanks" dxfId="268" priority="21" stopIfTrue="1">
      <formula>LEN(TRIM(F4))=0</formula>
    </cfRule>
  </conditionalFormatting>
  <conditionalFormatting sqref="H19 H23 H25">
    <cfRule type="containsBlanks" dxfId="267" priority="115" stopIfTrue="1">
      <formula>LEN(TRIM(H19))=0</formula>
    </cfRule>
    <cfRule type="cellIs" dxfId="266" priority="114" stopIfTrue="1" operator="equal">
      <formula>0</formula>
    </cfRule>
    <cfRule type="cellIs" dxfId="265" priority="118" operator="greaterThanOrEqual">
      <formula>10</formula>
    </cfRule>
    <cfRule type="cellIs" dxfId="264" priority="117" operator="lessThan">
      <formula>10</formula>
    </cfRule>
    <cfRule type="cellIs" dxfId="263" priority="116" operator="lessThan">
      <formula>0.1</formula>
    </cfRule>
  </conditionalFormatting>
  <conditionalFormatting sqref="H21">
    <cfRule type="cellIs" dxfId="262" priority="77" operator="greaterThanOrEqual">
      <formula>10</formula>
    </cfRule>
    <cfRule type="cellIs" dxfId="261" priority="76" operator="lessThan">
      <formula>10</formula>
    </cfRule>
    <cfRule type="cellIs" dxfId="260" priority="75" operator="lessThan">
      <formula>0.1</formula>
    </cfRule>
    <cfRule type="containsBlanks" dxfId="259" priority="74" stopIfTrue="1">
      <formula>LEN(TRIM(H21))=0</formula>
    </cfRule>
    <cfRule type="cellIs" dxfId="258" priority="73" stopIfTrue="1" operator="equal">
      <formula>0</formula>
    </cfRule>
  </conditionalFormatting>
  <conditionalFormatting sqref="K10:N11">
    <cfRule type="cellIs" dxfId="257" priority="3" operator="greaterThan">
      <formula>10000</formula>
    </cfRule>
    <cfRule type="cellIs" dxfId="256" priority="4" operator="between">
      <formula>10</formula>
      <formula>9999.999</formula>
    </cfRule>
    <cfRule type="cellIs" dxfId="255" priority="5" operator="between">
      <formula>1</formula>
      <formula>9.999</formula>
    </cfRule>
    <cfRule type="cellIs" dxfId="254" priority="6" operator="between">
      <formula>0.1</formula>
      <formula>0.999</formula>
    </cfRule>
    <cfRule type="cellIs" dxfId="253" priority="7" operator="equal">
      <formula>0</formula>
    </cfRule>
    <cfRule type="cellIs" dxfId="252" priority="170" operator="lessThan">
      <formula>0.1</formula>
    </cfRule>
  </conditionalFormatting>
  <conditionalFormatting sqref="K13:N13">
    <cfRule type="cellIs" dxfId="251" priority="60" operator="greaterThan">
      <formula>10000</formula>
    </cfRule>
    <cfRule type="cellIs" dxfId="250" priority="61" operator="between">
      <formula>10</formula>
      <formula>9999.999</formula>
    </cfRule>
    <cfRule type="cellIs" dxfId="249" priority="62" operator="between">
      <formula>1</formula>
      <formula>9.999</formula>
    </cfRule>
    <cfRule type="cellIs" dxfId="248" priority="64" operator="lessThan">
      <formula>0.1</formula>
    </cfRule>
    <cfRule type="cellIs" dxfId="247" priority="59" operator="equal">
      <formula>0</formula>
    </cfRule>
    <cfRule type="cellIs" dxfId="246" priority="63" operator="between">
      <formula>0.1</formula>
      <formula>0.999</formula>
    </cfRule>
  </conditionalFormatting>
  <conditionalFormatting sqref="K19:P24">
    <cfRule type="cellIs" dxfId="245" priority="138" operator="lessThan">
      <formula>$J19</formula>
    </cfRule>
    <cfRule type="cellIs" dxfId="244" priority="139" operator="greaterThanOrEqual">
      <formula>$J19</formula>
    </cfRule>
  </conditionalFormatting>
  <conditionalFormatting sqref="K19:P26 U19:X26">
    <cfRule type="cellIs" dxfId="243" priority="47" stopIfTrue="1" operator="equal">
      <formula>0</formula>
    </cfRule>
    <cfRule type="cellIs" dxfId="242" priority="142" operator="lessThan">
      <formula>0.1</formula>
    </cfRule>
    <cfRule type="cellIs" dxfId="241" priority="143" operator="lessThan">
      <formula>10</formula>
    </cfRule>
    <cfRule type="cellIs" dxfId="240" priority="144" operator="greaterThanOrEqual">
      <formula>10</formula>
    </cfRule>
  </conditionalFormatting>
  <conditionalFormatting sqref="K25:P26">
    <cfRule type="cellIs" dxfId="239" priority="159" operator="greaterThan">
      <formula>0.0001</formula>
    </cfRule>
    <cfRule type="cellIs" dxfId="238" priority="169" operator="lessThanOrEqual">
      <formula>0.0001</formula>
    </cfRule>
  </conditionalFormatting>
  <conditionalFormatting sqref="L8:L9">
    <cfRule type="cellIs" dxfId="237" priority="98" operator="lessThan">
      <formula>0.1</formula>
    </cfRule>
    <cfRule type="cellIs" dxfId="236" priority="96" stopIfTrue="1" operator="equal">
      <formula>0</formula>
    </cfRule>
    <cfRule type="containsBlanks" dxfId="235" priority="97" stopIfTrue="1">
      <formula>LEN(TRIM(L8))=0</formula>
    </cfRule>
  </conditionalFormatting>
  <conditionalFormatting sqref="R19 R23 R25">
    <cfRule type="cellIs" dxfId="234" priority="108" operator="greaterThanOrEqual">
      <formula>10</formula>
    </cfRule>
    <cfRule type="cellIs" dxfId="233" priority="107" operator="lessThan">
      <formula>10</formula>
    </cfRule>
    <cfRule type="cellIs" dxfId="232" priority="106" operator="lessThan">
      <formula>0.1</formula>
    </cfRule>
    <cfRule type="containsBlanks" dxfId="231" priority="105" stopIfTrue="1">
      <formula>LEN(TRIM(R19))=0</formula>
    </cfRule>
    <cfRule type="cellIs" dxfId="230" priority="104" stopIfTrue="1" operator="equal">
      <formula>0</formula>
    </cfRule>
  </conditionalFormatting>
  <conditionalFormatting sqref="R21">
    <cfRule type="cellIs" dxfId="229" priority="68" stopIfTrue="1" operator="equal">
      <formula>0</formula>
    </cfRule>
    <cfRule type="cellIs" dxfId="228" priority="72" operator="greaterThanOrEqual">
      <formula>10</formula>
    </cfRule>
    <cfRule type="cellIs" dxfId="227" priority="71" operator="lessThan">
      <formula>10</formula>
    </cfRule>
    <cfRule type="cellIs" dxfId="226" priority="70" operator="lessThan">
      <formula>0.1</formula>
    </cfRule>
    <cfRule type="containsBlanks" dxfId="225" priority="69" stopIfTrue="1">
      <formula>LEN(TRIM(R21))=0</formula>
    </cfRule>
  </conditionalFormatting>
  <conditionalFormatting sqref="T10:W11">
    <cfRule type="cellIs" dxfId="224" priority="8" operator="equal">
      <formula>0</formula>
    </cfRule>
  </conditionalFormatting>
  <conditionalFormatting sqref="T10:W13">
    <cfRule type="cellIs" dxfId="223" priority="13" operator="lessThan">
      <formula>0.1</formula>
    </cfRule>
    <cfRule type="cellIs" dxfId="222" priority="12" operator="between">
      <formula>0.1</formula>
      <formula>0.999</formula>
    </cfRule>
    <cfRule type="cellIs" dxfId="221" priority="11" operator="between">
      <formula>1</formula>
      <formula>9.999</formula>
    </cfRule>
    <cfRule type="cellIs" dxfId="220" priority="10" operator="between">
      <formula>10</formula>
      <formula>9999.999</formula>
    </cfRule>
    <cfRule type="cellIs" dxfId="219" priority="9" operator="greaterThan">
      <formula>10000</formula>
    </cfRule>
  </conditionalFormatting>
  <conditionalFormatting sqref="U8:U9">
    <cfRule type="cellIs" dxfId="218" priority="80" operator="lessThan">
      <formula>0.1</formula>
    </cfRule>
    <cfRule type="containsBlanks" dxfId="217" priority="79" stopIfTrue="1">
      <formula>LEN(TRIM(U8))=0</formula>
    </cfRule>
    <cfRule type="cellIs" dxfId="216" priority="78" stopIfTrue="1" operator="equal">
      <formula>0</formula>
    </cfRule>
  </conditionalFormatting>
  <conditionalFormatting sqref="U19:X24">
    <cfRule type="cellIs" dxfId="215" priority="45" operator="greaterThanOrEqual">
      <formula>$J19</formula>
    </cfRule>
    <cfRule type="cellIs" dxfId="214" priority="44" operator="lessThan">
      <formula>$J19</formula>
    </cfRule>
  </conditionalFormatting>
  <conditionalFormatting sqref="U19:X26 K19:P26">
    <cfRule type="containsBlanks" dxfId="213" priority="46" stopIfTrue="1">
      <formula>LEN(TRIM(K19))=0</formula>
    </cfRule>
  </conditionalFormatting>
  <conditionalFormatting sqref="U25:X26">
    <cfRule type="cellIs" dxfId="212" priority="141" operator="lessThanOrEqual">
      <formula>0.0001</formula>
    </cfRule>
    <cfRule type="cellIs" dxfId="211" priority="140" operator="greaterThan">
      <formula>0.0001</formula>
    </cfRule>
  </conditionalFormatting>
  <dataValidations count="1">
    <dataValidation allowBlank="1" showErrorMessage="1" sqref="I13 I8 R8" xr:uid="{B6FDB558-C6DA-450F-B0A7-6A9F371395FE}"/>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2F1E36-23C0-46BD-94ED-210B8C9D18DC}">
          <x14:formula1>
            <xm:f>'List Values'!$D$6:$D$8</xm:f>
          </x14:formula1>
          <xm:sqref>F4</xm:sqref>
        </x14:dataValidation>
        <x14:dataValidation type="list" allowBlank="1" showInputMessage="1" showErrorMessage="1" xr:uid="{EEB43209-65D0-4ECD-98C8-2D730F6098A1}">
          <x14:formula1>
            <xm:f>'List Values'!$B$2:$B$18</xm:f>
          </x14:formula1>
          <xm:sqref>C4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DFA29-5DDB-4018-BDB5-BC28E8281DEA}">
  <sheetPr codeName="Sheet7">
    <tabColor rgb="FFFFFF00"/>
  </sheetPr>
  <dimension ref="A1:AA78"/>
  <sheetViews>
    <sheetView topLeftCell="G11" workbookViewId="0">
      <selection activeCell="G11" sqref="G11"/>
    </sheetView>
  </sheetViews>
  <sheetFormatPr defaultColWidth="9.140625" defaultRowHeight="12.75"/>
  <cols>
    <col min="1" max="1" width="10" style="1" hidden="1" customWidth="1"/>
    <col min="2" max="2" width="42.85546875" style="1" customWidth="1"/>
    <col min="3" max="3" width="24.5703125" style="13" customWidth="1"/>
    <col min="4" max="4" width="17.140625" style="13" customWidth="1"/>
    <col min="5" max="5" width="9.85546875" style="13" customWidth="1"/>
    <col min="6" max="7" width="16.85546875" style="13" customWidth="1"/>
    <col min="8" max="8" width="19.5703125" style="13" customWidth="1"/>
    <col min="9" max="9" width="14.42578125" style="13" customWidth="1"/>
    <col min="10" max="10" width="20" style="13" customWidth="1"/>
    <col min="11" max="11" width="12.42578125" style="13" customWidth="1"/>
    <col min="12" max="12" width="9" style="13" customWidth="1"/>
    <col min="13" max="13" width="11.42578125" style="13" customWidth="1"/>
    <col min="14" max="14" width="12.42578125" style="13" customWidth="1"/>
    <col min="15" max="15" width="20.42578125" style="13" customWidth="1"/>
    <col min="16" max="16" width="16.42578125" style="13" customWidth="1"/>
    <col min="17" max="17" width="12" style="13" customWidth="1"/>
    <col min="18" max="18" width="14.42578125" style="13" customWidth="1"/>
    <col min="19" max="19" width="11" style="13" customWidth="1"/>
    <col min="20" max="20" width="11.42578125" style="13" customWidth="1"/>
    <col min="21" max="21" width="68.42578125" style="1" customWidth="1"/>
    <col min="22" max="22" width="16.140625" style="1" customWidth="1"/>
    <col min="23" max="16384" width="9.140625" style="1"/>
  </cols>
  <sheetData>
    <row r="1" spans="1:27" ht="13.5" thickBot="1">
      <c r="B1" s="3"/>
      <c r="C1" s="2"/>
      <c r="D1" s="2"/>
      <c r="H1" s="414"/>
      <c r="I1" s="415"/>
      <c r="J1" s="415"/>
      <c r="K1" s="2"/>
      <c r="L1" s="2"/>
      <c r="O1" s="2"/>
      <c r="P1" s="2"/>
      <c r="Q1" s="2"/>
      <c r="R1" s="2"/>
      <c r="S1" s="461"/>
      <c r="T1" s="461"/>
    </row>
    <row r="2" spans="1:27" ht="26.25" customHeight="1" thickBot="1">
      <c r="B2" s="6"/>
      <c r="C2" s="390"/>
      <c r="D2" s="390"/>
      <c r="E2" s="588" t="s">
        <v>174</v>
      </c>
      <c r="F2" s="589"/>
      <c r="G2" s="592" t="s">
        <v>175</v>
      </c>
      <c r="H2" s="593"/>
      <c r="I2" s="592" t="s">
        <v>176</v>
      </c>
      <c r="J2" s="593"/>
      <c r="K2" s="594" t="s">
        <v>80</v>
      </c>
      <c r="L2" s="595"/>
      <c r="M2" s="594" t="s">
        <v>81</v>
      </c>
      <c r="N2" s="595"/>
      <c r="O2" s="594" t="s">
        <v>177</v>
      </c>
      <c r="P2" s="595"/>
      <c r="Q2" s="594" t="s">
        <v>178</v>
      </c>
      <c r="R2" s="595"/>
      <c r="S2" s="391"/>
      <c r="T2" s="391"/>
      <c r="U2" s="7"/>
      <c r="V2" s="7"/>
    </row>
    <row r="3" spans="1:27" ht="18" customHeight="1">
      <c r="B3" s="8"/>
      <c r="C3" s="392"/>
      <c r="D3" s="392"/>
      <c r="E3" s="590"/>
      <c r="F3" s="591"/>
      <c r="G3" s="594" t="s">
        <v>179</v>
      </c>
      <c r="H3" s="595"/>
      <c r="I3" s="594" t="s">
        <v>179</v>
      </c>
      <c r="J3" s="595"/>
      <c r="K3" s="598" t="s">
        <v>85</v>
      </c>
      <c r="L3" s="599"/>
      <c r="M3" s="598" t="s">
        <v>86</v>
      </c>
      <c r="N3" s="599"/>
      <c r="O3" s="596" t="s">
        <v>87</v>
      </c>
      <c r="P3" s="597"/>
      <c r="Q3" s="596" t="s">
        <v>88</v>
      </c>
      <c r="R3" s="597"/>
      <c r="S3" s="392"/>
      <c r="T3" s="392"/>
      <c r="U3" s="8"/>
      <c r="V3" s="8"/>
    </row>
    <row r="4" spans="1:27" s="9" customFormat="1" ht="39" thickBot="1">
      <c r="A4" s="9" t="s">
        <v>180</v>
      </c>
      <c r="B4" s="383" t="s">
        <v>181</v>
      </c>
      <c r="C4" s="393" t="s">
        <v>143</v>
      </c>
      <c r="D4" s="393" t="s">
        <v>182</v>
      </c>
      <c r="E4" s="384" t="s">
        <v>183</v>
      </c>
      <c r="F4" s="384" t="s">
        <v>184</v>
      </c>
      <c r="G4" s="384" t="s">
        <v>185</v>
      </c>
      <c r="H4" s="384" t="s">
        <v>186</v>
      </c>
      <c r="I4" s="384" t="s">
        <v>187</v>
      </c>
      <c r="J4" s="384" t="s">
        <v>188</v>
      </c>
      <c r="K4" s="375" t="s">
        <v>189</v>
      </c>
      <c r="L4" s="375" t="s">
        <v>190</v>
      </c>
      <c r="M4" s="458" t="s">
        <v>191</v>
      </c>
      <c r="N4" s="458" t="s">
        <v>192</v>
      </c>
      <c r="O4" s="375" t="s">
        <v>193</v>
      </c>
      <c r="P4" s="375" t="s">
        <v>194</v>
      </c>
      <c r="Q4" s="375" t="s">
        <v>195</v>
      </c>
      <c r="R4" s="375" t="s">
        <v>196</v>
      </c>
      <c r="S4" s="393" t="s">
        <v>197</v>
      </c>
      <c r="T4" s="393" t="s">
        <v>198</v>
      </c>
      <c r="U4" s="383" t="s">
        <v>199</v>
      </c>
      <c r="V4" s="10" t="s">
        <v>200</v>
      </c>
    </row>
    <row r="5" spans="1:27" ht="39" thickBot="1">
      <c r="B5" s="394" t="s">
        <v>201</v>
      </c>
      <c r="C5" s="395" t="s">
        <v>74</v>
      </c>
      <c r="D5" s="396" t="s">
        <v>202</v>
      </c>
      <c r="E5" s="396">
        <v>250</v>
      </c>
      <c r="F5" s="396">
        <v>250</v>
      </c>
      <c r="G5" s="406">
        <v>2.1999999999999999E-2</v>
      </c>
      <c r="H5" s="406">
        <v>1.2E-2</v>
      </c>
      <c r="I5" s="406">
        <v>0</v>
      </c>
      <c r="J5" s="396">
        <v>0</v>
      </c>
      <c r="K5" s="281">
        <f>((G5*ED_8+(I5*ED_8))*WorkBreathRate)/IF(Inhalation_Exp[[#This Row],[Worker Type]]="Female of Reproductive Age",BW_F,BW_default)</f>
        <v>2.7499999999999998E-3</v>
      </c>
      <c r="L5" s="307">
        <f>((H5*ED_8+(J5*ED_8))*WorkBreathRate)/IF(Inhalation_Exp[[#This Row],[Worker Type]]="Female of Reproductive Age",BW_F,BW_default)</f>
        <v>1.5E-3</v>
      </c>
      <c r="M5" s="282">
        <f>IF(EFID&gt;Inhalation_Exp[[#This Row],[ED_High-End]],Inhalation_Exp[[#This Row],[24hr_High-End]]*Inhalation_Exp[[#This Row],[ED_High-End]]/ID,Inhalation_Exp[[#This Row],[24hr_High-End]]*EFID/ID)</f>
        <v>2.0166666666666666E-3</v>
      </c>
      <c r="N5" s="307">
        <f>IF(EFID&gt;Inhalation_Exp[[#This Row],[ED_Central Tendency]],Inhalation_Exp[[#This Row],[24hr_Central Tendency]]*Inhalation_Exp[[#This Row],[ED_Central Tendency]]/ID,Inhalation_Exp[[#This Row],[24hr_Central Tendency]]*EFID/ID)</f>
        <v>1.1000000000000001E-3</v>
      </c>
      <c r="O5" s="282">
        <f t="shared" ref="O5:O36" si="0">K5*E5*WY_high/(WY_high*365)</f>
        <v>1.8835616438356165E-3</v>
      </c>
      <c r="P5" s="307">
        <f t="shared" ref="P5:P36" si="1">L5*F5*WY_mid/(WY_mid*365)</f>
        <v>1.0273972602739725E-3</v>
      </c>
      <c r="Q5" s="282">
        <f t="shared" ref="Q5:Q36" si="2">K5*E5*WY_high/(LT*365)</f>
        <v>9.6592904812082896E-4</v>
      </c>
      <c r="R5" s="282">
        <f t="shared" ref="R5:R36" si="3">L5*F5*WY_mid/(LT*365)</f>
        <v>4.0832455216016861E-4</v>
      </c>
      <c r="S5" s="397">
        <v>45</v>
      </c>
      <c r="T5" s="397" t="s">
        <v>203</v>
      </c>
      <c r="U5" s="12" t="s">
        <v>204</v>
      </c>
      <c r="V5" s="398" t="s">
        <v>205</v>
      </c>
    </row>
    <row r="6" spans="1:27" ht="15" customHeight="1">
      <c r="A6" s="251"/>
      <c r="B6" s="385" t="s">
        <v>201</v>
      </c>
      <c r="C6" s="280" t="s">
        <v>206</v>
      </c>
      <c r="D6" s="11" t="s">
        <v>202</v>
      </c>
      <c r="E6" s="11">
        <v>250</v>
      </c>
      <c r="F6" s="11">
        <v>250</v>
      </c>
      <c r="G6" s="406">
        <v>2.1999999999999999E-2</v>
      </c>
      <c r="H6" s="406">
        <v>1.2E-2</v>
      </c>
      <c r="I6" s="281">
        <v>0</v>
      </c>
      <c r="J6" s="281">
        <v>0</v>
      </c>
      <c r="K6" s="282">
        <f>((G6*ED_8+(I6*ED_8))*WorkBreathRate)/IF(Inhalation_Exp[[#This Row],[Worker Type]]="Female of Reproductive Age",BW_F,BW_default)</f>
        <v>3.0376251294442517E-3</v>
      </c>
      <c r="L6" s="282">
        <f>((H6*ED_8+(J6*ED_8))*WorkBreathRate)/IF(Inhalation_Exp[[#This Row],[Worker Type]]="Female of Reproductive Age",BW_F,BW_default)</f>
        <v>1.6568864342423194E-3</v>
      </c>
      <c r="M6" s="282">
        <f>IF(EFID&gt;Inhalation_Exp[[#This Row],[ED_High-End]],Inhalation_Exp[[#This Row],[24hr_High-End]]*Inhalation_Exp[[#This Row],[ED_High-End]]/ID,Inhalation_Exp[[#This Row],[24hr_High-End]]*EFID/ID)</f>
        <v>2.2275917615924511E-3</v>
      </c>
      <c r="N6" s="307">
        <f>IF(EFID&gt;Inhalation_Exp[[#This Row],[ED_Central Tendency]],Inhalation_Exp[[#This Row],[24hr_Central Tendency]]*Inhalation_Exp[[#This Row],[ED_Central Tendency]]/ID,Inhalation_Exp[[#This Row],[24hr_Central Tendency]]*EFID/ID)</f>
        <v>1.2150500517777009E-3</v>
      </c>
      <c r="O6" s="282">
        <f t="shared" si="0"/>
        <v>2.0805651571535969E-3</v>
      </c>
      <c r="P6" s="307">
        <f t="shared" si="1"/>
        <v>1.1348537220837805E-3</v>
      </c>
      <c r="Q6" s="282">
        <f t="shared" si="2"/>
        <v>1.0669564908479985E-3</v>
      </c>
      <c r="R6" s="282">
        <f t="shared" si="3"/>
        <v>4.5103160749483581E-4</v>
      </c>
      <c r="S6" s="399" t="s">
        <v>203</v>
      </c>
      <c r="T6" s="399" t="s">
        <v>203</v>
      </c>
      <c r="U6" s="12" t="s">
        <v>207</v>
      </c>
      <c r="V6" s="398" t="s">
        <v>205</v>
      </c>
    </row>
    <row r="7" spans="1:27" ht="25.5">
      <c r="A7" s="251"/>
      <c r="B7" s="387" t="s">
        <v>201</v>
      </c>
      <c r="C7" s="280" t="s">
        <v>94</v>
      </c>
      <c r="D7" s="11" t="s">
        <v>202</v>
      </c>
      <c r="E7" s="11">
        <v>250</v>
      </c>
      <c r="F7" s="11">
        <v>250</v>
      </c>
      <c r="G7" s="406">
        <v>1.2E-2</v>
      </c>
      <c r="H7" s="406">
        <v>1.2E-2</v>
      </c>
      <c r="I7" s="281">
        <v>0</v>
      </c>
      <c r="J7" s="281">
        <v>0</v>
      </c>
      <c r="K7" s="422">
        <f>((G7*ED_8+(I7*ED_8))*WorkBreathRate)/IF(Inhalation_Exp[[#This Row],[Worker Type]]="Female of Reproductive Age",BW_F,BW_default)</f>
        <v>1.5E-3</v>
      </c>
      <c r="L7" s="282">
        <f>((H7*ED_8+(J7*ED_8))*WorkBreathRate)/IF(Inhalation_Exp[[#This Row],[Worker Type]]="Female of Reproductive Age",BW_F,BW_default)</f>
        <v>1.5E-3</v>
      </c>
      <c r="M7" s="282">
        <f>IF(EFID&gt;Inhalation_Exp[[#This Row],[ED_High-End]],Inhalation_Exp[[#This Row],[24hr_High-End]]*Inhalation_Exp[[#This Row],[ED_High-End]]/ID,Inhalation_Exp[[#This Row],[24hr_High-End]]*EFID/ID)</f>
        <v>1.1000000000000001E-3</v>
      </c>
      <c r="N7" s="307">
        <f>IF(EFID&gt;Inhalation_Exp[[#This Row],[ED_Central Tendency]],Inhalation_Exp[[#This Row],[24hr_Central Tendency]]*Inhalation_Exp[[#This Row],[ED_Central Tendency]]/ID,Inhalation_Exp[[#This Row],[24hr_Central Tendency]]*EFID/ID)</f>
        <v>1.1000000000000001E-3</v>
      </c>
      <c r="O7" s="282">
        <f t="shared" si="0"/>
        <v>1.0273972602739725E-3</v>
      </c>
      <c r="P7" s="307">
        <f t="shared" si="1"/>
        <v>1.0273972602739725E-3</v>
      </c>
      <c r="Q7" s="282">
        <f t="shared" si="2"/>
        <v>5.2687038988408848E-4</v>
      </c>
      <c r="R7" s="282">
        <f t="shared" si="3"/>
        <v>4.0832455216016861E-4</v>
      </c>
      <c r="S7" s="399" t="s">
        <v>203</v>
      </c>
      <c r="T7" s="399" t="s">
        <v>203</v>
      </c>
      <c r="U7" s="12" t="s">
        <v>208</v>
      </c>
      <c r="V7" s="400" t="s">
        <v>205</v>
      </c>
      <c r="Y7" s="1" t="s">
        <v>209</v>
      </c>
    </row>
    <row r="8" spans="1:27" ht="38.25">
      <c r="B8" s="387" t="s">
        <v>210</v>
      </c>
      <c r="C8" s="280" t="s">
        <v>74</v>
      </c>
      <c r="D8" s="11" t="s">
        <v>202</v>
      </c>
      <c r="E8" s="11">
        <v>250</v>
      </c>
      <c r="F8" s="11">
        <v>250</v>
      </c>
      <c r="G8" s="281">
        <v>0.52</v>
      </c>
      <c r="H8" s="281">
        <v>0.14000000000000001</v>
      </c>
      <c r="I8" s="281">
        <v>0</v>
      </c>
      <c r="J8" s="11">
        <v>0</v>
      </c>
      <c r="K8" s="422">
        <f>((G8*ED_8+(I8*ED_8))*WorkBreathRate)/IF(Inhalation_Exp[[#This Row],[Worker Type]]="Female of Reproductive Age",BW_F,BW_default)</f>
        <v>6.5000000000000002E-2</v>
      </c>
      <c r="L8" s="307">
        <f>((H8*ED_8+(J8*ED_8))*WorkBreathRate)/IF(Inhalation_Exp[[#This Row],[Worker Type]]="Female of Reproductive Age",BW_F,BW_default)</f>
        <v>1.7500000000000002E-2</v>
      </c>
      <c r="M8" s="282">
        <f>IF(EFID&gt;Inhalation_Exp[[#This Row],[ED_High-End]],Inhalation_Exp[[#This Row],[24hr_High-End]]*Inhalation_Exp[[#This Row],[ED_High-End]]/ID,Inhalation_Exp[[#This Row],[24hr_High-End]]*EFID/ID)</f>
        <v>4.766666666666667E-2</v>
      </c>
      <c r="N8" s="307">
        <f>IF(EFID&gt;Inhalation_Exp[[#This Row],[ED_Central Tendency]],Inhalation_Exp[[#This Row],[24hr_Central Tendency]]*Inhalation_Exp[[#This Row],[ED_Central Tendency]]/ID,Inhalation_Exp[[#This Row],[24hr_Central Tendency]]*EFID/ID)</f>
        <v>1.2833333333333334E-2</v>
      </c>
      <c r="O8" s="282">
        <f t="shared" si="0"/>
        <v>4.4520547945205477E-2</v>
      </c>
      <c r="P8" s="307">
        <f t="shared" si="1"/>
        <v>1.1986301369863013E-2</v>
      </c>
      <c r="Q8" s="282">
        <f t="shared" si="2"/>
        <v>2.2831050228310501E-2</v>
      </c>
      <c r="R8" s="282">
        <f t="shared" si="3"/>
        <v>4.7637864418686336E-3</v>
      </c>
      <c r="S8" s="399" t="s">
        <v>203</v>
      </c>
      <c r="T8" s="399" t="s">
        <v>203</v>
      </c>
      <c r="U8" s="112" t="s">
        <v>211</v>
      </c>
      <c r="V8" s="400" t="s">
        <v>205</v>
      </c>
    </row>
    <row r="9" spans="1:27" ht="15" customHeight="1">
      <c r="A9" s="251"/>
      <c r="B9" s="385" t="s">
        <v>210</v>
      </c>
      <c r="C9" s="280" t="s">
        <v>206</v>
      </c>
      <c r="D9" s="11" t="s">
        <v>202</v>
      </c>
      <c r="E9" s="11">
        <v>250</v>
      </c>
      <c r="F9" s="11">
        <v>250</v>
      </c>
      <c r="G9" s="281">
        <v>0.52</v>
      </c>
      <c r="H9" s="281">
        <v>0.14000000000000001</v>
      </c>
      <c r="I9" s="281">
        <v>0</v>
      </c>
      <c r="J9" s="11">
        <v>0</v>
      </c>
      <c r="K9" s="329">
        <f>((G9*ED_8+(I9*ED_8))*WorkBreathRate)/IF(Inhalation_Exp[[#This Row],[Worker Type]]="Female of Reproductive Age",BW_F,BW_default)</f>
        <v>7.1798412150500507E-2</v>
      </c>
      <c r="L9" s="329">
        <f>((H9*ED_8+(J9*ED_8))*WorkBreathRate)/IF(Inhalation_Exp[[#This Row],[Worker Type]]="Female of Reproductive Age",BW_F,BW_default)</f>
        <v>1.933034173282706E-2</v>
      </c>
      <c r="M9" s="329">
        <f>IF(EFID&gt;Inhalation_Exp[[#This Row],[ED_High-End]],Inhalation_Exp[[#This Row],[24hr_High-End]]*Inhalation_Exp[[#This Row],[ED_High-End]]/ID,Inhalation_Exp[[#This Row],[24hr_High-End]]*EFID/ID)</f>
        <v>5.2652168910367038E-2</v>
      </c>
      <c r="N9" s="377">
        <f>IF(EFID&gt;Inhalation_Exp[[#This Row],[ED_Central Tendency]],Inhalation_Exp[[#This Row],[24hr_Central Tendency]]*Inhalation_Exp[[#This Row],[ED_Central Tendency]]/ID,Inhalation_Exp[[#This Row],[24hr_Central Tendency]]*EFID/ID)</f>
        <v>1.417558393740651E-2</v>
      </c>
      <c r="O9" s="329">
        <f t="shared" si="0"/>
        <v>4.9176994623630482E-2</v>
      </c>
      <c r="P9" s="377">
        <f t="shared" si="1"/>
        <v>1.3239960090977439E-2</v>
      </c>
      <c r="Q9" s="282">
        <f t="shared" si="2"/>
        <v>2.5218971601861786E-2</v>
      </c>
      <c r="R9" s="282">
        <f t="shared" si="3"/>
        <v>5.2620354207730856E-3</v>
      </c>
      <c r="S9" s="399" t="s">
        <v>203</v>
      </c>
      <c r="T9" s="399" t="s">
        <v>203</v>
      </c>
      <c r="U9" s="12" t="s">
        <v>207</v>
      </c>
      <c r="V9" s="400" t="s">
        <v>205</v>
      </c>
    </row>
    <row r="10" spans="1:27" ht="25.5">
      <c r="A10" s="251"/>
      <c r="B10" s="387" t="s">
        <v>210</v>
      </c>
      <c r="C10" s="280" t="s">
        <v>94</v>
      </c>
      <c r="D10" s="11" t="s">
        <v>202</v>
      </c>
      <c r="E10" s="11">
        <v>250</v>
      </c>
      <c r="F10" s="11">
        <v>250</v>
      </c>
      <c r="G10" s="281">
        <v>0.14000000000000001</v>
      </c>
      <c r="H10" s="281">
        <v>0.14000000000000001</v>
      </c>
      <c r="I10" s="281">
        <v>0</v>
      </c>
      <c r="J10" s="11">
        <v>0</v>
      </c>
      <c r="K10" s="422">
        <f>((G10*ED_8+(I10*ED_8))*WorkBreathRate)/IF(Inhalation_Exp[[#This Row],[Worker Type]]="Female of Reproductive Age",BW_F,BW_default)</f>
        <v>1.7500000000000002E-2</v>
      </c>
      <c r="L10" s="282">
        <f>((H10*ED_8+(J10*ED_8))*WorkBreathRate)/IF(Inhalation_Exp[[#This Row],[Worker Type]]="Female of Reproductive Age",BW_F,BW_default)</f>
        <v>1.7500000000000002E-2</v>
      </c>
      <c r="M10" s="282">
        <f>IF(EFID&gt;Inhalation_Exp[[#This Row],[ED_High-End]],Inhalation_Exp[[#This Row],[24hr_High-End]]*Inhalation_Exp[[#This Row],[ED_High-End]]/ID,Inhalation_Exp[[#This Row],[24hr_High-End]]*EFID/ID)</f>
        <v>1.2833333333333334E-2</v>
      </c>
      <c r="N10" s="307">
        <f>IF(EFID&gt;Inhalation_Exp[[#This Row],[ED_Central Tendency]],Inhalation_Exp[[#This Row],[24hr_Central Tendency]]*Inhalation_Exp[[#This Row],[ED_Central Tendency]]/ID,Inhalation_Exp[[#This Row],[24hr_Central Tendency]]*EFID/ID)</f>
        <v>1.2833333333333334E-2</v>
      </c>
      <c r="O10" s="282">
        <f t="shared" si="0"/>
        <v>1.1986301369863013E-2</v>
      </c>
      <c r="P10" s="307">
        <f t="shared" si="1"/>
        <v>1.1986301369863013E-2</v>
      </c>
      <c r="Q10" s="282">
        <f t="shared" si="2"/>
        <v>6.1468212153143664E-3</v>
      </c>
      <c r="R10" s="282">
        <f t="shared" si="3"/>
        <v>4.7637864418686336E-3</v>
      </c>
      <c r="S10" s="399" t="s">
        <v>203</v>
      </c>
      <c r="T10" s="399" t="s">
        <v>203</v>
      </c>
      <c r="U10" s="401" t="s">
        <v>208</v>
      </c>
      <c r="V10" s="400" t="s">
        <v>205</v>
      </c>
    </row>
    <row r="11" spans="1:27" ht="25.5">
      <c r="A11" s="251"/>
      <c r="B11" s="388" t="s">
        <v>212</v>
      </c>
      <c r="C11" s="280" t="s">
        <v>74</v>
      </c>
      <c r="D11" s="11" t="s">
        <v>202</v>
      </c>
      <c r="E11" s="11">
        <v>250</v>
      </c>
      <c r="F11" s="11">
        <v>250</v>
      </c>
      <c r="G11" s="281">
        <f t="shared" ref="G11:H12" si="4">G5</f>
        <v>2.1999999999999999E-2</v>
      </c>
      <c r="H11" s="281">
        <f t="shared" si="4"/>
        <v>1.2E-2</v>
      </c>
      <c r="I11" s="281">
        <v>0</v>
      </c>
      <c r="J11" s="11">
        <v>0</v>
      </c>
      <c r="K11" s="422">
        <f>((G11*ED_8+(I11*ED_8))*WorkBreathRate)/IF(Inhalation_Exp[[#This Row],[Worker Type]]="Female of Reproductive Age",BW_F,BW_default)</f>
        <v>2.7499999999999998E-3</v>
      </c>
      <c r="L11" s="307">
        <f>((H11*ED_8+(J11*ED_8))*WorkBreathRate)/IF(Inhalation_Exp[[#This Row],[Worker Type]]="Female of Reproductive Age",BW_F,BW_default)</f>
        <v>1.5E-3</v>
      </c>
      <c r="M11" s="282">
        <f>IF(EFID&gt;Inhalation_Exp[[#This Row],[ED_High-End]],Inhalation_Exp[[#This Row],[24hr_High-End]]*Inhalation_Exp[[#This Row],[ED_High-End]]/ID,Inhalation_Exp[[#This Row],[24hr_High-End]]*EFID/ID)</f>
        <v>2.0166666666666666E-3</v>
      </c>
      <c r="N11" s="307">
        <f>IF(EFID&gt;Inhalation_Exp[[#This Row],[ED_Central Tendency]],Inhalation_Exp[[#This Row],[24hr_Central Tendency]]*Inhalation_Exp[[#This Row],[ED_Central Tendency]]/ID,Inhalation_Exp[[#This Row],[24hr_Central Tendency]]*EFID/ID)</f>
        <v>1.1000000000000001E-3</v>
      </c>
      <c r="O11" s="282">
        <f t="shared" si="0"/>
        <v>1.8835616438356165E-3</v>
      </c>
      <c r="P11" s="307">
        <f t="shared" si="1"/>
        <v>1.0273972602739725E-3</v>
      </c>
      <c r="Q11" s="282">
        <f t="shared" si="2"/>
        <v>9.6592904812082896E-4</v>
      </c>
      <c r="R11" s="282">
        <f t="shared" si="3"/>
        <v>4.0832455216016861E-4</v>
      </c>
      <c r="S11" s="397">
        <v>45</v>
      </c>
      <c r="T11" s="399" t="s">
        <v>203</v>
      </c>
      <c r="U11" s="401" t="s">
        <v>213</v>
      </c>
      <c r="V11" s="400" t="s">
        <v>205</v>
      </c>
    </row>
    <row r="12" spans="1:27" ht="30" customHeight="1">
      <c r="A12" s="251"/>
      <c r="B12" s="386" t="s">
        <v>212</v>
      </c>
      <c r="C12" s="280" t="s">
        <v>206</v>
      </c>
      <c r="D12" s="11" t="s">
        <v>202</v>
      </c>
      <c r="E12" s="11">
        <v>250</v>
      </c>
      <c r="F12" s="11">
        <v>250</v>
      </c>
      <c r="G12" s="281">
        <f t="shared" si="4"/>
        <v>2.1999999999999999E-2</v>
      </c>
      <c r="H12" s="281">
        <f t="shared" si="4"/>
        <v>1.2E-2</v>
      </c>
      <c r="I12" s="281">
        <v>0</v>
      </c>
      <c r="J12" s="11">
        <v>0</v>
      </c>
      <c r="K12" s="329">
        <f>((G12*ED_8+(I12*ED_8))*WorkBreathRate)/IF(Inhalation_Exp[[#This Row],[Worker Type]]="Female of Reproductive Age",BW_F,BW_default)</f>
        <v>3.0376251294442517E-3</v>
      </c>
      <c r="L12" s="329">
        <f>((H12*ED_8+(J12*ED_8))*WorkBreathRate)/IF(Inhalation_Exp[[#This Row],[Worker Type]]="Female of Reproductive Age",BW_F,BW_default)</f>
        <v>1.6568864342423194E-3</v>
      </c>
      <c r="M12" s="329">
        <f>IF(EFID&gt;Inhalation_Exp[[#This Row],[ED_High-End]],Inhalation_Exp[[#This Row],[24hr_High-End]]*Inhalation_Exp[[#This Row],[ED_High-End]]/ID,Inhalation_Exp[[#This Row],[24hr_High-End]]*EFID/ID)</f>
        <v>2.2275917615924511E-3</v>
      </c>
      <c r="N12" s="377">
        <f>IF(EFID&gt;Inhalation_Exp[[#This Row],[ED_Central Tendency]],Inhalation_Exp[[#This Row],[24hr_Central Tendency]]*Inhalation_Exp[[#This Row],[ED_Central Tendency]]/ID,Inhalation_Exp[[#This Row],[24hr_Central Tendency]]*EFID/ID)</f>
        <v>1.2150500517777009E-3</v>
      </c>
      <c r="O12" s="329">
        <f t="shared" si="0"/>
        <v>2.0805651571535969E-3</v>
      </c>
      <c r="P12" s="377">
        <f t="shared" si="1"/>
        <v>1.1348537220837805E-3</v>
      </c>
      <c r="Q12" s="282">
        <f t="shared" si="2"/>
        <v>1.0669564908479985E-3</v>
      </c>
      <c r="R12" s="282">
        <f t="shared" si="3"/>
        <v>4.5103160749483581E-4</v>
      </c>
      <c r="S12" s="399" t="s">
        <v>203</v>
      </c>
      <c r="T12" s="399" t="s">
        <v>203</v>
      </c>
      <c r="U12" s="12" t="s">
        <v>207</v>
      </c>
      <c r="V12" s="400" t="s">
        <v>205</v>
      </c>
    </row>
    <row r="13" spans="1:27" ht="25.5">
      <c r="A13" s="251"/>
      <c r="B13" s="388" t="s">
        <v>212</v>
      </c>
      <c r="C13" s="280" t="s">
        <v>94</v>
      </c>
      <c r="D13" s="11" t="s">
        <v>202</v>
      </c>
      <c r="E13" s="11">
        <v>250</v>
      </c>
      <c r="F13" s="11">
        <v>250</v>
      </c>
      <c r="G13" s="406">
        <v>1.2E-2</v>
      </c>
      <c r="H13" s="406">
        <v>1.2E-2</v>
      </c>
      <c r="I13" s="281">
        <v>0</v>
      </c>
      <c r="J13" s="11">
        <v>0</v>
      </c>
      <c r="K13" s="422">
        <f>((G13*ED_8+(I13*ED_8))*WorkBreathRate)/IF(Inhalation_Exp[[#This Row],[Worker Type]]="Female of Reproductive Age",BW_F,BW_default)</f>
        <v>1.5E-3</v>
      </c>
      <c r="L13" s="282">
        <f>((H13*ED_8+(J13*ED_8))*WorkBreathRate)/IF(Inhalation_Exp[[#This Row],[Worker Type]]="Female of Reproductive Age",BW_F,BW_default)</f>
        <v>1.5E-3</v>
      </c>
      <c r="M13" s="282">
        <f>IF(EFID&gt;Inhalation_Exp[[#This Row],[ED_High-End]],Inhalation_Exp[[#This Row],[24hr_High-End]]*Inhalation_Exp[[#This Row],[ED_High-End]]/ID,Inhalation_Exp[[#This Row],[24hr_High-End]]*EFID/ID)</f>
        <v>1.1000000000000001E-3</v>
      </c>
      <c r="N13" s="307">
        <f>IF(EFID&gt;Inhalation_Exp[[#This Row],[ED_Central Tendency]],Inhalation_Exp[[#This Row],[24hr_Central Tendency]]*Inhalation_Exp[[#This Row],[ED_Central Tendency]]/ID,Inhalation_Exp[[#This Row],[24hr_Central Tendency]]*EFID/ID)</f>
        <v>1.1000000000000001E-3</v>
      </c>
      <c r="O13" s="282">
        <f t="shared" si="0"/>
        <v>1.0273972602739725E-3</v>
      </c>
      <c r="P13" s="307">
        <f t="shared" si="1"/>
        <v>1.0273972602739725E-3</v>
      </c>
      <c r="Q13" s="282">
        <f t="shared" si="2"/>
        <v>5.2687038988408848E-4</v>
      </c>
      <c r="R13" s="282">
        <f t="shared" si="3"/>
        <v>4.0832455216016861E-4</v>
      </c>
      <c r="S13" s="399" t="s">
        <v>203</v>
      </c>
      <c r="T13" s="399" t="s">
        <v>203</v>
      </c>
      <c r="U13" s="401" t="s">
        <v>213</v>
      </c>
      <c r="V13" s="400" t="s">
        <v>205</v>
      </c>
    </row>
    <row r="14" spans="1:27" ht="38.25">
      <c r="B14" s="432" t="s">
        <v>214</v>
      </c>
      <c r="C14" s="280" t="s">
        <v>74</v>
      </c>
      <c r="D14" s="11" t="s">
        <v>202</v>
      </c>
      <c r="E14" s="11">
        <v>250</v>
      </c>
      <c r="F14" s="11">
        <v>250</v>
      </c>
      <c r="G14" s="430">
        <v>8.5000000000000006E-2</v>
      </c>
      <c r="H14" s="430">
        <v>8.5000000000000006E-2</v>
      </c>
      <c r="I14" s="281">
        <v>0</v>
      </c>
      <c r="J14" s="11">
        <v>0</v>
      </c>
      <c r="K14" s="434">
        <f>((G14*ED_8+(I14*ED_8))*WorkBreathRate)/IF(Inhalation_Exp[[#This Row],[Worker Type]]="Female of Reproductive Age",BW_F,BW_default)</f>
        <v>1.0625000000000001E-2</v>
      </c>
      <c r="L14" s="435">
        <f>((H14*ED_8+(J14*ED_8))*WorkBreathRate)/IF(Inhalation_Exp[[#This Row],[Worker Type]]="Female of Reproductive Age",BW_F,BW_default)</f>
        <v>1.0625000000000001E-2</v>
      </c>
      <c r="M14" s="436">
        <f>IF(EFID&gt;Inhalation_Exp[[#This Row],[ED_High-End]],Inhalation_Exp[[#This Row],[24hr_High-End]]*Inhalation_Exp[[#This Row],[ED_High-End]]/ID,Inhalation_Exp[[#This Row],[24hr_High-End]]*EFID/ID)</f>
        <v>7.7916666666666672E-3</v>
      </c>
      <c r="N14" s="435">
        <f>IF(EFID&gt;Inhalation_Exp[[#This Row],[ED_Central Tendency]],Inhalation_Exp[[#This Row],[24hr_Central Tendency]]*Inhalation_Exp[[#This Row],[ED_Central Tendency]]/ID,Inhalation_Exp[[#This Row],[24hr_Central Tendency]]*EFID/ID)</f>
        <v>7.7916666666666672E-3</v>
      </c>
      <c r="O14" s="436">
        <f t="shared" si="0"/>
        <v>7.2773972602739722E-3</v>
      </c>
      <c r="P14" s="435">
        <f t="shared" si="1"/>
        <v>7.2773972602739722E-3</v>
      </c>
      <c r="Q14" s="282">
        <f t="shared" si="2"/>
        <v>3.7319985950122936E-3</v>
      </c>
      <c r="R14" s="282">
        <f t="shared" si="3"/>
        <v>2.8922989111345274E-3</v>
      </c>
      <c r="S14" s="438">
        <v>2</v>
      </c>
      <c r="T14" s="438">
        <v>6</v>
      </c>
      <c r="U14" s="437" t="s">
        <v>215</v>
      </c>
      <c r="V14" s="400" t="s">
        <v>205</v>
      </c>
      <c r="AA14" s="1" t="s">
        <v>209</v>
      </c>
    </row>
    <row r="15" spans="1:27" ht="15" customHeight="1">
      <c r="A15" s="251"/>
      <c r="B15" s="433" t="s">
        <v>214</v>
      </c>
      <c r="C15" s="280" t="s">
        <v>206</v>
      </c>
      <c r="D15" s="11" t="s">
        <v>202</v>
      </c>
      <c r="E15" s="11">
        <v>250</v>
      </c>
      <c r="F15" s="11">
        <v>250</v>
      </c>
      <c r="G15" s="430">
        <v>8.5000000000000006E-2</v>
      </c>
      <c r="H15" s="430">
        <v>8.5000000000000006E-2</v>
      </c>
      <c r="I15" s="281">
        <v>0</v>
      </c>
      <c r="J15" s="11">
        <v>0</v>
      </c>
      <c r="K15" s="436">
        <f>((G15*ED_8+(I15*ED_8))*WorkBreathRate)/IF(Inhalation_Exp[[#This Row],[Worker Type]]="Female of Reproductive Age",BW_F,BW_default)</f>
        <v>1.1736278909216431E-2</v>
      </c>
      <c r="L15" s="436">
        <f>((H15*ED_8+(J15*ED_8))*WorkBreathRate)/IF(Inhalation_Exp[[#This Row],[Worker Type]]="Female of Reproductive Age",BW_F,BW_default)</f>
        <v>1.1736278909216431E-2</v>
      </c>
      <c r="M15" s="436">
        <f>IF(EFID&gt;Inhalation_Exp[[#This Row],[ED_High-End]],Inhalation_Exp[[#This Row],[24hr_High-End]]*Inhalation_Exp[[#This Row],[ED_High-End]]/ID,Inhalation_Exp[[#This Row],[24hr_High-End]]*EFID/ID)</f>
        <v>8.6066045334253823E-3</v>
      </c>
      <c r="N15" s="435">
        <f>IF(EFID&gt;Inhalation_Exp[[#This Row],[ED_Central Tendency]],Inhalation_Exp[[#This Row],[24hr_Central Tendency]]*Inhalation_Exp[[#This Row],[ED_Central Tendency]]/ID,Inhalation_Exp[[#This Row],[24hr_Central Tendency]]*EFID/ID)</f>
        <v>8.6066045334253823E-3</v>
      </c>
      <c r="O15" s="436">
        <f t="shared" si="0"/>
        <v>8.0385471980934462E-3</v>
      </c>
      <c r="P15" s="435">
        <f t="shared" si="1"/>
        <v>8.0385471980934462E-3</v>
      </c>
      <c r="Q15" s="282">
        <f t="shared" si="2"/>
        <v>4.1223318964581776E-3</v>
      </c>
      <c r="R15" s="282">
        <f t="shared" si="3"/>
        <v>3.1948072197550874E-3</v>
      </c>
      <c r="S15" s="439" t="s">
        <v>203</v>
      </c>
      <c r="T15" s="439" t="s">
        <v>203</v>
      </c>
      <c r="U15" s="12" t="s">
        <v>207</v>
      </c>
      <c r="V15" s="400" t="s">
        <v>205</v>
      </c>
    </row>
    <row r="16" spans="1:27">
      <c r="A16" s="251"/>
      <c r="B16" s="432" t="s">
        <v>214</v>
      </c>
      <c r="C16" s="280" t="s">
        <v>94</v>
      </c>
      <c r="D16" s="11" t="s">
        <v>202</v>
      </c>
      <c r="E16" s="11">
        <v>250</v>
      </c>
      <c r="F16" s="11">
        <v>250</v>
      </c>
      <c r="G16" s="430">
        <v>8.5000000000000006E-2</v>
      </c>
      <c r="H16" s="430">
        <v>8.5000000000000006E-2</v>
      </c>
      <c r="I16" s="281">
        <v>0</v>
      </c>
      <c r="J16" s="11">
        <v>0</v>
      </c>
      <c r="K16" s="434">
        <f>((G16*ED_8+(I16*ED_8))*WorkBreathRate)/IF(Inhalation_Exp[[#This Row],[Worker Type]]="Female of Reproductive Age",BW_F,BW_default)</f>
        <v>1.0625000000000001E-2</v>
      </c>
      <c r="L16" s="436">
        <f>((H16*ED_8+(J16*ED_8))*WorkBreathRate)/IF(Inhalation_Exp[[#This Row],[Worker Type]]="Female of Reproductive Age",BW_F,BW_default)</f>
        <v>1.0625000000000001E-2</v>
      </c>
      <c r="M16" s="436">
        <f>IF(EFID&gt;Inhalation_Exp[[#This Row],[ED_High-End]],Inhalation_Exp[[#This Row],[24hr_High-End]]*Inhalation_Exp[[#This Row],[ED_High-End]]/ID,Inhalation_Exp[[#This Row],[24hr_High-End]]*EFID/ID)</f>
        <v>7.7916666666666672E-3</v>
      </c>
      <c r="N16" s="435">
        <f>IF(EFID&gt;Inhalation_Exp[[#This Row],[ED_Central Tendency]],Inhalation_Exp[[#This Row],[24hr_Central Tendency]]*Inhalation_Exp[[#This Row],[ED_Central Tendency]]/ID,Inhalation_Exp[[#This Row],[24hr_Central Tendency]]*EFID/ID)</f>
        <v>7.7916666666666672E-3</v>
      </c>
      <c r="O16" s="436">
        <f t="shared" si="0"/>
        <v>7.2773972602739722E-3</v>
      </c>
      <c r="P16" s="435">
        <f t="shared" si="1"/>
        <v>7.2773972602739722E-3</v>
      </c>
      <c r="Q16" s="282">
        <f t="shared" si="2"/>
        <v>3.7319985950122936E-3</v>
      </c>
      <c r="R16" s="282">
        <f t="shared" si="3"/>
        <v>2.8922989111345274E-3</v>
      </c>
      <c r="S16" s="439" t="s">
        <v>203</v>
      </c>
      <c r="T16" s="439" t="s">
        <v>203</v>
      </c>
      <c r="U16" s="437" t="s">
        <v>216</v>
      </c>
      <c r="V16" s="400" t="s">
        <v>205</v>
      </c>
    </row>
    <row r="17" spans="1:22" ht="38.25">
      <c r="A17" s="251"/>
      <c r="B17" s="432" t="s">
        <v>73</v>
      </c>
      <c r="C17" s="280" t="s">
        <v>74</v>
      </c>
      <c r="D17" s="11" t="s">
        <v>202</v>
      </c>
      <c r="E17" s="11">
        <v>250</v>
      </c>
      <c r="F17" s="11">
        <v>250</v>
      </c>
      <c r="G17" s="430">
        <v>5.0999999999999997E-2</v>
      </c>
      <c r="H17" s="430">
        <v>5.0999999999999997E-2</v>
      </c>
      <c r="I17" s="281">
        <v>0</v>
      </c>
      <c r="J17" s="11">
        <v>0</v>
      </c>
      <c r="K17" s="434">
        <f>((G17*ED_8+(I17*ED_8))*WorkBreathRate)/IF(Inhalation_Exp[[#This Row],[Worker Type]]="Female of Reproductive Age",BW_F,BW_default)</f>
        <v>6.3750000000000005E-3</v>
      </c>
      <c r="L17" s="435">
        <f>((H17*ED_8+(J17*ED_8))*WorkBreathRate)/IF(Inhalation_Exp[[#This Row],[Worker Type]]="Female of Reproductive Age",BW_F,BW_default)</f>
        <v>6.3750000000000005E-3</v>
      </c>
      <c r="M17" s="436">
        <f>IF(EFID&gt;Inhalation_Exp[[#This Row],[ED_High-End]],Inhalation_Exp[[#This Row],[24hr_High-End]]*Inhalation_Exp[[#This Row],[ED_High-End]]/ID,Inhalation_Exp[[#This Row],[24hr_High-End]]*EFID/ID)</f>
        <v>4.6750000000000003E-3</v>
      </c>
      <c r="N17" s="435">
        <f>IF(EFID&gt;Inhalation_Exp[[#This Row],[ED_Central Tendency]],Inhalation_Exp[[#This Row],[24hr_Central Tendency]]*Inhalation_Exp[[#This Row],[ED_Central Tendency]]/ID,Inhalation_Exp[[#This Row],[24hr_Central Tendency]]*EFID/ID)</f>
        <v>4.6750000000000003E-3</v>
      </c>
      <c r="O17" s="436">
        <f t="shared" si="0"/>
        <v>4.3664383561643838E-3</v>
      </c>
      <c r="P17" s="435">
        <f t="shared" si="1"/>
        <v>4.3664383561643838E-3</v>
      </c>
      <c r="Q17" s="282">
        <f t="shared" si="2"/>
        <v>2.2391991570073766E-3</v>
      </c>
      <c r="R17" s="282">
        <f t="shared" si="3"/>
        <v>1.7353793466807167E-3</v>
      </c>
      <c r="S17" s="438">
        <v>2</v>
      </c>
      <c r="T17" s="438">
        <v>9</v>
      </c>
      <c r="U17" s="437" t="s">
        <v>217</v>
      </c>
      <c r="V17" s="400" t="s">
        <v>205</v>
      </c>
    </row>
    <row r="18" spans="1:22" ht="15" customHeight="1">
      <c r="A18" s="251"/>
      <c r="B18" s="433" t="s">
        <v>73</v>
      </c>
      <c r="C18" s="280" t="s">
        <v>206</v>
      </c>
      <c r="D18" s="11" t="s">
        <v>202</v>
      </c>
      <c r="E18" s="11">
        <v>250</v>
      </c>
      <c r="F18" s="11">
        <v>250</v>
      </c>
      <c r="G18" s="430">
        <v>5.0999999999999997E-2</v>
      </c>
      <c r="H18" s="430">
        <v>5.0999999999999997E-2</v>
      </c>
      <c r="I18" s="281">
        <v>0</v>
      </c>
      <c r="J18" s="11">
        <v>0</v>
      </c>
      <c r="K18" s="436">
        <f>((G18*ED_8+(I18*ED_8))*WorkBreathRate)/IF(Inhalation_Exp[[#This Row],[Worker Type]]="Female of Reproductive Age",BW_F,BW_default)</f>
        <v>7.0417673455298573E-3</v>
      </c>
      <c r="L18" s="436">
        <f>((H18*ED_8+(J18*ED_8))*WorkBreathRate)/IF(Inhalation_Exp[[#This Row],[Worker Type]]="Female of Reproductive Age",BW_F,BW_default)</f>
        <v>7.0417673455298573E-3</v>
      </c>
      <c r="M18" s="436">
        <f>IF(EFID&gt;Inhalation_Exp[[#This Row],[ED_High-End]],Inhalation_Exp[[#This Row],[24hr_High-End]]*Inhalation_Exp[[#This Row],[ED_High-End]]/ID,Inhalation_Exp[[#This Row],[24hr_High-End]]*EFID/ID)</f>
        <v>5.1639627200552292E-3</v>
      </c>
      <c r="N18" s="435">
        <f>IF(EFID&gt;Inhalation_Exp[[#This Row],[ED_Central Tendency]],Inhalation_Exp[[#This Row],[24hr_Central Tendency]]*Inhalation_Exp[[#This Row],[ED_Central Tendency]]/ID,Inhalation_Exp[[#This Row],[24hr_Central Tendency]]*EFID/ID)</f>
        <v>5.1639627200552292E-3</v>
      </c>
      <c r="O18" s="436">
        <f t="shared" si="0"/>
        <v>4.823128318856066E-3</v>
      </c>
      <c r="P18" s="435">
        <f t="shared" si="1"/>
        <v>4.8231283188560669E-3</v>
      </c>
      <c r="Q18" s="282">
        <f t="shared" si="2"/>
        <v>2.4733991378749058E-3</v>
      </c>
      <c r="R18" s="282">
        <f t="shared" si="3"/>
        <v>1.9168843318530522E-3</v>
      </c>
      <c r="S18" s="439" t="s">
        <v>203</v>
      </c>
      <c r="T18" s="439" t="s">
        <v>203</v>
      </c>
      <c r="U18" s="12" t="s">
        <v>207</v>
      </c>
      <c r="V18" s="400" t="s">
        <v>205</v>
      </c>
    </row>
    <row r="19" spans="1:22">
      <c r="A19" s="251"/>
      <c r="B19" s="432" t="s">
        <v>73</v>
      </c>
      <c r="C19" s="280" t="s">
        <v>94</v>
      </c>
      <c r="D19" s="11" t="s">
        <v>202</v>
      </c>
      <c r="E19" s="11">
        <v>250</v>
      </c>
      <c r="F19" s="11">
        <v>250</v>
      </c>
      <c r="G19" s="430">
        <v>5.0999999999999997E-2</v>
      </c>
      <c r="H19" s="430">
        <v>5.0999999999999997E-2</v>
      </c>
      <c r="I19" s="281">
        <v>0</v>
      </c>
      <c r="J19" s="11">
        <v>0</v>
      </c>
      <c r="K19" s="434">
        <f>((G19*ED_8+(I19*ED_8))*WorkBreathRate)/IF(Inhalation_Exp[[#This Row],[Worker Type]]="Female of Reproductive Age",BW_F,BW_default)</f>
        <v>6.3750000000000005E-3</v>
      </c>
      <c r="L19" s="436">
        <f>((H19*ED_8+(J19*ED_8))*WorkBreathRate)/IF(Inhalation_Exp[[#This Row],[Worker Type]]="Female of Reproductive Age",BW_F,BW_default)</f>
        <v>6.3750000000000005E-3</v>
      </c>
      <c r="M19" s="436">
        <f>IF(EFID&gt;Inhalation_Exp[[#This Row],[ED_High-End]],Inhalation_Exp[[#This Row],[24hr_High-End]]*Inhalation_Exp[[#This Row],[ED_High-End]]/ID,Inhalation_Exp[[#This Row],[24hr_High-End]]*EFID/ID)</f>
        <v>4.6750000000000003E-3</v>
      </c>
      <c r="N19" s="435">
        <f>IF(EFID&gt;Inhalation_Exp[[#This Row],[ED_Central Tendency]],Inhalation_Exp[[#This Row],[24hr_Central Tendency]]*Inhalation_Exp[[#This Row],[ED_Central Tendency]]/ID,Inhalation_Exp[[#This Row],[24hr_Central Tendency]]*EFID/ID)</f>
        <v>4.6750000000000003E-3</v>
      </c>
      <c r="O19" s="436">
        <f t="shared" si="0"/>
        <v>4.3664383561643838E-3</v>
      </c>
      <c r="P19" s="435">
        <f t="shared" si="1"/>
        <v>4.3664383561643838E-3</v>
      </c>
      <c r="Q19" s="282">
        <f t="shared" si="2"/>
        <v>2.2391991570073766E-3</v>
      </c>
      <c r="R19" s="282">
        <f t="shared" si="3"/>
        <v>1.7353793466807167E-3</v>
      </c>
      <c r="S19" s="439" t="s">
        <v>203</v>
      </c>
      <c r="T19" s="439" t="s">
        <v>203</v>
      </c>
      <c r="U19" s="437" t="s">
        <v>216</v>
      </c>
      <c r="V19" s="400" t="s">
        <v>205</v>
      </c>
    </row>
    <row r="20" spans="1:22" ht="25.5">
      <c r="A20" s="251"/>
      <c r="B20" s="388" t="s">
        <v>142</v>
      </c>
      <c r="C20" s="280" t="s">
        <v>74</v>
      </c>
      <c r="D20" s="11" t="s">
        <v>202</v>
      </c>
      <c r="E20" s="11">
        <v>250</v>
      </c>
      <c r="F20" s="11">
        <v>250</v>
      </c>
      <c r="G20" s="453">
        <v>10.01</v>
      </c>
      <c r="H20" s="281">
        <v>1.67</v>
      </c>
      <c r="I20" s="281">
        <v>0</v>
      </c>
      <c r="J20" s="11">
        <v>0</v>
      </c>
      <c r="K20" s="422">
        <f>((G20*ED_8+(I20*ED_8))*WorkBreathRate)/IF(Inhalation_Exp[[#This Row],[Worker Type]]="Female of Reproductive Age",BW_F,BW_default)</f>
        <v>1.25125</v>
      </c>
      <c r="L20" s="307">
        <f>((H20*ED_8+(J20*ED_8))*WorkBreathRate)/IF(Inhalation_Exp[[#This Row],[Worker Type]]="Female of Reproductive Age",BW_F,BW_default)</f>
        <v>0.20874999999999999</v>
      </c>
      <c r="M20" s="282">
        <f>IF(EFID&gt;Inhalation_Exp[[#This Row],[ED_High-End]],Inhalation_Exp[[#This Row],[24hr_High-End]]*Inhalation_Exp[[#This Row],[ED_High-End]]/ID,Inhalation_Exp[[#This Row],[24hr_High-End]]*EFID/ID)</f>
        <v>0.91758333333333331</v>
      </c>
      <c r="N20" s="307">
        <f>IF(EFID&gt;Inhalation_Exp[[#This Row],[ED_Central Tendency]],Inhalation_Exp[[#This Row],[24hr_Central Tendency]]*Inhalation_Exp[[#This Row],[ED_Central Tendency]]/ID,Inhalation_Exp[[#This Row],[24hr_Central Tendency]]*EFID/ID)</f>
        <v>0.15308333333333332</v>
      </c>
      <c r="O20" s="282">
        <f t="shared" si="0"/>
        <v>0.85702054794520544</v>
      </c>
      <c r="P20" s="307">
        <f t="shared" si="1"/>
        <v>0.14297945205479451</v>
      </c>
      <c r="Q20" s="282">
        <f t="shared" si="2"/>
        <v>0.43949771689497719</v>
      </c>
      <c r="R20" s="282">
        <f t="shared" si="3"/>
        <v>5.682516684229013E-2</v>
      </c>
      <c r="S20" s="399">
        <v>7</v>
      </c>
      <c r="T20" s="399" t="s">
        <v>203</v>
      </c>
      <c r="U20" s="401" t="s">
        <v>218</v>
      </c>
      <c r="V20" s="400" t="s">
        <v>205</v>
      </c>
    </row>
    <row r="21" spans="1:22" ht="15" customHeight="1">
      <c r="A21" s="251"/>
      <c r="B21" s="386" t="s">
        <v>142</v>
      </c>
      <c r="C21" s="280" t="s">
        <v>206</v>
      </c>
      <c r="D21" s="11" t="s">
        <v>202</v>
      </c>
      <c r="E21" s="11">
        <v>250</v>
      </c>
      <c r="F21" s="11">
        <v>250</v>
      </c>
      <c r="G21" s="453">
        <v>10.01</v>
      </c>
      <c r="H21" s="281">
        <v>1.67</v>
      </c>
      <c r="I21" s="281">
        <v>0</v>
      </c>
      <c r="J21" s="11">
        <v>0</v>
      </c>
      <c r="K21" s="282">
        <f>((G21*ED_8+(I21*ED_8))*WorkBreathRate)/IF(Inhalation_Exp[[#This Row],[Worker Type]]="Female of Reproductive Age",BW_F,BW_default)</f>
        <v>1.3821194338971348</v>
      </c>
      <c r="L21" s="282">
        <f>((H21*ED_8+(J21*ED_8))*WorkBreathRate)/IF(Inhalation_Exp[[#This Row],[Worker Type]]="Female of Reproductive Age",BW_F,BW_default)</f>
        <v>0.23058336209872277</v>
      </c>
      <c r="M21" s="282">
        <f>IF(EFID&gt;Inhalation_Exp[[#This Row],[ED_High-End]],Inhalation_Exp[[#This Row],[24hr_High-End]]*Inhalation_Exp[[#This Row],[ED_High-End]]/ID,Inhalation_Exp[[#This Row],[24hr_High-End]]*EFID/ID)</f>
        <v>1.0135542515245655</v>
      </c>
      <c r="N21" s="307">
        <f>IF(EFID&gt;Inhalation_Exp[[#This Row],[ED_Central Tendency]],Inhalation_Exp[[#This Row],[24hr_Central Tendency]]*Inhalation_Exp[[#This Row],[ED_Central Tendency]]/ID,Inhalation_Exp[[#This Row],[24hr_Central Tendency]]*EFID/ID)</f>
        <v>0.16909446553906335</v>
      </c>
      <c r="O21" s="282">
        <f t="shared" si="0"/>
        <v>0.94665714650488675</v>
      </c>
      <c r="P21" s="307">
        <f t="shared" si="1"/>
        <v>0.15793380965665943</v>
      </c>
      <c r="Q21" s="282">
        <f t="shared" si="2"/>
        <v>0.48546520333583937</v>
      </c>
      <c r="R21" s="282">
        <f t="shared" si="3"/>
        <v>6.2768565376364646E-2</v>
      </c>
      <c r="S21" s="399" t="s">
        <v>203</v>
      </c>
      <c r="T21" s="399" t="s">
        <v>203</v>
      </c>
      <c r="U21" s="12" t="s">
        <v>207</v>
      </c>
      <c r="V21" s="400" t="s">
        <v>205</v>
      </c>
    </row>
    <row r="22" spans="1:22" ht="25.5">
      <c r="A22" s="251"/>
      <c r="B22" s="388" t="s">
        <v>142</v>
      </c>
      <c r="C22" s="280" t="s">
        <v>94</v>
      </c>
      <c r="D22" s="11" t="s">
        <v>202</v>
      </c>
      <c r="E22" s="11">
        <v>250</v>
      </c>
      <c r="F22" s="11">
        <v>250</v>
      </c>
      <c r="G22" s="281">
        <v>1.67</v>
      </c>
      <c r="H22" s="281">
        <v>1.67</v>
      </c>
      <c r="I22" s="281">
        <v>0</v>
      </c>
      <c r="J22" s="11">
        <v>0</v>
      </c>
      <c r="K22" s="422">
        <f>((G22*ED_8+(I22*ED_8))*WorkBreathRate)/IF(Inhalation_Exp[[#This Row],[Worker Type]]="Female of Reproductive Age",BW_F,BW_default)</f>
        <v>0.20874999999999999</v>
      </c>
      <c r="L22" s="282">
        <f>((H22*ED_8+(J22*ED_8))*WorkBreathRate)/IF(Inhalation_Exp[[#This Row],[Worker Type]]="Female of Reproductive Age",BW_F,BW_default)</f>
        <v>0.20874999999999999</v>
      </c>
      <c r="M22" s="282">
        <f>IF(EFID&gt;Inhalation_Exp[[#This Row],[ED_High-End]],Inhalation_Exp[[#This Row],[24hr_High-End]]*Inhalation_Exp[[#This Row],[ED_High-End]]/ID,Inhalation_Exp[[#This Row],[24hr_High-End]]*EFID/ID)</f>
        <v>0.15308333333333332</v>
      </c>
      <c r="N22" s="307">
        <f>IF(EFID&gt;Inhalation_Exp[[#This Row],[ED_Central Tendency]],Inhalation_Exp[[#This Row],[24hr_Central Tendency]]*Inhalation_Exp[[#This Row],[ED_Central Tendency]]/ID,Inhalation_Exp[[#This Row],[24hr_Central Tendency]]*EFID/ID)</f>
        <v>0.15308333333333332</v>
      </c>
      <c r="O22" s="282">
        <f t="shared" si="0"/>
        <v>0.14297945205479451</v>
      </c>
      <c r="P22" s="307">
        <f t="shared" si="1"/>
        <v>0.14297945205479451</v>
      </c>
      <c r="Q22" s="282">
        <f t="shared" si="2"/>
        <v>7.3322795925535658E-2</v>
      </c>
      <c r="R22" s="282">
        <f t="shared" si="3"/>
        <v>5.682516684229013E-2</v>
      </c>
      <c r="S22" s="399" t="s">
        <v>203</v>
      </c>
      <c r="T22" s="399" t="s">
        <v>203</v>
      </c>
      <c r="U22" s="401" t="s">
        <v>208</v>
      </c>
      <c r="V22" s="400" t="s">
        <v>205</v>
      </c>
    </row>
    <row r="23" spans="1:22" ht="25.5">
      <c r="A23" s="251"/>
      <c r="B23" s="388" t="s">
        <v>219</v>
      </c>
      <c r="C23" s="280" t="s">
        <v>74</v>
      </c>
      <c r="D23" s="11" t="s">
        <v>202</v>
      </c>
      <c r="E23" s="11">
        <v>250</v>
      </c>
      <c r="F23" s="11">
        <v>250</v>
      </c>
      <c r="G23" s="307">
        <v>22.102499999999949</v>
      </c>
      <c r="H23" s="307">
        <v>0.30374999999999996</v>
      </c>
      <c r="I23" s="281">
        <v>0</v>
      </c>
      <c r="J23" s="11">
        <v>0</v>
      </c>
      <c r="K23" s="422">
        <f>((G23*ED_8+(I23*ED_8))*WorkBreathRate)/IF(Inhalation_Exp[[#This Row],[Worker Type]]="Female of Reproductive Age",BW_F,BW_default)</f>
        <v>2.7628124999999937</v>
      </c>
      <c r="L23" s="307">
        <f>((H23*ED_8+(J23*ED_8))*WorkBreathRate)/IF(Inhalation_Exp[[#This Row],[Worker Type]]="Female of Reproductive Age",BW_F,BW_default)</f>
        <v>3.7968749999999996E-2</v>
      </c>
      <c r="M23" s="282">
        <f>IF(EFID&gt;Inhalation_Exp[[#This Row],[ED_High-End]],Inhalation_Exp[[#This Row],[24hr_High-End]]*Inhalation_Exp[[#This Row],[ED_High-End]]/ID,Inhalation_Exp[[#This Row],[24hr_High-End]]*EFID/ID)</f>
        <v>2.0260624999999952</v>
      </c>
      <c r="N23" s="307">
        <f>IF(EFID&gt;Inhalation_Exp[[#This Row],[ED_Central Tendency]],Inhalation_Exp[[#This Row],[24hr_Central Tendency]]*Inhalation_Exp[[#This Row],[ED_Central Tendency]]/ID,Inhalation_Exp[[#This Row],[24hr_Central Tendency]]*EFID/ID)</f>
        <v>2.7843749999999997E-2</v>
      </c>
      <c r="O23" s="282">
        <f t="shared" si="0"/>
        <v>1.8923373287671188</v>
      </c>
      <c r="P23" s="307">
        <f t="shared" si="1"/>
        <v>2.6005993150684928E-2</v>
      </c>
      <c r="Q23" s="282">
        <f t="shared" si="2"/>
        <v>0.97042939936775319</v>
      </c>
      <c r="R23" s="282">
        <f t="shared" si="3"/>
        <v>1.0335715226554265E-2</v>
      </c>
      <c r="S23" s="399" t="s">
        <v>203</v>
      </c>
      <c r="T23" s="399" t="s">
        <v>203</v>
      </c>
      <c r="U23" s="428" t="s">
        <v>220</v>
      </c>
      <c r="V23" s="400" t="s">
        <v>221</v>
      </c>
    </row>
    <row r="24" spans="1:22" ht="30" customHeight="1">
      <c r="A24" s="251"/>
      <c r="B24" s="386" t="s">
        <v>219</v>
      </c>
      <c r="C24" s="280" t="s">
        <v>206</v>
      </c>
      <c r="D24" s="11" t="s">
        <v>202</v>
      </c>
      <c r="E24" s="11">
        <v>250</v>
      </c>
      <c r="F24" s="11">
        <v>250</v>
      </c>
      <c r="G24" s="307">
        <v>22.102499999999949</v>
      </c>
      <c r="H24" s="307">
        <v>0.30374999999999996</v>
      </c>
      <c r="I24" s="281">
        <v>0</v>
      </c>
      <c r="J24" s="11">
        <v>0</v>
      </c>
      <c r="K24" s="329">
        <f>((G24*ED_8+(I24*ED_8))*WorkBreathRate)/IF(Inhalation_Exp[[#This Row],[Worker Type]]="Female of Reproductive Age",BW_F,BW_default)</f>
        <v>3.0517777010700651</v>
      </c>
      <c r="L24" s="329">
        <f>((H24*ED_8+(J24*ED_8))*WorkBreathRate)/IF(Inhalation_Exp[[#This Row],[Worker Type]]="Female of Reproductive Age",BW_F,BW_default)</f>
        <v>4.1939937866758703E-2</v>
      </c>
      <c r="M24" s="329">
        <f>IF(EFID&gt;Inhalation_Exp[[#This Row],[ED_High-End]],Inhalation_Exp[[#This Row],[24hr_High-End]]*Inhalation_Exp[[#This Row],[ED_High-End]]/ID,Inhalation_Exp[[#This Row],[24hr_High-End]]*EFID/ID)</f>
        <v>2.2379703141180474</v>
      </c>
      <c r="N24" s="377">
        <f>IF(EFID&gt;Inhalation_Exp[[#This Row],[ED_Central Tendency]],Inhalation_Exp[[#This Row],[24hr_Central Tendency]]*Inhalation_Exp[[#This Row],[ED_Central Tendency]]/ID,Inhalation_Exp[[#This Row],[24hr_Central Tendency]]*EFID/ID)</f>
        <v>3.075595443562305E-2</v>
      </c>
      <c r="O24" s="329">
        <f t="shared" si="0"/>
        <v>2.0902586993630581</v>
      </c>
      <c r="P24" s="377">
        <f t="shared" si="1"/>
        <v>2.8725984840245685E-2</v>
      </c>
      <c r="Q24" s="282">
        <f t="shared" si="2"/>
        <v>1.0719275381349016</v>
      </c>
      <c r="R24" s="282">
        <f t="shared" si="3"/>
        <v>1.141673756471303E-2</v>
      </c>
      <c r="S24" s="399" t="s">
        <v>203</v>
      </c>
      <c r="T24" s="399" t="s">
        <v>203</v>
      </c>
      <c r="U24" s="12" t="s">
        <v>207</v>
      </c>
      <c r="V24" s="400" t="s">
        <v>221</v>
      </c>
    </row>
    <row r="25" spans="1:22" ht="25.5">
      <c r="A25" s="251"/>
      <c r="B25" s="388" t="s">
        <v>219</v>
      </c>
      <c r="C25" s="280" t="s">
        <v>94</v>
      </c>
      <c r="D25" s="11" t="s">
        <v>202</v>
      </c>
      <c r="E25" s="11">
        <v>250</v>
      </c>
      <c r="F25" s="11">
        <v>250</v>
      </c>
      <c r="G25" s="307">
        <v>0.30374999999999996</v>
      </c>
      <c r="H25" s="307">
        <v>0.30374999999999996</v>
      </c>
      <c r="I25" s="281">
        <v>0</v>
      </c>
      <c r="J25" s="11">
        <v>0</v>
      </c>
      <c r="K25" s="422">
        <f>((G25*ED_8+(I25*ED_8))*WorkBreathRate)/IF(Inhalation_Exp[[#This Row],[Worker Type]]="Female of Reproductive Age",BW_F,BW_default)</f>
        <v>3.7968749999999996E-2</v>
      </c>
      <c r="L25" s="282">
        <f>((H25*ED_8+(J25*ED_8))*WorkBreathRate)/IF(Inhalation_Exp[[#This Row],[Worker Type]]="Female of Reproductive Age",BW_F,BW_default)</f>
        <v>3.7968749999999996E-2</v>
      </c>
      <c r="M25" s="282">
        <f>IF(EFID&gt;Inhalation_Exp[[#This Row],[ED_High-End]],Inhalation_Exp[[#This Row],[24hr_High-End]]*Inhalation_Exp[[#This Row],[ED_High-End]]/ID,Inhalation_Exp[[#This Row],[24hr_High-End]]*EFID/ID)</f>
        <v>2.7843749999999997E-2</v>
      </c>
      <c r="N25" s="307">
        <f>IF(EFID&gt;Inhalation_Exp[[#This Row],[ED_Central Tendency]],Inhalation_Exp[[#This Row],[24hr_Central Tendency]]*Inhalation_Exp[[#This Row],[ED_Central Tendency]]/ID,Inhalation_Exp[[#This Row],[24hr_Central Tendency]]*EFID/ID)</f>
        <v>2.7843749999999997E-2</v>
      </c>
      <c r="O25" s="282">
        <f t="shared" si="0"/>
        <v>2.6005993150684928E-2</v>
      </c>
      <c r="P25" s="307">
        <f t="shared" si="1"/>
        <v>2.6005993150684928E-2</v>
      </c>
      <c r="Q25" s="282">
        <f t="shared" si="2"/>
        <v>1.3336406743940989E-2</v>
      </c>
      <c r="R25" s="282">
        <f t="shared" si="3"/>
        <v>1.0335715226554265E-2</v>
      </c>
      <c r="S25" s="399" t="s">
        <v>203</v>
      </c>
      <c r="T25" s="399" t="s">
        <v>203</v>
      </c>
      <c r="U25" s="401" t="s">
        <v>222</v>
      </c>
      <c r="V25" s="400" t="s">
        <v>221</v>
      </c>
    </row>
    <row r="26" spans="1:22" ht="38.25">
      <c r="A26" s="251"/>
      <c r="B26" s="386" t="s">
        <v>223</v>
      </c>
      <c r="C26" s="280" t="s">
        <v>74</v>
      </c>
      <c r="D26" s="11" t="s">
        <v>202</v>
      </c>
      <c r="E26" s="11">
        <v>250</v>
      </c>
      <c r="F26" s="11">
        <v>250</v>
      </c>
      <c r="G26" s="430">
        <f>G20</f>
        <v>10.01</v>
      </c>
      <c r="H26" s="430">
        <f>H20</f>
        <v>1.67</v>
      </c>
      <c r="I26" s="281"/>
      <c r="J26" s="281"/>
      <c r="K26" s="282">
        <f>((G26*ED_8+(I26*ED_8))*WorkBreathRate)/IF(Inhalation_Exp[[#This Row],[Worker Type]]="Female of Reproductive Age",BW_F,BW_default)</f>
        <v>1.25125</v>
      </c>
      <c r="L26" s="282">
        <f>((H26*ED_8+(J26*ED_8))*WorkBreathRate)/IF(Inhalation_Exp[[#This Row],[Worker Type]]="Female of Reproductive Age",BW_F,BW_default)</f>
        <v>0.20874999999999999</v>
      </c>
      <c r="M26" s="281">
        <f>IF(EFID&gt;Inhalation_Exp[[#This Row],[ED_High-End]],Inhalation_Exp[[#This Row],[24hr_High-End]]*Inhalation_Exp[[#This Row],[ED_High-End]]/ID,Inhalation_Exp[[#This Row],[24hr_High-End]]*EFID/ID)</f>
        <v>0.91758333333333331</v>
      </c>
      <c r="N26" s="281">
        <f>IF(EFID&gt;Inhalation_Exp[[#This Row],[ED_Central Tendency]],Inhalation_Exp[[#This Row],[24hr_Central Tendency]]*Inhalation_Exp[[#This Row],[ED_Central Tendency]]/ID,Inhalation_Exp[[#This Row],[24hr_Central Tendency]]*EFID/ID)</f>
        <v>0.15308333333333332</v>
      </c>
      <c r="O26" s="282">
        <f>K26*E26*WY_high/(WY_high*365)</f>
        <v>0.85702054794520544</v>
      </c>
      <c r="P26" s="282">
        <f>L26*F26*WY_mid/(WY_mid*365)</f>
        <v>0.14297945205479451</v>
      </c>
      <c r="Q26" s="282">
        <f>K26*E26*WY_high/(LT*365)</f>
        <v>0.43949771689497719</v>
      </c>
      <c r="R26" s="282">
        <f>L26*F26*WY_mid/(LT*365)</f>
        <v>5.682516684229013E-2</v>
      </c>
      <c r="S26" s="399">
        <v>7</v>
      </c>
      <c r="T26" s="399" t="s">
        <v>203</v>
      </c>
      <c r="U26" s="12" t="s">
        <v>224</v>
      </c>
      <c r="V26" s="402" t="s">
        <v>205</v>
      </c>
    </row>
    <row r="27" spans="1:22" ht="25.5">
      <c r="A27" s="251"/>
      <c r="B27" s="386" t="s">
        <v>223</v>
      </c>
      <c r="C27" s="280" t="s">
        <v>206</v>
      </c>
      <c r="D27" s="11" t="s">
        <v>202</v>
      </c>
      <c r="E27" s="11">
        <v>250</v>
      </c>
      <c r="F27" s="11">
        <v>250</v>
      </c>
      <c r="G27" s="430">
        <f t="shared" ref="G27:H28" si="5">G21</f>
        <v>10.01</v>
      </c>
      <c r="H27" s="430">
        <f t="shared" si="5"/>
        <v>1.67</v>
      </c>
      <c r="I27" s="281"/>
      <c r="J27" s="281"/>
      <c r="K27" s="282">
        <f>((G27*ED_8+(I27*ED_8))*WorkBreathRate)/IF(Inhalation_Exp[[#This Row],[Worker Type]]="Female of Reproductive Age",BW_F,BW_default)</f>
        <v>1.3821194338971348</v>
      </c>
      <c r="L27" s="282">
        <f>((H27*ED_8+(J27*ED_8))*WorkBreathRate)/IF(Inhalation_Exp[[#This Row],[Worker Type]]="Female of Reproductive Age",BW_F,BW_default)</f>
        <v>0.23058336209872277</v>
      </c>
      <c r="M27" s="281">
        <f>IF(EFID&gt;Inhalation_Exp[[#This Row],[ED_High-End]],Inhalation_Exp[[#This Row],[24hr_High-End]]*Inhalation_Exp[[#This Row],[ED_High-End]]/ID,Inhalation_Exp[[#This Row],[24hr_High-End]]*EFID/ID)</f>
        <v>1.0135542515245655</v>
      </c>
      <c r="N27" s="281">
        <f>IF(EFID&gt;Inhalation_Exp[[#This Row],[ED_Central Tendency]],Inhalation_Exp[[#This Row],[24hr_Central Tendency]]*Inhalation_Exp[[#This Row],[ED_Central Tendency]]/ID,Inhalation_Exp[[#This Row],[24hr_Central Tendency]]*EFID/ID)</f>
        <v>0.16909446553906335</v>
      </c>
      <c r="O27" s="282">
        <f>K27*E27*WY_high/(WY_high*365)</f>
        <v>0.94665714650488675</v>
      </c>
      <c r="P27" s="282">
        <f>L27*F27*WY_mid/(WY_mid*365)</f>
        <v>0.15793380965665943</v>
      </c>
      <c r="Q27" s="282">
        <f>K27*E27*WY_high/(LT*365)</f>
        <v>0.48546520333583937</v>
      </c>
      <c r="R27" s="282">
        <f>L27*F27*WY_mid/(LT*365)</f>
        <v>6.2768565376364646E-2</v>
      </c>
      <c r="S27" s="399" t="s">
        <v>203</v>
      </c>
      <c r="T27" s="399" t="s">
        <v>203</v>
      </c>
      <c r="U27" s="12" t="s">
        <v>207</v>
      </c>
      <c r="V27" s="402" t="s">
        <v>205</v>
      </c>
    </row>
    <row r="28" spans="1:22" ht="25.9" customHeight="1">
      <c r="A28" s="251"/>
      <c r="B28" s="386" t="s">
        <v>223</v>
      </c>
      <c r="C28" s="280" t="s">
        <v>94</v>
      </c>
      <c r="D28" s="11" t="s">
        <v>202</v>
      </c>
      <c r="E28" s="11">
        <v>250</v>
      </c>
      <c r="F28" s="11">
        <v>250</v>
      </c>
      <c r="G28" s="430">
        <f t="shared" si="5"/>
        <v>1.67</v>
      </c>
      <c r="H28" s="430">
        <f t="shared" si="5"/>
        <v>1.67</v>
      </c>
      <c r="I28" s="281"/>
      <c r="J28" s="281"/>
      <c r="K28" s="282">
        <f>((G28*ED_8+(I28*ED_8))*WorkBreathRate)/IF(Inhalation_Exp[[#This Row],[Worker Type]]="Female of Reproductive Age",BW_F,BW_default)</f>
        <v>0.20874999999999999</v>
      </c>
      <c r="L28" s="282">
        <f>((H28*ED_8+(J28*ED_8))*WorkBreathRate)/IF(Inhalation_Exp[[#This Row],[Worker Type]]="Female of Reproductive Age",BW_F,BW_default)</f>
        <v>0.20874999999999999</v>
      </c>
      <c r="M28" s="281">
        <f>IF(EFID&gt;Inhalation_Exp[[#This Row],[ED_High-End]],Inhalation_Exp[[#This Row],[24hr_High-End]]*Inhalation_Exp[[#This Row],[ED_High-End]]/ID,Inhalation_Exp[[#This Row],[24hr_High-End]]*EFID/ID)</f>
        <v>0.15308333333333332</v>
      </c>
      <c r="N28" s="281">
        <f>IF(EFID&gt;Inhalation_Exp[[#This Row],[ED_Central Tendency]],Inhalation_Exp[[#This Row],[24hr_Central Tendency]]*Inhalation_Exp[[#This Row],[ED_Central Tendency]]/ID,Inhalation_Exp[[#This Row],[24hr_Central Tendency]]*EFID/ID)</f>
        <v>0.15308333333333332</v>
      </c>
      <c r="O28" s="282">
        <f>K28*E28*WY_high/(WY_high*365)</f>
        <v>0.14297945205479451</v>
      </c>
      <c r="P28" s="282">
        <f>L28*F28*WY_mid/(WY_mid*365)</f>
        <v>0.14297945205479451</v>
      </c>
      <c r="Q28" s="282">
        <f>K28*E28*WY_high/(LT*365)</f>
        <v>7.3322795925535658E-2</v>
      </c>
      <c r="R28" s="282">
        <f>L28*F28*WY_mid/(LT*365)</f>
        <v>5.682516684229013E-2</v>
      </c>
      <c r="S28" s="399" t="s">
        <v>203</v>
      </c>
      <c r="T28" s="399" t="s">
        <v>203</v>
      </c>
      <c r="U28" s="12" t="s">
        <v>208</v>
      </c>
      <c r="V28" s="402" t="s">
        <v>205</v>
      </c>
    </row>
    <row r="29" spans="1:22" ht="25.5">
      <c r="A29" s="251"/>
      <c r="B29" s="386" t="s">
        <v>225</v>
      </c>
      <c r="C29" s="280" t="s">
        <v>74</v>
      </c>
      <c r="D29" s="11" t="s">
        <v>202</v>
      </c>
      <c r="E29" s="11">
        <v>250</v>
      </c>
      <c r="F29" s="11">
        <v>250</v>
      </c>
      <c r="G29" s="430">
        <f>G26</f>
        <v>10.01</v>
      </c>
      <c r="H29" s="430">
        <f>H26</f>
        <v>1.67</v>
      </c>
      <c r="I29" s="281">
        <v>0</v>
      </c>
      <c r="J29" s="11">
        <v>0</v>
      </c>
      <c r="K29" s="422">
        <f>((G29*ED_8+(I29*ED_8))*WorkBreathRate)/IF(Inhalation_Exp[[#This Row],[Worker Type]]="Female of Reproductive Age",BW_F,BW_default)</f>
        <v>1.25125</v>
      </c>
      <c r="L29" s="307">
        <f>((H29*ED_8+(J29*ED_8))*WorkBreathRate)/IF(Inhalation_Exp[[#This Row],[Worker Type]]="Female of Reproductive Age",BW_F,BW_default)</f>
        <v>0.20874999999999999</v>
      </c>
      <c r="M29" s="282">
        <f>IF(EFID&gt;Inhalation_Exp[[#This Row],[ED_High-End]],Inhalation_Exp[[#This Row],[24hr_High-End]]*Inhalation_Exp[[#This Row],[ED_High-End]]/ID,Inhalation_Exp[[#This Row],[24hr_High-End]]*EFID/ID)</f>
        <v>0.91758333333333331</v>
      </c>
      <c r="N29" s="307">
        <f>IF(EFID&gt;Inhalation_Exp[[#This Row],[ED_Central Tendency]],Inhalation_Exp[[#This Row],[24hr_Central Tendency]]*Inhalation_Exp[[#This Row],[ED_Central Tendency]]/ID,Inhalation_Exp[[#This Row],[24hr_Central Tendency]]*EFID/ID)</f>
        <v>0.15308333333333332</v>
      </c>
      <c r="O29" s="282">
        <f t="shared" ref="O29:O34" si="6">K29*E29*WY_high/(WY_high*365)</f>
        <v>0.85702054794520544</v>
      </c>
      <c r="P29" s="307">
        <f t="shared" ref="P29:P34" si="7">L29*F29*WY_mid/(WY_mid*365)</f>
        <v>0.14297945205479451</v>
      </c>
      <c r="Q29" s="282">
        <f t="shared" ref="Q29:Q34" si="8">K29*E29*WY_high/(LT*365)</f>
        <v>0.43949771689497719</v>
      </c>
      <c r="R29" s="282">
        <f t="shared" ref="R29:R34" si="9">L29*F29*WY_mid/(LT*365)</f>
        <v>5.682516684229013E-2</v>
      </c>
      <c r="S29" s="399" t="s">
        <v>203</v>
      </c>
      <c r="T29" s="399" t="s">
        <v>203</v>
      </c>
      <c r="U29" s="401" t="s">
        <v>226</v>
      </c>
      <c r="V29" s="400" t="s">
        <v>205</v>
      </c>
    </row>
    <row r="30" spans="1:22">
      <c r="A30" s="251"/>
      <c r="B30" s="386" t="s">
        <v>225</v>
      </c>
      <c r="C30" s="280" t="s">
        <v>206</v>
      </c>
      <c r="D30" s="11" t="s">
        <v>202</v>
      </c>
      <c r="E30" s="11">
        <v>250</v>
      </c>
      <c r="F30" s="11">
        <v>250</v>
      </c>
      <c r="G30" s="430">
        <f t="shared" ref="G30:H30" si="10">G27</f>
        <v>10.01</v>
      </c>
      <c r="H30" s="430">
        <f t="shared" si="10"/>
        <v>1.67</v>
      </c>
      <c r="I30" s="281">
        <v>0</v>
      </c>
      <c r="J30" s="11">
        <v>0</v>
      </c>
      <c r="K30" s="282">
        <f>((G30*ED_8+(I30*ED_8))*WorkBreathRate)/IF(Inhalation_Exp[[#This Row],[Worker Type]]="Female of Reproductive Age",BW_F,BW_default)</f>
        <v>1.3821194338971348</v>
      </c>
      <c r="L30" s="282">
        <f>((H30*ED_8+(J30*ED_8))*WorkBreathRate)/IF(Inhalation_Exp[[#This Row],[Worker Type]]="Female of Reproductive Age",BW_F,BW_default)</f>
        <v>0.23058336209872277</v>
      </c>
      <c r="M30" s="282">
        <f>IF(EFID&gt;Inhalation_Exp[[#This Row],[ED_High-End]],Inhalation_Exp[[#This Row],[24hr_High-End]]*Inhalation_Exp[[#This Row],[ED_High-End]]/ID,Inhalation_Exp[[#This Row],[24hr_High-End]]*EFID/ID)</f>
        <v>1.0135542515245655</v>
      </c>
      <c r="N30" s="307">
        <f>IF(EFID&gt;Inhalation_Exp[[#This Row],[ED_Central Tendency]],Inhalation_Exp[[#This Row],[24hr_Central Tendency]]*Inhalation_Exp[[#This Row],[ED_Central Tendency]]/ID,Inhalation_Exp[[#This Row],[24hr_Central Tendency]]*EFID/ID)</f>
        <v>0.16909446553906335</v>
      </c>
      <c r="O30" s="282">
        <f t="shared" si="6"/>
        <v>0.94665714650488675</v>
      </c>
      <c r="P30" s="307">
        <f t="shared" si="7"/>
        <v>0.15793380965665943</v>
      </c>
      <c r="Q30" s="282">
        <f t="shared" si="8"/>
        <v>0.48546520333583937</v>
      </c>
      <c r="R30" s="282">
        <f t="shared" si="9"/>
        <v>6.2768565376364646E-2</v>
      </c>
      <c r="S30" s="399" t="s">
        <v>203</v>
      </c>
      <c r="T30" s="399" t="s">
        <v>203</v>
      </c>
      <c r="U30" s="12" t="s">
        <v>207</v>
      </c>
      <c r="V30" s="400" t="s">
        <v>205</v>
      </c>
    </row>
    <row r="31" spans="1:22" ht="25.5">
      <c r="A31" s="251"/>
      <c r="B31" s="386" t="s">
        <v>225</v>
      </c>
      <c r="C31" s="280" t="s">
        <v>94</v>
      </c>
      <c r="D31" s="11" t="s">
        <v>202</v>
      </c>
      <c r="E31" s="11">
        <v>250</v>
      </c>
      <c r="F31" s="11">
        <v>250</v>
      </c>
      <c r="G31" s="430">
        <f t="shared" ref="G31:H31" si="11">G28</f>
        <v>1.67</v>
      </c>
      <c r="H31" s="430">
        <f t="shared" si="11"/>
        <v>1.67</v>
      </c>
      <c r="I31" s="281">
        <v>0</v>
      </c>
      <c r="J31" s="11">
        <v>0</v>
      </c>
      <c r="K31" s="422">
        <f>((G31*ED_8+(I31*ED_8))*WorkBreathRate)/IF(Inhalation_Exp[[#This Row],[Worker Type]]="Female of Reproductive Age",BW_F,BW_default)</f>
        <v>0.20874999999999999</v>
      </c>
      <c r="L31" s="282">
        <f>((H31*ED_8+(J31*ED_8))*WorkBreathRate)/IF(Inhalation_Exp[[#This Row],[Worker Type]]="Female of Reproductive Age",BW_F,BW_default)</f>
        <v>0.20874999999999999</v>
      </c>
      <c r="M31" s="282">
        <f>IF(EFID&gt;Inhalation_Exp[[#This Row],[ED_High-End]],Inhalation_Exp[[#This Row],[24hr_High-End]]*Inhalation_Exp[[#This Row],[ED_High-End]]/ID,Inhalation_Exp[[#This Row],[24hr_High-End]]*EFID/ID)</f>
        <v>0.15308333333333332</v>
      </c>
      <c r="N31" s="307">
        <f>IF(EFID&gt;Inhalation_Exp[[#This Row],[ED_Central Tendency]],Inhalation_Exp[[#This Row],[24hr_Central Tendency]]*Inhalation_Exp[[#This Row],[ED_Central Tendency]]/ID,Inhalation_Exp[[#This Row],[24hr_Central Tendency]]*EFID/ID)</f>
        <v>0.15308333333333332</v>
      </c>
      <c r="O31" s="282">
        <f t="shared" si="6"/>
        <v>0.14297945205479451</v>
      </c>
      <c r="P31" s="307">
        <f t="shared" si="7"/>
        <v>0.14297945205479451</v>
      </c>
      <c r="Q31" s="282">
        <f t="shared" si="8"/>
        <v>7.3322795925535658E-2</v>
      </c>
      <c r="R31" s="282">
        <f t="shared" si="9"/>
        <v>5.682516684229013E-2</v>
      </c>
      <c r="S31" s="399" t="s">
        <v>203</v>
      </c>
      <c r="T31" s="399" t="s">
        <v>203</v>
      </c>
      <c r="U31" s="401" t="s">
        <v>226</v>
      </c>
      <c r="V31" s="400" t="s">
        <v>205</v>
      </c>
    </row>
    <row r="32" spans="1:22" ht="38.25">
      <c r="A32" s="251"/>
      <c r="B32" s="388" t="s">
        <v>227</v>
      </c>
      <c r="C32" s="280" t="s">
        <v>74</v>
      </c>
      <c r="D32" s="11" t="s">
        <v>202</v>
      </c>
      <c r="E32" s="11">
        <v>250</v>
      </c>
      <c r="F32" s="11">
        <v>235</v>
      </c>
      <c r="G32" s="281">
        <v>0.11</v>
      </c>
      <c r="H32" s="281">
        <v>5.5E-2</v>
      </c>
      <c r="I32" s="281">
        <v>0</v>
      </c>
      <c r="J32" s="11">
        <v>0</v>
      </c>
      <c r="K32" s="422">
        <f>((G32*ED_8+(I32*ED_8))*WorkBreathRate)/IF(Inhalation_Exp[[#This Row],[Worker Type]]="Female of Reproductive Age",BW_F,BW_default)</f>
        <v>1.3750000000000002E-2</v>
      </c>
      <c r="L32" s="307">
        <f>((H32*ED_8+(J32*ED_8))*WorkBreathRate)/IF(Inhalation_Exp[[#This Row],[Worker Type]]="Female of Reproductive Age",BW_F,BW_default)</f>
        <v>6.8750000000000009E-3</v>
      </c>
      <c r="M32" s="282">
        <f>IF(EFID&gt;Inhalation_Exp[[#This Row],[ED_High-End]],Inhalation_Exp[[#This Row],[24hr_High-End]]*Inhalation_Exp[[#This Row],[ED_High-End]]/ID,Inhalation_Exp[[#This Row],[24hr_High-End]]*EFID/ID)</f>
        <v>1.0083333333333335E-2</v>
      </c>
      <c r="N32" s="307">
        <f>IF(EFID&gt;Inhalation_Exp[[#This Row],[ED_Central Tendency]],Inhalation_Exp[[#This Row],[24hr_Central Tendency]]*Inhalation_Exp[[#This Row],[ED_Central Tendency]]/ID,Inhalation_Exp[[#This Row],[24hr_Central Tendency]]*EFID/ID)</f>
        <v>5.0416666666666674E-3</v>
      </c>
      <c r="O32" s="282">
        <f t="shared" si="6"/>
        <v>9.4178082191780834E-3</v>
      </c>
      <c r="P32" s="307">
        <f t="shared" si="7"/>
        <v>4.426369863013699E-3</v>
      </c>
      <c r="Q32" s="282">
        <f t="shared" si="8"/>
        <v>4.8296452406041456E-3</v>
      </c>
      <c r="R32" s="282">
        <f t="shared" si="9"/>
        <v>1.7591982788900599E-3</v>
      </c>
      <c r="S32" s="399" t="s">
        <v>203</v>
      </c>
      <c r="T32" s="399" t="s">
        <v>203</v>
      </c>
      <c r="U32" s="401" t="s">
        <v>228</v>
      </c>
      <c r="V32" s="400" t="s">
        <v>205</v>
      </c>
    </row>
    <row r="33" spans="1:26">
      <c r="A33" s="251"/>
      <c r="B33" s="386" t="s">
        <v>227</v>
      </c>
      <c r="C33" s="280" t="s">
        <v>206</v>
      </c>
      <c r="D33" s="11" t="s">
        <v>202</v>
      </c>
      <c r="E33" s="11">
        <v>250</v>
      </c>
      <c r="F33" s="11">
        <v>235</v>
      </c>
      <c r="G33" s="281">
        <v>0.11</v>
      </c>
      <c r="H33" s="281">
        <v>5.5E-2</v>
      </c>
      <c r="I33" s="281">
        <v>0</v>
      </c>
      <c r="J33" s="11">
        <v>0</v>
      </c>
      <c r="K33" s="329">
        <f>((G33*ED_8+(I33*ED_8))*WorkBreathRate)/IF(Inhalation_Exp[[#This Row],[Worker Type]]="Female of Reproductive Age",BW_F,BW_default)</f>
        <v>1.5188125647221263E-2</v>
      </c>
      <c r="L33" s="329">
        <f>((H33*ED_8+(J33*ED_8))*WorkBreathRate)/IF(Inhalation_Exp[[#This Row],[Worker Type]]="Female of Reproductive Age",BW_F,BW_default)</f>
        <v>7.5940628236106315E-3</v>
      </c>
      <c r="M33" s="329">
        <f>IF(EFID&gt;Inhalation_Exp[[#This Row],[ED_High-End]],Inhalation_Exp[[#This Row],[24hr_High-End]]*Inhalation_Exp[[#This Row],[ED_High-End]]/ID,Inhalation_Exp[[#This Row],[24hr_High-End]]*EFID/ID)</f>
        <v>1.1137958807962259E-2</v>
      </c>
      <c r="N33" s="377">
        <f>IF(EFID&gt;Inhalation_Exp[[#This Row],[ED_Central Tendency]],Inhalation_Exp[[#This Row],[24hr_Central Tendency]]*Inhalation_Exp[[#This Row],[ED_Central Tendency]]/ID,Inhalation_Exp[[#This Row],[24hr_Central Tendency]]*EFID/ID)</f>
        <v>5.5689794039811297E-3</v>
      </c>
      <c r="O33" s="329">
        <f t="shared" si="6"/>
        <v>1.0402825785767986E-2</v>
      </c>
      <c r="P33" s="377">
        <f t="shared" si="7"/>
        <v>4.8893281193109544E-3</v>
      </c>
      <c r="Q33" s="282">
        <f t="shared" si="8"/>
        <v>5.3347824542399934E-3</v>
      </c>
      <c r="R33" s="282">
        <f t="shared" si="9"/>
        <v>1.9431945089569177E-3</v>
      </c>
      <c r="S33" s="399" t="s">
        <v>203</v>
      </c>
      <c r="T33" s="399" t="s">
        <v>203</v>
      </c>
      <c r="U33" s="12" t="s">
        <v>207</v>
      </c>
      <c r="V33" s="400" t="s">
        <v>205</v>
      </c>
    </row>
    <row r="34" spans="1:26" ht="25.5">
      <c r="A34" s="251"/>
      <c r="B34" s="388" t="s">
        <v>227</v>
      </c>
      <c r="C34" s="280" t="s">
        <v>94</v>
      </c>
      <c r="D34" s="11" t="s">
        <v>202</v>
      </c>
      <c r="E34" s="11">
        <v>250</v>
      </c>
      <c r="F34" s="11">
        <v>235</v>
      </c>
      <c r="G34" s="281">
        <v>0.06</v>
      </c>
      <c r="H34" s="281">
        <v>0.05</v>
      </c>
      <c r="I34" s="281">
        <v>0</v>
      </c>
      <c r="J34" s="11">
        <v>0</v>
      </c>
      <c r="K34" s="422">
        <f>((G34*ED_8+(I34*ED_8))*WorkBreathRate)/IF(Inhalation_Exp[[#This Row],[Worker Type]]="Female of Reproductive Age",BW_F,BW_default)</f>
        <v>7.4999999999999997E-3</v>
      </c>
      <c r="L34" s="282">
        <f>((H34*ED_8+(J34*ED_8))*WorkBreathRate)/IF(Inhalation_Exp[[#This Row],[Worker Type]]="Female of Reproductive Age",BW_F,BW_default)</f>
        <v>6.2500000000000003E-3</v>
      </c>
      <c r="M34" s="282">
        <f>IF(EFID&gt;Inhalation_Exp[[#This Row],[ED_High-End]],Inhalation_Exp[[#This Row],[24hr_High-End]]*Inhalation_Exp[[#This Row],[ED_High-End]]/ID,Inhalation_Exp[[#This Row],[24hr_High-End]]*EFID/ID)</f>
        <v>5.4999999999999997E-3</v>
      </c>
      <c r="N34" s="307">
        <f>IF(EFID&gt;Inhalation_Exp[[#This Row],[ED_Central Tendency]],Inhalation_Exp[[#This Row],[24hr_Central Tendency]]*Inhalation_Exp[[#This Row],[ED_Central Tendency]]/ID,Inhalation_Exp[[#This Row],[24hr_Central Tendency]]*EFID/ID)</f>
        <v>4.5833333333333334E-3</v>
      </c>
      <c r="O34" s="282">
        <f t="shared" si="6"/>
        <v>5.1369863013698627E-3</v>
      </c>
      <c r="P34" s="307">
        <f t="shared" si="7"/>
        <v>4.023972602739726E-3</v>
      </c>
      <c r="Q34" s="282">
        <f t="shared" si="8"/>
        <v>2.6343519494204425E-3</v>
      </c>
      <c r="R34" s="282">
        <f t="shared" si="9"/>
        <v>1.599271162627327E-3</v>
      </c>
      <c r="S34" s="399">
        <v>2</v>
      </c>
      <c r="T34" s="399" t="s">
        <v>203</v>
      </c>
      <c r="U34" s="401" t="s">
        <v>229</v>
      </c>
      <c r="V34" s="400" t="s">
        <v>205</v>
      </c>
    </row>
    <row r="35" spans="1:26" ht="51">
      <c r="A35" s="251"/>
      <c r="B35" s="388" t="s">
        <v>230</v>
      </c>
      <c r="C35" s="280" t="s">
        <v>74</v>
      </c>
      <c r="D35" s="11" t="s">
        <v>202</v>
      </c>
      <c r="E35" s="11">
        <v>215</v>
      </c>
      <c r="F35" s="11">
        <v>215</v>
      </c>
      <c r="G35" s="426">
        <v>0</v>
      </c>
      <c r="H35" s="426">
        <v>0</v>
      </c>
      <c r="I35" s="281">
        <v>4.3000000000000002E-5</v>
      </c>
      <c r="J35" s="281">
        <v>3.1E-6</v>
      </c>
      <c r="K35" s="282">
        <f>((G35*ED_8+(I35*ED_8))*WorkBreathRate)/IF(Inhalation_Exp[[#This Row],[Worker Type]]="Female of Reproductive Age",BW_F,BW_default)</f>
        <v>5.3750000000000002E-6</v>
      </c>
      <c r="L35" s="307">
        <f>((H35*ED_8+(J35*ED_8))*WorkBreathRate)/IF(Inhalation_Exp[[#This Row],[Worker Type]]="Female of Reproductive Age",BW_F,BW_default)</f>
        <v>3.875E-7</v>
      </c>
      <c r="M35" s="282">
        <f>IF(EFID&gt;Inhalation_Exp[[#This Row],[ED_High-End]],Inhalation_Exp[[#This Row],[24hr_High-End]]*Inhalation_Exp[[#This Row],[ED_High-End]]/ID,Inhalation_Exp[[#This Row],[24hr_High-End]]*EFID/ID)</f>
        <v>3.9416666666666665E-6</v>
      </c>
      <c r="N35" s="307">
        <f>IF(EFID&gt;Inhalation_Exp[[#This Row],[ED_Central Tendency]],Inhalation_Exp[[#This Row],[24hr_Central Tendency]]*Inhalation_Exp[[#This Row],[ED_Central Tendency]]/ID,Inhalation_Exp[[#This Row],[24hr_Central Tendency]]*EFID/ID)</f>
        <v>2.8416666666666666E-7</v>
      </c>
      <c r="O35" s="282">
        <f t="shared" si="0"/>
        <v>3.166095890410959E-6</v>
      </c>
      <c r="P35" s="307">
        <f t="shared" si="1"/>
        <v>2.2825342465753424E-7</v>
      </c>
      <c r="Q35" s="282">
        <f t="shared" si="2"/>
        <v>1.6236389181594662E-6</v>
      </c>
      <c r="R35" s="282">
        <f t="shared" si="3"/>
        <v>9.0716104671584124E-8</v>
      </c>
      <c r="S35" s="399" t="s">
        <v>203</v>
      </c>
      <c r="T35" s="399" t="s">
        <v>203</v>
      </c>
      <c r="U35" s="423" t="s">
        <v>231</v>
      </c>
      <c r="V35" s="424" t="s">
        <v>221</v>
      </c>
      <c r="X35" s="1" t="s">
        <v>209</v>
      </c>
    </row>
    <row r="36" spans="1:26" ht="15" customHeight="1">
      <c r="A36" s="251"/>
      <c r="B36" s="386" t="s">
        <v>230</v>
      </c>
      <c r="C36" s="280" t="s">
        <v>206</v>
      </c>
      <c r="D36" s="11" t="s">
        <v>202</v>
      </c>
      <c r="E36" s="11">
        <v>215</v>
      </c>
      <c r="F36" s="11">
        <v>215</v>
      </c>
      <c r="G36" s="281">
        <v>0</v>
      </c>
      <c r="H36" s="281">
        <v>0</v>
      </c>
      <c r="I36" s="281">
        <v>4.3000000000000002E-5</v>
      </c>
      <c r="J36" s="281">
        <v>3.1E-6</v>
      </c>
      <c r="K36" s="282">
        <f>((G36*ED_8+(I36*ED_8))*WorkBreathRate)/IF(Inhalation_Exp[[#This Row],[Worker Type]]="Female of Reproductive Age",BW_F,BW_default)</f>
        <v>5.9371763893683114E-6</v>
      </c>
      <c r="L36" s="282">
        <f>((H36*ED_8+(J36*ED_8))*WorkBreathRate)/IF(Inhalation_Exp[[#This Row],[Worker Type]]="Female of Reproductive Age",BW_F,BW_default)</f>
        <v>4.280289955125992E-7</v>
      </c>
      <c r="M36" s="282">
        <f>IF(EFID&gt;Inhalation_Exp[[#This Row],[ED_High-End]],Inhalation_Exp[[#This Row],[24hr_High-End]]*Inhalation_Exp[[#This Row],[ED_High-End]]/ID,Inhalation_Exp[[#This Row],[24hr_High-End]]*EFID/ID)</f>
        <v>4.353929352203429E-6</v>
      </c>
      <c r="N36" s="307">
        <f>IF(EFID&gt;Inhalation_Exp[[#This Row],[ED_Central Tendency]],Inhalation_Exp[[#This Row],[24hr_Central Tendency]]*Inhalation_Exp[[#This Row],[ED_Central Tendency]]/ID,Inhalation_Exp[[#This Row],[24hr_Central Tendency]]*EFID/ID)</f>
        <v>3.1388793004257274E-7</v>
      </c>
      <c r="O36" s="282">
        <f t="shared" si="0"/>
        <v>3.4972408868881835E-6</v>
      </c>
      <c r="P36" s="307">
        <f t="shared" si="1"/>
        <v>2.5212666858961323E-7</v>
      </c>
      <c r="Q36" s="282">
        <f t="shared" si="2"/>
        <v>1.7934568650708634E-6</v>
      </c>
      <c r="R36" s="282">
        <f t="shared" si="3"/>
        <v>1.0020418879843603E-7</v>
      </c>
      <c r="S36" s="399" t="s">
        <v>203</v>
      </c>
      <c r="T36" s="399" t="s">
        <v>203</v>
      </c>
      <c r="U36" s="12" t="s">
        <v>207</v>
      </c>
      <c r="V36" s="402" t="s">
        <v>221</v>
      </c>
    </row>
    <row r="37" spans="1:26">
      <c r="A37" s="251"/>
      <c r="B37" s="388" t="s">
        <v>230</v>
      </c>
      <c r="C37" s="280" t="s">
        <v>94</v>
      </c>
      <c r="D37" s="11" t="s">
        <v>202</v>
      </c>
      <c r="E37" s="11">
        <v>215</v>
      </c>
      <c r="F37" s="11">
        <v>215</v>
      </c>
      <c r="G37" s="426">
        <v>0</v>
      </c>
      <c r="H37" s="426">
        <v>0</v>
      </c>
      <c r="I37" s="281">
        <v>3.1E-6</v>
      </c>
      <c r="J37" s="281">
        <v>3.1E-6</v>
      </c>
      <c r="K37" s="282">
        <f>((G37*ED_8+(I37*ED_8))*WorkBreathRate)/IF(Inhalation_Exp[[#This Row],[Worker Type]]="Female of Reproductive Age",BW_F,BW_default)</f>
        <v>3.875E-7</v>
      </c>
      <c r="L37" s="282">
        <f>((H37*ED_8+(J37*ED_8))*WorkBreathRate)/IF(Inhalation_Exp[[#This Row],[Worker Type]]="Female of Reproductive Age",BW_F,BW_default)</f>
        <v>3.875E-7</v>
      </c>
      <c r="M37" s="282">
        <f>IF(EFID&gt;Inhalation_Exp[[#This Row],[ED_High-End]],Inhalation_Exp[[#This Row],[24hr_High-End]]*Inhalation_Exp[[#This Row],[ED_High-End]]/ID,Inhalation_Exp[[#This Row],[24hr_High-End]]*EFID/ID)</f>
        <v>2.8416666666666666E-7</v>
      </c>
      <c r="N37" s="307">
        <f>IF(EFID&gt;Inhalation_Exp[[#This Row],[ED_Central Tendency]],Inhalation_Exp[[#This Row],[24hr_Central Tendency]]*Inhalation_Exp[[#This Row],[ED_Central Tendency]]/ID,Inhalation_Exp[[#This Row],[24hr_Central Tendency]]*EFID/ID)</f>
        <v>2.8416666666666666E-7</v>
      </c>
      <c r="O37" s="282">
        <f t="shared" ref="O37:O55" si="12">K37*E37*WY_high/(WY_high*365)</f>
        <v>2.2825342465753424E-7</v>
      </c>
      <c r="P37" s="307">
        <f t="shared" ref="P37:P55" si="13">L37*F37*WY_mid/(WY_mid*365)</f>
        <v>2.2825342465753424E-7</v>
      </c>
      <c r="Q37" s="282">
        <f t="shared" ref="Q37:Q55" si="14">K37*E37*WY_high/(LT*365)</f>
        <v>1.1705303828591499E-7</v>
      </c>
      <c r="R37" s="282">
        <f t="shared" ref="R37:R55" si="15">L37*F37*WY_mid/(LT*365)</f>
        <v>9.0716104671584124E-8</v>
      </c>
      <c r="S37" s="399" t="s">
        <v>203</v>
      </c>
      <c r="T37" s="399" t="s">
        <v>203</v>
      </c>
      <c r="U37" s="423" t="s">
        <v>222</v>
      </c>
      <c r="V37" s="424" t="s">
        <v>221</v>
      </c>
    </row>
    <row r="38" spans="1:26" ht="25.5">
      <c r="A38" s="251"/>
      <c r="B38" s="388" t="s">
        <v>232</v>
      </c>
      <c r="C38" s="280" t="s">
        <v>74</v>
      </c>
      <c r="D38" s="11" t="s">
        <v>202</v>
      </c>
      <c r="E38" s="11">
        <v>250</v>
      </c>
      <c r="F38" s="11">
        <v>250</v>
      </c>
      <c r="G38" s="425">
        <v>7.96</v>
      </c>
      <c r="H38" s="425">
        <v>0.34</v>
      </c>
      <c r="I38" s="281">
        <v>0</v>
      </c>
      <c r="J38" s="11">
        <v>0</v>
      </c>
      <c r="K38" s="282">
        <f>((G38*ED_8+(I38*ED_8))*WorkBreathRate)/IF(Inhalation_Exp[[#This Row],[Worker Type]]="Female of Reproductive Age",BW_F,BW_default)</f>
        <v>0.99499999999999988</v>
      </c>
      <c r="L38" s="307">
        <f>((H38*ED_8+(J38*ED_8))*WorkBreathRate)/IF(Inhalation_Exp[[#This Row],[Worker Type]]="Female of Reproductive Age",BW_F,BW_default)</f>
        <v>4.2500000000000003E-2</v>
      </c>
      <c r="M38" s="282">
        <f>IF(EFID&gt;Inhalation_Exp[[#This Row],[ED_High-End]],Inhalation_Exp[[#This Row],[24hr_High-End]]*Inhalation_Exp[[#This Row],[ED_High-End]]/ID,Inhalation_Exp[[#This Row],[24hr_High-End]]*EFID/ID)</f>
        <v>0.72966666666666657</v>
      </c>
      <c r="N38" s="307">
        <f>IF(EFID&gt;Inhalation_Exp[[#This Row],[ED_Central Tendency]],Inhalation_Exp[[#This Row],[24hr_Central Tendency]]*Inhalation_Exp[[#This Row],[ED_Central Tendency]]/ID,Inhalation_Exp[[#This Row],[24hr_Central Tendency]]*EFID/ID)</f>
        <v>3.1166666666666669E-2</v>
      </c>
      <c r="O38" s="282">
        <f t="shared" si="12"/>
        <v>0.68150684931506833</v>
      </c>
      <c r="P38" s="307">
        <f t="shared" si="13"/>
        <v>2.9109589041095889E-2</v>
      </c>
      <c r="Q38" s="282">
        <f t="shared" si="14"/>
        <v>0.34949069195644533</v>
      </c>
      <c r="R38" s="282">
        <f t="shared" si="15"/>
        <v>1.156919564453811E-2</v>
      </c>
      <c r="S38" s="399">
        <v>7</v>
      </c>
      <c r="T38" s="399" t="s">
        <v>203</v>
      </c>
      <c r="U38" s="428" t="s">
        <v>220</v>
      </c>
      <c r="V38" s="400" t="s">
        <v>221</v>
      </c>
    </row>
    <row r="39" spans="1:26" ht="15">
      <c r="A39" s="251"/>
      <c r="B39" s="386" t="s">
        <v>232</v>
      </c>
      <c r="C39" s="280" t="s">
        <v>206</v>
      </c>
      <c r="D39" s="11" t="s">
        <v>202</v>
      </c>
      <c r="E39" s="11">
        <v>250</v>
      </c>
      <c r="F39" s="11">
        <v>250</v>
      </c>
      <c r="G39" s="425">
        <v>7.96</v>
      </c>
      <c r="H39" s="425">
        <v>0.34</v>
      </c>
      <c r="I39" s="281">
        <v>0</v>
      </c>
      <c r="J39" s="11">
        <v>0</v>
      </c>
      <c r="K39" s="282">
        <f>((G39*ED_8+(I39*ED_8))*WorkBreathRate)/IF(Inhalation_Exp[[#This Row],[Worker Type]]="Female of Reproductive Age",BW_F,BW_default)</f>
        <v>1.0990680013807383</v>
      </c>
      <c r="L39" s="282">
        <f>((H39*ED_8+(J39*ED_8))*WorkBreathRate)/IF(Inhalation_Exp[[#This Row],[Worker Type]]="Female of Reproductive Age",BW_F,BW_default)</f>
        <v>4.6945115636865722E-2</v>
      </c>
      <c r="M39" s="282">
        <f>IF(EFID&gt;Inhalation_Exp[[#This Row],[ED_High-End]],Inhalation_Exp[[#This Row],[24hr_High-End]]*Inhalation_Exp[[#This Row],[ED_High-End]]/ID,Inhalation_Exp[[#This Row],[24hr_High-End]]*EFID/ID)</f>
        <v>0.80598320101254139</v>
      </c>
      <c r="N39" s="307">
        <f>IF(EFID&gt;Inhalation_Exp[[#This Row],[ED_Central Tendency]],Inhalation_Exp[[#This Row],[24hr_Central Tendency]]*Inhalation_Exp[[#This Row],[ED_Central Tendency]]/ID,Inhalation_Exp[[#This Row],[24hr_Central Tendency]]*EFID/ID)</f>
        <v>3.4426418133701529E-2</v>
      </c>
      <c r="O39" s="282">
        <f t="shared" si="12"/>
        <v>0.75278630231557431</v>
      </c>
      <c r="P39" s="307">
        <f t="shared" si="13"/>
        <v>3.2154188792373785E-2</v>
      </c>
      <c r="Q39" s="282">
        <f t="shared" si="14"/>
        <v>0.38604425759773042</v>
      </c>
      <c r="R39" s="282">
        <f t="shared" si="15"/>
        <v>1.277922887902035E-2</v>
      </c>
      <c r="S39" s="399" t="s">
        <v>203</v>
      </c>
      <c r="T39" s="399" t="s">
        <v>203</v>
      </c>
      <c r="U39" s="12" t="s">
        <v>207</v>
      </c>
      <c r="V39" s="400" t="s">
        <v>221</v>
      </c>
    </row>
    <row r="40" spans="1:26" ht="15">
      <c r="A40" s="251"/>
      <c r="B40" s="388" t="s">
        <v>232</v>
      </c>
      <c r="C40" s="280" t="s">
        <v>94</v>
      </c>
      <c r="D40" s="11" t="s">
        <v>202</v>
      </c>
      <c r="E40" s="11">
        <v>250</v>
      </c>
      <c r="F40" s="11">
        <v>250</v>
      </c>
      <c r="G40" s="425">
        <v>0.34</v>
      </c>
      <c r="H40" s="425">
        <v>0.34</v>
      </c>
      <c r="I40" s="281">
        <v>0</v>
      </c>
      <c r="J40" s="11">
        <v>0</v>
      </c>
      <c r="K40" s="282">
        <f>((G40*ED_8+(I40*ED_8))*WorkBreathRate)/IF(Inhalation_Exp[[#This Row],[Worker Type]]="Female of Reproductive Age",BW_F,BW_default)</f>
        <v>4.2500000000000003E-2</v>
      </c>
      <c r="L40" s="282">
        <f>((H40*ED_8+(J40*ED_8))*WorkBreathRate)/IF(Inhalation_Exp[[#This Row],[Worker Type]]="Female of Reproductive Age",BW_F,BW_default)</f>
        <v>4.2500000000000003E-2</v>
      </c>
      <c r="M40" s="282">
        <f>IF(EFID&gt;Inhalation_Exp[[#This Row],[ED_High-End]],Inhalation_Exp[[#This Row],[24hr_High-End]]*Inhalation_Exp[[#This Row],[ED_High-End]]/ID,Inhalation_Exp[[#This Row],[24hr_High-End]]*EFID/ID)</f>
        <v>3.1166666666666669E-2</v>
      </c>
      <c r="N40" s="307">
        <f>IF(EFID&gt;Inhalation_Exp[[#This Row],[ED_Central Tendency]],Inhalation_Exp[[#This Row],[24hr_Central Tendency]]*Inhalation_Exp[[#This Row],[ED_Central Tendency]]/ID,Inhalation_Exp[[#This Row],[24hr_Central Tendency]]*EFID/ID)</f>
        <v>3.1166666666666669E-2</v>
      </c>
      <c r="O40" s="282">
        <f t="shared" si="12"/>
        <v>2.9109589041095889E-2</v>
      </c>
      <c r="P40" s="307">
        <f t="shared" si="13"/>
        <v>2.9109589041095889E-2</v>
      </c>
      <c r="Q40" s="282">
        <f t="shared" si="14"/>
        <v>1.4927994380049174E-2</v>
      </c>
      <c r="R40" s="282">
        <f t="shared" si="15"/>
        <v>1.156919564453811E-2</v>
      </c>
      <c r="S40" s="399" t="s">
        <v>203</v>
      </c>
      <c r="T40" s="399" t="s">
        <v>203</v>
      </c>
      <c r="U40" s="401" t="s">
        <v>222</v>
      </c>
      <c r="V40" s="400" t="s">
        <v>221</v>
      </c>
    </row>
    <row r="41" spans="1:26">
      <c r="A41" s="251"/>
      <c r="B41" s="388" t="s">
        <v>233</v>
      </c>
      <c r="C41" s="280" t="s">
        <v>74</v>
      </c>
      <c r="D41" s="11" t="s">
        <v>202</v>
      </c>
      <c r="E41" s="11">
        <v>3</v>
      </c>
      <c r="F41" s="11">
        <v>1</v>
      </c>
      <c r="G41" s="281">
        <v>2.1999999999999999E-2</v>
      </c>
      <c r="H41" s="281">
        <v>1.2E-2</v>
      </c>
      <c r="I41" s="281">
        <v>0</v>
      </c>
      <c r="J41" s="11">
        <v>0</v>
      </c>
      <c r="K41" s="282">
        <f>((G41*ED_8+(I41*ED_8))*WorkBreathRate)/IF(Inhalation_Exp[[#This Row],[Worker Type]]="Female of Reproductive Age",BW_F,BW_default)</f>
        <v>2.7499999999999998E-3</v>
      </c>
      <c r="L41" s="307">
        <f>((H41*ED_8+(J41*ED_8))*WorkBreathRate)/IF(Inhalation_Exp[[#This Row],[Worker Type]]="Female of Reproductive Age",BW_F,BW_default)</f>
        <v>1.5E-3</v>
      </c>
      <c r="M41" s="282">
        <f>IF(EFID&gt;Inhalation_Exp[[#This Row],[ED_High-End]],Inhalation_Exp[[#This Row],[24hr_High-End]]*Inhalation_Exp[[#This Row],[ED_High-End]]/ID,Inhalation_Exp[[#This Row],[24hr_High-End]]*EFID/ID)</f>
        <v>2.7500000000000002E-4</v>
      </c>
      <c r="N41" s="307">
        <f>IF(EFID&gt;Inhalation_Exp[[#This Row],[ED_Central Tendency]],Inhalation_Exp[[#This Row],[24hr_Central Tendency]]*Inhalation_Exp[[#This Row],[ED_Central Tendency]]/ID,Inhalation_Exp[[#This Row],[24hr_Central Tendency]]*EFID/ID)</f>
        <v>5.0000000000000002E-5</v>
      </c>
      <c r="O41" s="282">
        <f t="shared" si="12"/>
        <v>2.2602739726027399E-5</v>
      </c>
      <c r="P41" s="307">
        <f t="shared" si="13"/>
        <v>4.10958904109589E-6</v>
      </c>
      <c r="Q41" s="282">
        <f t="shared" si="14"/>
        <v>1.1591148577449948E-5</v>
      </c>
      <c r="R41" s="282">
        <f t="shared" si="15"/>
        <v>1.6332982086406743E-6</v>
      </c>
      <c r="S41" s="397">
        <v>45</v>
      </c>
      <c r="T41" s="399" t="s">
        <v>203</v>
      </c>
      <c r="U41" s="401" t="s">
        <v>213</v>
      </c>
      <c r="V41" s="400" t="s">
        <v>205</v>
      </c>
    </row>
    <row r="42" spans="1:26" ht="15" customHeight="1">
      <c r="A42" s="251"/>
      <c r="B42" s="386" t="s">
        <v>233</v>
      </c>
      <c r="C42" s="280" t="s">
        <v>206</v>
      </c>
      <c r="D42" s="11" t="s">
        <v>202</v>
      </c>
      <c r="E42" s="11">
        <v>3</v>
      </c>
      <c r="F42" s="11">
        <v>1</v>
      </c>
      <c r="G42" s="281">
        <v>2.1999999999999999E-2</v>
      </c>
      <c r="H42" s="281">
        <v>1.2E-2</v>
      </c>
      <c r="I42" s="281">
        <v>0</v>
      </c>
      <c r="J42" s="11">
        <v>0</v>
      </c>
      <c r="K42" s="329">
        <f>((G42*ED_8+(I42*ED_8))*WorkBreathRate)/IF(Inhalation_Exp[[#This Row],[Worker Type]]="Female of Reproductive Age",BW_F,BW_default)</f>
        <v>3.0376251294442517E-3</v>
      </c>
      <c r="L42" s="329">
        <f>((H42*ED_8+(J42*ED_8))*WorkBreathRate)/IF(Inhalation_Exp[[#This Row],[Worker Type]]="Female of Reproductive Age",BW_F,BW_default)</f>
        <v>1.6568864342423194E-3</v>
      </c>
      <c r="M42" s="329">
        <f>IF(EFID&gt;Inhalation_Exp[[#This Row],[ED_High-End]],Inhalation_Exp[[#This Row],[24hr_High-End]]*Inhalation_Exp[[#This Row],[ED_High-End]]/ID,Inhalation_Exp[[#This Row],[24hr_High-End]]*EFID/ID)</f>
        <v>3.0376251294442512E-4</v>
      </c>
      <c r="N42" s="377">
        <f>IF(EFID&gt;Inhalation_Exp[[#This Row],[ED_Central Tendency]],Inhalation_Exp[[#This Row],[24hr_Central Tendency]]*Inhalation_Exp[[#This Row],[ED_Central Tendency]]/ID,Inhalation_Exp[[#This Row],[24hr_Central Tendency]]*EFID/ID)</f>
        <v>5.5229547808077311E-5</v>
      </c>
      <c r="O42" s="329">
        <f t="shared" si="12"/>
        <v>2.4966781885843161E-5</v>
      </c>
      <c r="P42" s="377">
        <f t="shared" si="13"/>
        <v>4.5394148883351217E-6</v>
      </c>
      <c r="Q42" s="282">
        <f t="shared" si="14"/>
        <v>1.280347789017598E-5</v>
      </c>
      <c r="R42" s="282">
        <f t="shared" si="15"/>
        <v>1.8041264299793432E-6</v>
      </c>
      <c r="S42" s="399" t="s">
        <v>203</v>
      </c>
      <c r="T42" s="399" t="s">
        <v>203</v>
      </c>
      <c r="U42" s="12" t="s">
        <v>207</v>
      </c>
      <c r="V42" s="400" t="s">
        <v>205</v>
      </c>
    </row>
    <row r="43" spans="1:26">
      <c r="A43" s="251"/>
      <c r="B43" s="388" t="s">
        <v>233</v>
      </c>
      <c r="C43" s="280" t="s">
        <v>94</v>
      </c>
      <c r="D43" s="11" t="s">
        <v>202</v>
      </c>
      <c r="E43" s="11">
        <v>3</v>
      </c>
      <c r="F43" s="11">
        <v>1</v>
      </c>
      <c r="G43" s="281">
        <v>1.2E-2</v>
      </c>
      <c r="H43" s="281">
        <v>1.2E-2</v>
      </c>
      <c r="I43" s="281">
        <v>0</v>
      </c>
      <c r="J43" s="11">
        <v>0</v>
      </c>
      <c r="K43" s="282">
        <f>((G43*ED_8+(I43*ED_8))*WorkBreathRate)/IF(Inhalation_Exp[[#This Row],[Worker Type]]="Female of Reproductive Age",BW_F,BW_default)</f>
        <v>1.5E-3</v>
      </c>
      <c r="L43" s="282">
        <f>((H43*ED_8+(J43*ED_8))*WorkBreathRate)/IF(Inhalation_Exp[[#This Row],[Worker Type]]="Female of Reproductive Age",BW_F,BW_default)</f>
        <v>1.5E-3</v>
      </c>
      <c r="M43" s="282">
        <f>IF(EFID&gt;Inhalation_Exp[[#This Row],[ED_High-End]],Inhalation_Exp[[#This Row],[24hr_High-End]]*Inhalation_Exp[[#This Row],[ED_High-End]]/ID,Inhalation_Exp[[#This Row],[24hr_High-End]]*EFID/ID)</f>
        <v>1.5000000000000001E-4</v>
      </c>
      <c r="N43" s="307">
        <f>IF(EFID&gt;Inhalation_Exp[[#This Row],[ED_Central Tendency]],Inhalation_Exp[[#This Row],[24hr_Central Tendency]]*Inhalation_Exp[[#This Row],[ED_Central Tendency]]/ID,Inhalation_Exp[[#This Row],[24hr_Central Tendency]]*EFID/ID)</f>
        <v>5.0000000000000002E-5</v>
      </c>
      <c r="O43" s="282">
        <f t="shared" si="12"/>
        <v>1.2328767123287673E-5</v>
      </c>
      <c r="P43" s="307">
        <f t="shared" si="13"/>
        <v>4.10958904109589E-6</v>
      </c>
      <c r="Q43" s="282">
        <f t="shared" si="14"/>
        <v>6.3224446786090627E-6</v>
      </c>
      <c r="R43" s="282">
        <f t="shared" si="15"/>
        <v>1.6332982086406743E-6</v>
      </c>
      <c r="S43" s="399" t="s">
        <v>203</v>
      </c>
      <c r="T43" s="399" t="s">
        <v>203</v>
      </c>
      <c r="U43" s="401" t="s">
        <v>213</v>
      </c>
      <c r="V43" s="400" t="s">
        <v>205</v>
      </c>
    </row>
    <row r="44" spans="1:26" ht="38.25">
      <c r="A44" s="251"/>
      <c r="B44" s="388" t="s">
        <v>234</v>
      </c>
      <c r="C44" s="280" t="s">
        <v>74</v>
      </c>
      <c r="D44" s="11" t="s">
        <v>202</v>
      </c>
      <c r="E44" s="11">
        <v>250</v>
      </c>
      <c r="F44" s="11">
        <v>235</v>
      </c>
      <c r="G44" s="281">
        <v>0.1</v>
      </c>
      <c r="H44" s="281">
        <v>0.01</v>
      </c>
      <c r="I44" s="281">
        <v>0</v>
      </c>
      <c r="J44" s="11">
        <v>0</v>
      </c>
      <c r="K44" s="422">
        <f>((G44*ED_8+(I44*ED_8))*WorkBreathRate)/IF(Inhalation_Exp[[#This Row],[Worker Type]]="Female of Reproductive Age",BW_F,BW_default)</f>
        <v>1.2500000000000001E-2</v>
      </c>
      <c r="L44" s="307">
        <f>((H44*ED_8+(J44*ED_8))*WorkBreathRate)/IF(Inhalation_Exp[[#This Row],[Worker Type]]="Female of Reproductive Age",BW_F,BW_default)</f>
        <v>1.25E-3</v>
      </c>
      <c r="M44" s="282">
        <f>IF(EFID&gt;Inhalation_Exp[[#This Row],[ED_High-End]],Inhalation_Exp[[#This Row],[24hr_High-End]]*Inhalation_Exp[[#This Row],[ED_High-End]]/ID,Inhalation_Exp[[#This Row],[24hr_High-End]]*EFID/ID)</f>
        <v>9.1666666666666667E-3</v>
      </c>
      <c r="N44" s="307">
        <f>IF(EFID&gt;Inhalation_Exp[[#This Row],[ED_Central Tendency]],Inhalation_Exp[[#This Row],[24hr_Central Tendency]]*Inhalation_Exp[[#This Row],[ED_Central Tendency]]/ID,Inhalation_Exp[[#This Row],[24hr_Central Tendency]]*EFID/ID)</f>
        <v>9.1666666666666665E-4</v>
      </c>
      <c r="O44" s="282">
        <f t="shared" si="12"/>
        <v>8.5616438356164379E-3</v>
      </c>
      <c r="P44" s="307">
        <f t="shared" si="13"/>
        <v>8.047945205479453E-4</v>
      </c>
      <c r="Q44" s="282">
        <f t="shared" si="14"/>
        <v>4.3905865823674044E-3</v>
      </c>
      <c r="R44" s="282">
        <f t="shared" si="15"/>
        <v>3.1985423252546547E-4</v>
      </c>
      <c r="S44" s="399">
        <v>1</v>
      </c>
      <c r="T44" s="399" t="s">
        <v>203</v>
      </c>
      <c r="U44" s="401" t="s">
        <v>235</v>
      </c>
      <c r="V44" s="400" t="s">
        <v>205</v>
      </c>
      <c r="X44" s="1" t="s">
        <v>209</v>
      </c>
    </row>
    <row r="45" spans="1:26" ht="15.75" customHeight="1">
      <c r="A45" s="251"/>
      <c r="B45" s="386" t="s">
        <v>234</v>
      </c>
      <c r="C45" s="280" t="s">
        <v>206</v>
      </c>
      <c r="D45" s="11" t="s">
        <v>202</v>
      </c>
      <c r="E45" s="11">
        <v>250</v>
      </c>
      <c r="F45" s="11">
        <v>235</v>
      </c>
      <c r="G45" s="281">
        <v>0.1</v>
      </c>
      <c r="H45" s="281">
        <v>0.01</v>
      </c>
      <c r="I45" s="281">
        <v>0</v>
      </c>
      <c r="J45" s="11">
        <v>0</v>
      </c>
      <c r="K45" s="282">
        <f>((G45*ED_8+(I45*ED_8))*WorkBreathRate)/IF(Inhalation_Exp[[#This Row],[Worker Type]]="Female of Reproductive Age",BW_F,BW_default)</f>
        <v>1.3807386952019328E-2</v>
      </c>
      <c r="L45" s="282">
        <f>((H45*ED_8+(J45*ED_8))*WorkBreathRate)/IF(Inhalation_Exp[[#This Row],[Worker Type]]="Female of Reproductive Age",BW_F,BW_default)</f>
        <v>1.380738695201933E-3</v>
      </c>
      <c r="M45" s="282">
        <f>IF(EFID&gt;Inhalation_Exp[[#This Row],[ED_High-End]],Inhalation_Exp[[#This Row],[24hr_High-End]]*Inhalation_Exp[[#This Row],[ED_High-End]]/ID,Inhalation_Exp[[#This Row],[24hr_High-End]]*EFID/ID)</f>
        <v>1.0125417098147507E-2</v>
      </c>
      <c r="N45" s="307">
        <f>IF(EFID&gt;Inhalation_Exp[[#This Row],[ED_Central Tendency]],Inhalation_Exp[[#This Row],[24hr_Central Tendency]]*Inhalation_Exp[[#This Row],[ED_Central Tendency]]/ID,Inhalation_Exp[[#This Row],[24hr_Central Tendency]]*EFID/ID)</f>
        <v>1.0125417098147509E-3</v>
      </c>
      <c r="O45" s="282">
        <f t="shared" si="12"/>
        <v>9.457114350698171E-3</v>
      </c>
      <c r="P45" s="307">
        <f t="shared" si="13"/>
        <v>8.8896874896562798E-4</v>
      </c>
      <c r="Q45" s="282">
        <f t="shared" si="14"/>
        <v>4.8498022311272669E-3</v>
      </c>
      <c r="R45" s="282">
        <f t="shared" si="15"/>
        <v>3.5330809253762138E-4</v>
      </c>
      <c r="S45" s="399" t="s">
        <v>203</v>
      </c>
      <c r="T45" s="399" t="s">
        <v>203</v>
      </c>
      <c r="U45" s="12" t="s">
        <v>207</v>
      </c>
      <c r="V45" s="400" t="s">
        <v>205</v>
      </c>
    </row>
    <row r="46" spans="1:26">
      <c r="A46" s="251"/>
      <c r="B46" s="388" t="s">
        <v>234</v>
      </c>
      <c r="C46" s="280" t="s">
        <v>94</v>
      </c>
      <c r="D46" s="11" t="s">
        <v>202</v>
      </c>
      <c r="E46" s="11">
        <v>250</v>
      </c>
      <c r="F46" s="11">
        <v>235</v>
      </c>
      <c r="G46" s="281">
        <v>0.01</v>
      </c>
      <c r="H46" s="281">
        <v>0.01</v>
      </c>
      <c r="I46" s="281">
        <v>0</v>
      </c>
      <c r="J46" s="11">
        <v>0</v>
      </c>
      <c r="K46" s="422">
        <f>((G46*ED_8+(I46*ED_8))*WorkBreathRate)/IF(Inhalation_Exp[[#This Row],[Worker Type]]="Female of Reproductive Age",BW_F,BW_default)</f>
        <v>1.25E-3</v>
      </c>
      <c r="L46" s="282">
        <f>((H46*ED_8+(J46*ED_8))*WorkBreathRate)/IF(Inhalation_Exp[[#This Row],[Worker Type]]="Female of Reproductive Age",BW_F,BW_default)</f>
        <v>1.25E-3</v>
      </c>
      <c r="M46" s="282">
        <f>IF(EFID&gt;Inhalation_Exp[[#This Row],[ED_High-End]],Inhalation_Exp[[#This Row],[24hr_High-End]]*Inhalation_Exp[[#This Row],[ED_High-End]]/ID,Inhalation_Exp[[#This Row],[24hr_High-End]]*EFID/ID)</f>
        <v>9.1666666666666665E-4</v>
      </c>
      <c r="N46" s="307">
        <f>IF(EFID&gt;Inhalation_Exp[[#This Row],[ED_Central Tendency]],Inhalation_Exp[[#This Row],[24hr_Central Tendency]]*Inhalation_Exp[[#This Row],[ED_Central Tendency]]/ID,Inhalation_Exp[[#This Row],[24hr_Central Tendency]]*EFID/ID)</f>
        <v>9.1666666666666665E-4</v>
      </c>
      <c r="O46" s="282">
        <f t="shared" si="12"/>
        <v>8.5616438356164379E-4</v>
      </c>
      <c r="P46" s="307">
        <f t="shared" si="13"/>
        <v>8.047945205479453E-4</v>
      </c>
      <c r="Q46" s="282">
        <f t="shared" si="14"/>
        <v>4.3905865823674043E-4</v>
      </c>
      <c r="R46" s="282">
        <f t="shared" si="15"/>
        <v>3.1985423252546547E-4</v>
      </c>
      <c r="S46" s="399" t="s">
        <v>203</v>
      </c>
      <c r="T46" s="399" t="s">
        <v>203</v>
      </c>
      <c r="U46" s="423" t="s">
        <v>236</v>
      </c>
      <c r="V46" s="400" t="s">
        <v>205</v>
      </c>
      <c r="Z46" s="1" t="s">
        <v>209</v>
      </c>
    </row>
    <row r="47" spans="1:26">
      <c r="A47" s="251"/>
      <c r="B47" s="432" t="s">
        <v>237</v>
      </c>
      <c r="C47" s="280" t="s">
        <v>74</v>
      </c>
      <c r="D47" s="11" t="s">
        <v>202</v>
      </c>
      <c r="E47" s="11">
        <v>250</v>
      </c>
      <c r="F47" s="11">
        <v>250</v>
      </c>
      <c r="G47" s="431">
        <f>G17</f>
        <v>5.0999999999999997E-2</v>
      </c>
      <c r="H47" s="431">
        <f>H17</f>
        <v>5.0999999999999997E-2</v>
      </c>
      <c r="I47" s="281">
        <v>0</v>
      </c>
      <c r="J47" s="11">
        <v>0</v>
      </c>
      <c r="K47" s="434">
        <f>((G47*ED_8+(I47*ED_8))*WorkBreathRate)/IF(Inhalation_Exp[[#This Row],[Worker Type]]="Female of Reproductive Age",BW_F,BW_default)</f>
        <v>6.3750000000000005E-3</v>
      </c>
      <c r="L47" s="435">
        <f>((H47*ED_8+(J47*ED_8))*WorkBreathRate)/IF(Inhalation_Exp[[#This Row],[Worker Type]]="Female of Reproductive Age",BW_F,BW_default)</f>
        <v>6.3750000000000005E-3</v>
      </c>
      <c r="M47" s="436">
        <f>IF(EFID&gt;Inhalation_Exp[[#This Row],[ED_High-End]],Inhalation_Exp[[#This Row],[24hr_High-End]]*Inhalation_Exp[[#This Row],[ED_High-End]]/ID,Inhalation_Exp[[#This Row],[24hr_High-End]]*EFID/ID)</f>
        <v>4.6750000000000003E-3</v>
      </c>
      <c r="N47" s="435">
        <f>IF(EFID&gt;Inhalation_Exp[[#This Row],[ED_Central Tendency]],Inhalation_Exp[[#This Row],[24hr_Central Tendency]]*Inhalation_Exp[[#This Row],[ED_Central Tendency]]/ID,Inhalation_Exp[[#This Row],[24hr_Central Tendency]]*EFID/ID)</f>
        <v>4.6750000000000003E-3</v>
      </c>
      <c r="O47" s="436">
        <f t="shared" si="12"/>
        <v>4.3664383561643838E-3</v>
      </c>
      <c r="P47" s="435">
        <f t="shared" si="13"/>
        <v>4.3664383561643838E-3</v>
      </c>
      <c r="Q47" s="282">
        <f t="shared" si="14"/>
        <v>2.2391991570073766E-3</v>
      </c>
      <c r="R47" s="282">
        <f t="shared" si="15"/>
        <v>1.7353793466807167E-3</v>
      </c>
      <c r="S47" s="438">
        <v>2</v>
      </c>
      <c r="T47" s="438">
        <v>9</v>
      </c>
      <c r="U47" s="401" t="s">
        <v>238</v>
      </c>
      <c r="V47" s="400" t="s">
        <v>205</v>
      </c>
    </row>
    <row r="48" spans="1:26" ht="15" customHeight="1">
      <c r="A48" s="251"/>
      <c r="B48" s="433" t="s">
        <v>237</v>
      </c>
      <c r="C48" s="280" t="s">
        <v>206</v>
      </c>
      <c r="D48" s="11" t="s">
        <v>202</v>
      </c>
      <c r="E48" s="11">
        <v>250</v>
      </c>
      <c r="F48" s="11">
        <v>250</v>
      </c>
      <c r="G48" s="431">
        <f t="shared" ref="G48:H48" si="16">G18</f>
        <v>5.0999999999999997E-2</v>
      </c>
      <c r="H48" s="431">
        <f t="shared" si="16"/>
        <v>5.0999999999999997E-2</v>
      </c>
      <c r="I48" s="281">
        <v>0</v>
      </c>
      <c r="J48" s="11">
        <v>0</v>
      </c>
      <c r="K48" s="436">
        <f>((G48*ED_8+(I48*ED_8))*WorkBreathRate)/IF(Inhalation_Exp[[#This Row],[Worker Type]]="Female of Reproductive Age",BW_F,BW_default)</f>
        <v>7.0417673455298573E-3</v>
      </c>
      <c r="L48" s="436">
        <f>((H48*ED_8+(J48*ED_8))*WorkBreathRate)/IF(Inhalation_Exp[[#This Row],[Worker Type]]="Female of Reproductive Age",BW_F,BW_default)</f>
        <v>7.0417673455298573E-3</v>
      </c>
      <c r="M48" s="436">
        <f>IF(EFID&gt;Inhalation_Exp[[#This Row],[ED_High-End]],Inhalation_Exp[[#This Row],[24hr_High-End]]*Inhalation_Exp[[#This Row],[ED_High-End]]/ID,Inhalation_Exp[[#This Row],[24hr_High-End]]*EFID/ID)</f>
        <v>5.1639627200552292E-3</v>
      </c>
      <c r="N48" s="435">
        <f>IF(EFID&gt;Inhalation_Exp[[#This Row],[ED_Central Tendency]],Inhalation_Exp[[#This Row],[24hr_Central Tendency]]*Inhalation_Exp[[#This Row],[ED_Central Tendency]]/ID,Inhalation_Exp[[#This Row],[24hr_Central Tendency]]*EFID/ID)</f>
        <v>5.1639627200552292E-3</v>
      </c>
      <c r="O48" s="436">
        <f t="shared" si="12"/>
        <v>4.823128318856066E-3</v>
      </c>
      <c r="P48" s="435">
        <f t="shared" si="13"/>
        <v>4.8231283188560669E-3</v>
      </c>
      <c r="Q48" s="282">
        <f t="shared" si="14"/>
        <v>2.4733991378749058E-3</v>
      </c>
      <c r="R48" s="282">
        <f t="shared" si="15"/>
        <v>1.9168843318530522E-3</v>
      </c>
      <c r="S48" s="399" t="s">
        <v>203</v>
      </c>
      <c r="T48" s="399" t="s">
        <v>203</v>
      </c>
      <c r="U48" s="12" t="s">
        <v>207</v>
      </c>
      <c r="V48" s="400" t="s">
        <v>205</v>
      </c>
    </row>
    <row r="49" spans="1:26">
      <c r="A49" s="251"/>
      <c r="B49" s="432" t="s">
        <v>237</v>
      </c>
      <c r="C49" s="280" t="s">
        <v>94</v>
      </c>
      <c r="D49" s="11" t="s">
        <v>202</v>
      </c>
      <c r="E49" s="11">
        <v>250</v>
      </c>
      <c r="F49" s="11">
        <v>250</v>
      </c>
      <c r="G49" s="431">
        <f t="shared" ref="G49:H49" si="17">G19</f>
        <v>5.0999999999999997E-2</v>
      </c>
      <c r="H49" s="431">
        <f t="shared" si="17"/>
        <v>5.0999999999999997E-2</v>
      </c>
      <c r="I49" s="281">
        <v>0</v>
      </c>
      <c r="J49" s="11">
        <v>0</v>
      </c>
      <c r="K49" s="434">
        <f>((G49*ED_8+(I49*ED_8))*WorkBreathRate)/IF(Inhalation_Exp[[#This Row],[Worker Type]]="Female of Reproductive Age",BW_F,BW_default)</f>
        <v>6.3750000000000005E-3</v>
      </c>
      <c r="L49" s="436">
        <f>((H49*ED_8+(J49*ED_8))*WorkBreathRate)/IF(Inhalation_Exp[[#This Row],[Worker Type]]="Female of Reproductive Age",BW_F,BW_default)</f>
        <v>6.3750000000000005E-3</v>
      </c>
      <c r="M49" s="436">
        <f>IF(EFID&gt;Inhalation_Exp[[#This Row],[ED_High-End]],Inhalation_Exp[[#This Row],[24hr_High-End]]*Inhalation_Exp[[#This Row],[ED_High-End]]/ID,Inhalation_Exp[[#This Row],[24hr_High-End]]*EFID/ID)</f>
        <v>4.6750000000000003E-3</v>
      </c>
      <c r="N49" s="435">
        <f>IF(EFID&gt;Inhalation_Exp[[#This Row],[ED_Central Tendency]],Inhalation_Exp[[#This Row],[24hr_Central Tendency]]*Inhalation_Exp[[#This Row],[ED_Central Tendency]]/ID,Inhalation_Exp[[#This Row],[24hr_Central Tendency]]*EFID/ID)</f>
        <v>4.6750000000000003E-3</v>
      </c>
      <c r="O49" s="436">
        <f t="shared" si="12"/>
        <v>4.3664383561643838E-3</v>
      </c>
      <c r="P49" s="435">
        <f t="shared" si="13"/>
        <v>4.3664383561643838E-3</v>
      </c>
      <c r="Q49" s="282">
        <f t="shared" si="14"/>
        <v>2.2391991570073766E-3</v>
      </c>
      <c r="R49" s="282">
        <f t="shared" si="15"/>
        <v>1.7353793466807167E-3</v>
      </c>
      <c r="S49" s="399" t="s">
        <v>203</v>
      </c>
      <c r="T49" s="399" t="s">
        <v>203</v>
      </c>
      <c r="U49" s="401" t="s">
        <v>238</v>
      </c>
      <c r="V49" s="400" t="s">
        <v>205</v>
      </c>
    </row>
    <row r="50" spans="1:26" ht="76.5">
      <c r="A50" s="251"/>
      <c r="B50" s="388" t="s">
        <v>239</v>
      </c>
      <c r="C50" s="280" t="s">
        <v>74</v>
      </c>
      <c r="D50" s="11" t="s">
        <v>202</v>
      </c>
      <c r="E50" s="11">
        <v>238</v>
      </c>
      <c r="F50" s="11">
        <v>238</v>
      </c>
      <c r="G50" s="430">
        <v>0.13</v>
      </c>
      <c r="H50" s="430">
        <v>0.06</v>
      </c>
      <c r="I50" s="281">
        <v>0</v>
      </c>
      <c r="J50" s="11">
        <v>0</v>
      </c>
      <c r="K50" s="422">
        <f>((G50*ED_8+(I50*ED_8))*WorkBreathRate)/IF(Inhalation_Exp[[#This Row],[Worker Type]]="Female of Reproductive Age",BW_F,BW_default)</f>
        <v>1.6250000000000001E-2</v>
      </c>
      <c r="L50" s="307">
        <f>((H50*ED_8+(J50*ED_8))*WorkBreathRate)/IF(Inhalation_Exp[[#This Row],[Worker Type]]="Female of Reproductive Age",BW_F,BW_default)</f>
        <v>7.4999999999999997E-3</v>
      </c>
      <c r="M50" s="282">
        <f>IF(EFID&gt;Inhalation_Exp[[#This Row],[ED_High-End]],Inhalation_Exp[[#This Row],[24hr_High-End]]*Inhalation_Exp[[#This Row],[ED_High-End]]/ID,Inhalation_Exp[[#This Row],[24hr_High-End]]*EFID/ID)</f>
        <v>1.1916666666666667E-2</v>
      </c>
      <c r="N50" s="307">
        <f>IF(EFID&gt;Inhalation_Exp[[#This Row],[ED_Central Tendency]],Inhalation_Exp[[#This Row],[24hr_Central Tendency]]*Inhalation_Exp[[#This Row],[ED_Central Tendency]]/ID,Inhalation_Exp[[#This Row],[24hr_Central Tendency]]*EFID/ID)</f>
        <v>5.4999999999999997E-3</v>
      </c>
      <c r="O50" s="282">
        <f t="shared" si="12"/>
        <v>1.0595890410958906E-2</v>
      </c>
      <c r="P50" s="307">
        <f t="shared" si="13"/>
        <v>4.8904109589041093E-3</v>
      </c>
      <c r="Q50" s="282">
        <f t="shared" si="14"/>
        <v>5.4337899543379E-3</v>
      </c>
      <c r="R50" s="282">
        <f t="shared" si="15"/>
        <v>1.9436248682824025E-3</v>
      </c>
      <c r="S50" s="399">
        <v>7</v>
      </c>
      <c r="T50" s="399" t="s">
        <v>203</v>
      </c>
      <c r="U50" s="401" t="s">
        <v>240</v>
      </c>
      <c r="V50" s="400" t="s">
        <v>205</v>
      </c>
    </row>
    <row r="51" spans="1:26" ht="30" customHeight="1">
      <c r="A51" s="251"/>
      <c r="B51" s="386" t="s">
        <v>239</v>
      </c>
      <c r="C51" s="280" t="s">
        <v>206</v>
      </c>
      <c r="D51" s="11" t="s">
        <v>202</v>
      </c>
      <c r="E51" s="11">
        <v>238</v>
      </c>
      <c r="F51" s="11">
        <v>238</v>
      </c>
      <c r="G51" s="430">
        <v>0.13</v>
      </c>
      <c r="H51" s="430">
        <v>0.06</v>
      </c>
      <c r="I51" s="281">
        <v>0</v>
      </c>
      <c r="J51" s="11">
        <v>0</v>
      </c>
      <c r="K51" s="329">
        <f>((G51*ED_8+(I51*ED_8))*WorkBreathRate)/IF(Inhalation_Exp[[#This Row],[Worker Type]]="Female of Reproductive Age",BW_F,BW_default)</f>
        <v>1.7949603037625127E-2</v>
      </c>
      <c r="L51" s="329">
        <f>((H51*ED_8+(J51*ED_8))*WorkBreathRate)/IF(Inhalation_Exp[[#This Row],[Worker Type]]="Female of Reproductive Age",BW_F,BW_default)</f>
        <v>8.2844321712115965E-3</v>
      </c>
      <c r="M51" s="329">
        <f>IF(EFID&gt;Inhalation_Exp[[#This Row],[ED_High-End]],Inhalation_Exp[[#This Row],[24hr_High-End]]*Inhalation_Exp[[#This Row],[ED_High-End]]/ID,Inhalation_Exp[[#This Row],[24hr_High-End]]*EFID/ID)</f>
        <v>1.3163042227591759E-2</v>
      </c>
      <c r="N51" s="377">
        <f>IF(EFID&gt;Inhalation_Exp[[#This Row],[ED_Central Tendency]],Inhalation_Exp[[#This Row],[24hr_Central Tendency]]*Inhalation_Exp[[#This Row],[ED_Central Tendency]]/ID,Inhalation_Exp[[#This Row],[24hr_Central Tendency]]*EFID/ID)</f>
        <v>6.0752502588885034E-3</v>
      </c>
      <c r="O51" s="329">
        <f t="shared" si="12"/>
        <v>1.1704124720424054E-2</v>
      </c>
      <c r="P51" s="377">
        <f t="shared" si="13"/>
        <v>5.4019037171187945E-3</v>
      </c>
      <c r="Q51" s="282">
        <f t="shared" si="14"/>
        <v>6.0021152412431042E-3</v>
      </c>
      <c r="R51" s="282">
        <f t="shared" si="15"/>
        <v>2.1469104516754181E-3</v>
      </c>
      <c r="S51" s="399" t="s">
        <v>203</v>
      </c>
      <c r="T51" s="399" t="s">
        <v>203</v>
      </c>
      <c r="U51" s="12" t="s">
        <v>207</v>
      </c>
      <c r="V51" s="400" t="s">
        <v>205</v>
      </c>
      <c r="Z51" s="1" t="s">
        <v>209</v>
      </c>
    </row>
    <row r="52" spans="1:26" ht="25.5">
      <c r="A52" s="251"/>
      <c r="B52" s="388" t="s">
        <v>239</v>
      </c>
      <c r="C52" s="280" t="s">
        <v>94</v>
      </c>
      <c r="D52" s="11" t="s">
        <v>202</v>
      </c>
      <c r="E52" s="11">
        <v>238</v>
      </c>
      <c r="F52" s="11">
        <v>238</v>
      </c>
      <c r="G52" s="430">
        <v>0.04</v>
      </c>
      <c r="H52" s="430">
        <v>0.04</v>
      </c>
      <c r="I52" s="281">
        <v>0</v>
      </c>
      <c r="J52" s="11">
        <v>0</v>
      </c>
      <c r="K52" s="422">
        <f>((G52*ED_8+(I52*ED_8))*WorkBreathRate)/IF(Inhalation_Exp[[#This Row],[Worker Type]]="Female of Reproductive Age",BW_F,BW_default)</f>
        <v>5.0000000000000001E-3</v>
      </c>
      <c r="L52" s="282">
        <f>((H52*ED_8+(J52*ED_8))*WorkBreathRate)/IF(Inhalation_Exp[[#This Row],[Worker Type]]="Female of Reproductive Age",BW_F,BW_default)</f>
        <v>5.0000000000000001E-3</v>
      </c>
      <c r="M52" s="282">
        <f>IF(EFID&gt;Inhalation_Exp[[#This Row],[ED_High-End]],Inhalation_Exp[[#This Row],[24hr_High-End]]*Inhalation_Exp[[#This Row],[ED_High-End]]/ID,Inhalation_Exp[[#This Row],[24hr_High-End]]*EFID/ID)</f>
        <v>3.6666666666666666E-3</v>
      </c>
      <c r="N52" s="307">
        <f>IF(EFID&gt;Inhalation_Exp[[#This Row],[ED_Central Tendency]],Inhalation_Exp[[#This Row],[24hr_Central Tendency]]*Inhalation_Exp[[#This Row],[ED_Central Tendency]]/ID,Inhalation_Exp[[#This Row],[24hr_Central Tendency]]*EFID/ID)</f>
        <v>3.6666666666666666E-3</v>
      </c>
      <c r="O52" s="282">
        <f t="shared" si="12"/>
        <v>3.2602739726027394E-3</v>
      </c>
      <c r="P52" s="307">
        <f t="shared" si="13"/>
        <v>3.2602739726027398E-3</v>
      </c>
      <c r="Q52" s="282">
        <f t="shared" si="14"/>
        <v>1.6719353705655074E-3</v>
      </c>
      <c r="R52" s="282">
        <f t="shared" si="15"/>
        <v>1.2957499121882684E-3</v>
      </c>
      <c r="S52" s="399">
        <v>1</v>
      </c>
      <c r="T52" s="399" t="s">
        <v>203</v>
      </c>
      <c r="U52" s="401" t="s">
        <v>229</v>
      </c>
      <c r="V52" s="400" t="s">
        <v>205</v>
      </c>
    </row>
    <row r="53" spans="1:26" ht="51">
      <c r="A53" s="251"/>
      <c r="B53" s="388" t="s">
        <v>241</v>
      </c>
      <c r="C53" s="280" t="s">
        <v>74</v>
      </c>
      <c r="D53" s="11" t="s">
        <v>202</v>
      </c>
      <c r="E53" s="11">
        <v>250</v>
      </c>
      <c r="F53" s="11">
        <v>250</v>
      </c>
      <c r="G53" s="407">
        <v>0</v>
      </c>
      <c r="H53" s="281">
        <v>0</v>
      </c>
      <c r="I53" s="407">
        <v>1.54</v>
      </c>
      <c r="J53" s="281">
        <v>0.106</v>
      </c>
      <c r="K53" s="422">
        <f>((G53*ED_8+(I53*ED_8))*WorkBreathRate)/IF(Inhalation_Exp[[#This Row],[Worker Type]]="Female of Reproductive Age",BW_F,BW_default)</f>
        <v>0.1925</v>
      </c>
      <c r="L53" s="307">
        <f>((H53*ED_8+(J53*ED_8))*WorkBreathRate)/IF(Inhalation_Exp[[#This Row],[Worker Type]]="Female of Reproductive Age",BW_F,BW_default)</f>
        <v>1.3250000000000001E-2</v>
      </c>
      <c r="M53" s="282">
        <f>IF(EFID&gt;Inhalation_Exp[[#This Row],[ED_High-End]],Inhalation_Exp[[#This Row],[24hr_High-End]]*Inhalation_Exp[[#This Row],[ED_High-End]]/ID,Inhalation_Exp[[#This Row],[24hr_High-End]]*EFID/ID)</f>
        <v>0.14116666666666669</v>
      </c>
      <c r="N53" s="307">
        <f>IF(EFID&gt;Inhalation_Exp[[#This Row],[ED_Central Tendency]],Inhalation_Exp[[#This Row],[24hr_Central Tendency]]*Inhalation_Exp[[#This Row],[ED_Central Tendency]]/ID,Inhalation_Exp[[#This Row],[24hr_Central Tendency]]*EFID/ID)</f>
        <v>9.7166666666666686E-3</v>
      </c>
      <c r="O53" s="282">
        <f t="shared" si="12"/>
        <v>0.13184931506849315</v>
      </c>
      <c r="P53" s="307">
        <f t="shared" si="13"/>
        <v>9.0753424657534255E-3</v>
      </c>
      <c r="Q53" s="282">
        <f t="shared" si="14"/>
        <v>6.7615033368458033E-2</v>
      </c>
      <c r="R53" s="282">
        <f t="shared" si="15"/>
        <v>3.6068668774148233E-3</v>
      </c>
      <c r="S53" s="399" t="s">
        <v>203</v>
      </c>
      <c r="T53" s="399" t="s">
        <v>203</v>
      </c>
      <c r="U53" s="423" t="s">
        <v>242</v>
      </c>
      <c r="V53" s="424" t="s">
        <v>221</v>
      </c>
    </row>
    <row r="54" spans="1:26" ht="15" customHeight="1">
      <c r="A54" s="251"/>
      <c r="B54" s="386" t="s">
        <v>241</v>
      </c>
      <c r="C54" s="280" t="s">
        <v>206</v>
      </c>
      <c r="D54" s="11" t="s">
        <v>202</v>
      </c>
      <c r="E54" s="11">
        <v>250</v>
      </c>
      <c r="F54" s="11">
        <v>250</v>
      </c>
      <c r="G54" s="281">
        <v>0</v>
      </c>
      <c r="H54" s="281">
        <v>0</v>
      </c>
      <c r="I54" s="407">
        <v>1.54</v>
      </c>
      <c r="J54" s="281">
        <v>0.106</v>
      </c>
      <c r="K54" s="329">
        <f>((G54*ED_8+(I54*ED_8))*WorkBreathRate)/IF(Inhalation_Exp[[#This Row],[Worker Type]]="Female of Reproductive Age",BW_F,BW_default)</f>
        <v>0.21263375906109766</v>
      </c>
      <c r="L54" s="329">
        <f>((H54*ED_8+(J54*ED_8))*WorkBreathRate)/IF(Inhalation_Exp[[#This Row],[Worker Type]]="Female of Reproductive Age",BW_F,BW_default)</f>
        <v>1.4635830169140489E-2</v>
      </c>
      <c r="M54" s="329">
        <f>IF(EFID&gt;Inhalation_Exp[[#This Row],[ED_High-End]],Inhalation_Exp[[#This Row],[24hr_High-End]]*Inhalation_Exp[[#This Row],[ED_High-End]]/ID,Inhalation_Exp[[#This Row],[24hr_High-End]]*EFID/ID)</f>
        <v>0.15593142331147161</v>
      </c>
      <c r="N54" s="377">
        <f>IF(EFID&gt;Inhalation_Exp[[#This Row],[ED_Central Tendency]],Inhalation_Exp[[#This Row],[24hr_Central Tendency]]*Inhalation_Exp[[#This Row],[ED_Central Tendency]]/ID,Inhalation_Exp[[#This Row],[24hr_Central Tendency]]*EFID/ID)</f>
        <v>1.0732942124036358E-2</v>
      </c>
      <c r="O54" s="329">
        <f t="shared" si="12"/>
        <v>0.14563956100075184</v>
      </c>
      <c r="P54" s="377">
        <f t="shared" si="13"/>
        <v>1.0024541211740061E-2</v>
      </c>
      <c r="Q54" s="282">
        <f t="shared" si="14"/>
        <v>7.4686954359359917E-2</v>
      </c>
      <c r="R54" s="282">
        <f t="shared" si="15"/>
        <v>3.98411253287105E-3</v>
      </c>
      <c r="S54" s="399" t="s">
        <v>203</v>
      </c>
      <c r="T54" s="399" t="s">
        <v>203</v>
      </c>
      <c r="U54" s="12" t="s">
        <v>207</v>
      </c>
      <c r="V54" s="402" t="s">
        <v>221</v>
      </c>
    </row>
    <row r="55" spans="1:26" ht="13.5" thickBot="1">
      <c r="A55" s="251"/>
      <c r="B55" s="389" t="s">
        <v>241</v>
      </c>
      <c r="C55" s="381" t="s">
        <v>94</v>
      </c>
      <c r="D55" s="382" t="s">
        <v>202</v>
      </c>
      <c r="E55" s="382">
        <v>250</v>
      </c>
      <c r="F55" s="382">
        <v>250</v>
      </c>
      <c r="G55" s="408">
        <v>0</v>
      </c>
      <c r="H55" s="408">
        <v>0</v>
      </c>
      <c r="I55" s="408">
        <v>0.106</v>
      </c>
      <c r="J55" s="408">
        <v>0.106</v>
      </c>
      <c r="K55" s="380">
        <f>((G55*ED_8+(I55*ED_8))*WorkBreathRate)/IF(Inhalation_Exp[[#This Row],[Worker Type]]="Female of Reproductive Age",BW_F,BW_default)</f>
        <v>1.3250000000000001E-2</v>
      </c>
      <c r="L55" s="329">
        <f>((H55*ED_8+(J55*ED_8))*WorkBreathRate)/IF(Inhalation_Exp[[#This Row],[Worker Type]]="Female of Reproductive Age",BW_F,BW_default)</f>
        <v>1.3250000000000001E-2</v>
      </c>
      <c r="M55" s="329">
        <f>IF(EFID&gt;Inhalation_Exp[[#This Row],[ED_High-End]],Inhalation_Exp[[#This Row],[24hr_High-End]]*Inhalation_Exp[[#This Row],[ED_High-End]]/ID,Inhalation_Exp[[#This Row],[24hr_High-End]]*EFID/ID)</f>
        <v>9.7166666666666686E-3</v>
      </c>
      <c r="N55" s="377">
        <f>IF(EFID&gt;Inhalation_Exp[[#This Row],[ED_Central Tendency]],Inhalation_Exp[[#This Row],[24hr_Central Tendency]]*Inhalation_Exp[[#This Row],[ED_Central Tendency]]/ID,Inhalation_Exp[[#This Row],[24hr_Central Tendency]]*EFID/ID)</f>
        <v>9.7166666666666686E-3</v>
      </c>
      <c r="O55" s="329">
        <f t="shared" si="12"/>
        <v>9.0753424657534273E-3</v>
      </c>
      <c r="P55" s="377">
        <f t="shared" si="13"/>
        <v>9.0753424657534255E-3</v>
      </c>
      <c r="Q55" s="282">
        <f t="shared" si="14"/>
        <v>4.6540217773094498E-3</v>
      </c>
      <c r="R55" s="282">
        <f t="shared" si="15"/>
        <v>3.6068668774148233E-3</v>
      </c>
      <c r="S55" s="403" t="s">
        <v>203</v>
      </c>
      <c r="T55" s="403" t="s">
        <v>203</v>
      </c>
      <c r="U55" s="404" t="s">
        <v>222</v>
      </c>
      <c r="V55" s="405" t="s">
        <v>221</v>
      </c>
    </row>
    <row r="56" spans="1:26" ht="15">
      <c r="H56" s="326"/>
    </row>
    <row r="57" spans="1:26" ht="15">
      <c r="H57" s="326"/>
    </row>
    <row r="58" spans="1:26">
      <c r="D58" s="323"/>
      <c r="H58" s="2"/>
    </row>
    <row r="63" spans="1:26">
      <c r="G63" s="13" t="s">
        <v>209</v>
      </c>
    </row>
    <row r="64" spans="1:26">
      <c r="I64" s="323"/>
      <c r="J64" s="323"/>
    </row>
    <row r="66" spans="8:8">
      <c r="H66" s="327"/>
    </row>
    <row r="67" spans="8:8">
      <c r="H67" s="327"/>
    </row>
    <row r="68" spans="8:8">
      <c r="H68" s="327"/>
    </row>
    <row r="69" spans="8:8">
      <c r="H69" s="327"/>
    </row>
    <row r="70" spans="8:8">
      <c r="H70" s="327"/>
    </row>
    <row r="71" spans="8:8">
      <c r="H71" s="327"/>
    </row>
    <row r="72" spans="8:8">
      <c r="H72" s="327"/>
    </row>
    <row r="73" spans="8:8">
      <c r="H73" s="327"/>
    </row>
    <row r="74" spans="8:8">
      <c r="H74" s="327"/>
    </row>
    <row r="75" spans="8:8">
      <c r="H75" s="327"/>
    </row>
    <row r="76" spans="8:8">
      <c r="H76" s="327"/>
    </row>
    <row r="77" spans="8:8">
      <c r="H77" s="327"/>
    </row>
    <row r="78" spans="8:8">
      <c r="H78" s="327"/>
    </row>
  </sheetData>
  <sheetProtection sheet="1" objects="1" scenarios="1"/>
  <mergeCells count="13">
    <mergeCell ref="Q2:R2"/>
    <mergeCell ref="Q3:R3"/>
    <mergeCell ref="M2:N2"/>
    <mergeCell ref="M3:N3"/>
    <mergeCell ref="K3:L3"/>
    <mergeCell ref="O3:P3"/>
    <mergeCell ref="K2:L2"/>
    <mergeCell ref="O2:P2"/>
    <mergeCell ref="E2:F3"/>
    <mergeCell ref="G2:H2"/>
    <mergeCell ref="I2:J2"/>
    <mergeCell ref="G3:H3"/>
    <mergeCell ref="I3:J3"/>
  </mergeCells>
  <phoneticPr fontId="2" type="noConversion"/>
  <conditionalFormatting sqref="G1:J56">
    <cfRule type="cellIs" dxfId="210" priority="1" operator="equal">
      <formula>0</formula>
    </cfRule>
  </conditionalFormatting>
  <conditionalFormatting sqref="G5:R37 I38:R40 G41:R55 H56">
    <cfRule type="cellIs" dxfId="209" priority="22" operator="greaterThan">
      <formula>10000</formula>
    </cfRule>
    <cfRule type="cellIs" dxfId="208" priority="26" operator="lessThan">
      <formula>0.1</formula>
    </cfRule>
    <cfRule type="cellIs" dxfId="207" priority="38" operator="between">
      <formula>10</formula>
      <formula>9999.999</formula>
    </cfRule>
    <cfRule type="cellIs" dxfId="206" priority="39" operator="between">
      <formula>1</formula>
      <formula>9.999</formula>
    </cfRule>
    <cfRule type="cellIs" dxfId="205" priority="40" operator="between">
      <formula>0.1</formula>
      <formula>0.999</formula>
    </cfRule>
  </conditionalFormatting>
  <conditionalFormatting sqref="M5:N55">
    <cfRule type="cellIs" dxfId="204" priority="42" operator="between">
      <formula>1</formula>
      <formula>9.999</formula>
    </cfRule>
    <cfRule type="cellIs" dxfId="203" priority="43" operator="lessThan">
      <formula>0.1</formula>
    </cfRule>
    <cfRule type="cellIs" dxfId="202" priority="44" operator="between">
      <formula>0.1</formula>
      <formula>0.999</formula>
    </cfRule>
    <cfRule type="cellIs" dxfId="201" priority="45" operator="between">
      <formula>10</formula>
      <formula>9999.999</formula>
    </cfRule>
    <cfRule type="cellIs" dxfId="200" priority="46" operator="greaterThan">
      <formula>10000</formula>
    </cfRule>
  </conditionalFormatting>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6B110-8E01-4638-9919-60D7B952F7F3}">
  <sheetPr codeName="Sheet5">
    <tabColor theme="1"/>
  </sheetPr>
  <dimension ref="A1:Y65"/>
  <sheetViews>
    <sheetView workbookViewId="0"/>
  </sheetViews>
  <sheetFormatPr defaultColWidth="14.85546875" defaultRowHeight="12.75"/>
  <cols>
    <col min="1" max="1" width="7.42578125" style="1" customWidth="1"/>
    <col min="2" max="2" width="40.85546875" style="1" customWidth="1"/>
    <col min="3" max="3" width="29" style="1" customWidth="1"/>
    <col min="4" max="4" width="9.85546875" style="13" customWidth="1"/>
    <col min="5" max="5" width="12.42578125" style="13" customWidth="1"/>
    <col min="6" max="6" width="14.42578125" style="1" customWidth="1"/>
    <col min="7" max="7" width="20" style="1" customWidth="1"/>
    <col min="8" max="8" width="13.140625" style="1" customWidth="1"/>
    <col min="9" max="9" width="17" style="1" customWidth="1"/>
    <col min="10" max="10" width="14" style="1" customWidth="1"/>
    <col min="11" max="11" width="16.42578125" style="1" customWidth="1"/>
    <col min="12" max="12" width="14.42578125" style="1" customWidth="1"/>
    <col min="13" max="13" width="16.5703125" style="1" customWidth="1"/>
    <col min="14" max="14" width="13.42578125" style="1" customWidth="1"/>
    <col min="15" max="15" width="15.42578125" style="1" customWidth="1"/>
    <col min="16" max="16" width="14.140625" style="1" customWidth="1"/>
    <col min="17" max="17" width="14.85546875" style="1" customWidth="1"/>
    <col min="18" max="16384" width="14.85546875" style="1"/>
  </cols>
  <sheetData>
    <row r="1" spans="1:25" ht="12.75" customHeight="1">
      <c r="D1" s="601" t="s">
        <v>174</v>
      </c>
      <c r="E1" s="601"/>
      <c r="F1" s="602" t="s">
        <v>243</v>
      </c>
      <c r="G1" s="603"/>
      <c r="H1" s="602" t="s">
        <v>244</v>
      </c>
      <c r="I1" s="603"/>
      <c r="J1" s="600" t="s">
        <v>245</v>
      </c>
      <c r="K1" s="600"/>
      <c r="L1" s="600" t="s">
        <v>246</v>
      </c>
      <c r="M1" s="600"/>
      <c r="N1" s="600" t="s">
        <v>247</v>
      </c>
      <c r="O1" s="600"/>
      <c r="P1" s="600" t="s">
        <v>248</v>
      </c>
      <c r="Q1" s="600"/>
    </row>
    <row r="2" spans="1:25" ht="12.75" customHeight="1">
      <c r="B2" s="339"/>
      <c r="D2" s="601"/>
      <c r="E2" s="601"/>
      <c r="F2" s="604" t="s">
        <v>249</v>
      </c>
      <c r="G2" s="605"/>
      <c r="H2" s="604" t="s">
        <v>249</v>
      </c>
      <c r="I2" s="605"/>
      <c r="J2" s="600"/>
      <c r="K2" s="600"/>
      <c r="L2" s="600"/>
      <c r="M2" s="600"/>
      <c r="N2" s="600"/>
      <c r="O2" s="600"/>
      <c r="P2" s="600"/>
      <c r="Q2" s="600"/>
    </row>
    <row r="3" spans="1:25" ht="38.25">
      <c r="A3" s="1" t="s">
        <v>250</v>
      </c>
      <c r="B3" s="338" t="s">
        <v>181</v>
      </c>
      <c r="C3" s="338" t="s">
        <v>143</v>
      </c>
      <c r="D3" s="375" t="s">
        <v>183</v>
      </c>
      <c r="E3" s="375" t="s">
        <v>184</v>
      </c>
      <c r="F3" s="319" t="s">
        <v>251</v>
      </c>
      <c r="G3" s="277" t="s">
        <v>252</v>
      </c>
      <c r="H3" s="458" t="s">
        <v>253</v>
      </c>
      <c r="I3" s="277" t="s">
        <v>254</v>
      </c>
      <c r="J3" s="457" t="s">
        <v>255</v>
      </c>
      <c r="K3" s="457" t="s">
        <v>256</v>
      </c>
      <c r="L3" s="457" t="s">
        <v>257</v>
      </c>
      <c r="M3" s="457" t="s">
        <v>258</v>
      </c>
      <c r="N3" s="457" t="s">
        <v>259</v>
      </c>
      <c r="O3" s="457" t="s">
        <v>260</v>
      </c>
      <c r="P3" s="457" t="s">
        <v>261</v>
      </c>
      <c r="Q3" s="457" t="s">
        <v>262</v>
      </c>
    </row>
    <row r="4" spans="1:25" ht="15">
      <c r="A4" s="324">
        <v>1</v>
      </c>
      <c r="B4" s="394" t="s">
        <v>201</v>
      </c>
      <c r="C4" s="280" t="s">
        <v>74</v>
      </c>
      <c r="D4" s="409">
        <f>'Inhalation Exposure'!E5</f>
        <v>250</v>
      </c>
      <c r="E4" s="409">
        <f>'Inhalation Exposure'!F5</f>
        <v>250</v>
      </c>
      <c r="F4" s="410">
        <v>1.1127999999999999E-2</v>
      </c>
      <c r="G4" s="410">
        <v>5.5639999999999995E-3</v>
      </c>
      <c r="H4" s="410"/>
      <c r="I4" s="410"/>
      <c r="J4" s="321">
        <f>MAX(Dermal_Exp[[#This Row],[High-End Exposure to Liquid]],Dermal_Exp[[#This Row],[High-End Exposure to Solids]])/(IF(Dermal_Exp[[#This Row],[Worker Type]]="Female of Reproductive Age",BW_F,BW_default))</f>
        <v>1.3909999999999999E-4</v>
      </c>
      <c r="K4" s="321">
        <f>MAX(Dermal_Exp[[#This Row],[ Central Tendency Exposure to Liquids]],Dermal_Exp[[#This Row],[Central Tendency  Exposure to Solids]])/(IF(Dermal_Exp[[#This Row],[Worker Type]]="Female of Reproductive Age",BW_F,BW_default))</f>
        <v>6.9549999999999996E-5</v>
      </c>
      <c r="L4" s="320">
        <f>IFERROR(Dermal_Exp[[#This Row],[High-End AD (mg/kg-day)]]*IF(Dermal_Exp[[#This Row],[ED_High-End]]&gt;EFID,EFID,Dermal_Exp[[#This Row],[ED_High-End]])/ID,"Not Assessed")</f>
        <v>1.0200666666666667E-4</v>
      </c>
      <c r="M4" s="320">
        <f>IFERROR(Dermal_Exp[[#This Row],[Central Tendency AD (mg/kg-day)]]*IF(Dermal_Exp[[#This Row],[ED_Central Tendency]]&gt;EFID,EFID,Dermal_Exp[[#This Row],[ED_Central Tendency]])/ID,"Not Assessed")</f>
        <v>5.1003333333333333E-5</v>
      </c>
      <c r="N4" s="322">
        <f>IFERROR(Dermal_Exp[[#This Row],[High-End AD (mg/kg-day)]]*Dermal_Exp[[#This Row],[ED_High-End]]*WY_high/(365*WY_high),"Not Assessed")</f>
        <v>9.5273972602739727E-5</v>
      </c>
      <c r="O4" s="322">
        <f>IFERROR(Dermal_Exp[[#This Row],[Central Tendency AD (mg/kg-day)]]*Dermal_Exp[[#This Row],[ED_Central Tendency]]*WY_mid/(365*WY_mid),"Not Assessed")</f>
        <v>4.7636986301369864E-5</v>
      </c>
      <c r="P4" s="322">
        <f>IFERROR(Dermal_Exp[[#This Row],[High-End AD (mg/kg-day)]]*Dermal_Exp[[#This Row],[ED_High-End]]*WY_high/(365*LT),"Not Assessed")</f>
        <v>4.8858447488584476E-5</v>
      </c>
      <c r="Q4" s="322">
        <f>IFERROR(Dermal_Exp[[#This Row],[Central Tendency AD (mg/kg-day)]]*Dermal_Exp[[#This Row],[ED_Central Tendency]]*WY_mid/(365*LT),"Not Assessed")</f>
        <v>1.8932648401826484E-5</v>
      </c>
    </row>
    <row r="5" spans="1:25" ht="15">
      <c r="A5" s="324">
        <v>1</v>
      </c>
      <c r="B5" s="385" t="s">
        <v>201</v>
      </c>
      <c r="C5" s="280" t="s">
        <v>206</v>
      </c>
      <c r="D5" s="409">
        <f>'Inhalation Exposure'!E6</f>
        <v>250</v>
      </c>
      <c r="E5" s="409">
        <f>'Inhalation Exposure'!F6</f>
        <v>250</v>
      </c>
      <c r="F5" s="410">
        <v>9.2559999999999986E-3</v>
      </c>
      <c r="G5" s="410">
        <v>4.6279999999999993E-3</v>
      </c>
      <c r="H5" s="410"/>
      <c r="I5" s="410"/>
      <c r="J5" s="321">
        <f>MAX(Dermal_Exp[[#This Row],[High-End Exposure to Liquid]],Dermal_Exp[[#This Row],[High-End Exposure to Solids]])/(IF(Dermal_Exp[[#This Row],[Worker Type]]="Female of Reproductive Age",BW_F,BW_default))</f>
        <v>1.2780117362789088E-4</v>
      </c>
      <c r="K5" s="321">
        <f>MAX(Dermal_Exp[[#This Row],[ Central Tendency Exposure to Liquids]],Dermal_Exp[[#This Row],[Central Tendency  Exposure to Solids]])/(IF(Dermal_Exp[[#This Row],[Worker Type]]="Female of Reproductive Age",BW_F,BW_default))</f>
        <v>6.3900586813945439E-5</v>
      </c>
      <c r="L5" s="320">
        <f>IFERROR(Dermal_Exp[[#This Row],[High-End AD (mg/kg-day)]]*IF(Dermal_Exp[[#This Row],[ED_High-End]]&gt;EFID,EFID,Dermal_Exp[[#This Row],[ED_High-End]])/ID,"Not Assessed")</f>
        <v>9.372086066045331E-5</v>
      </c>
      <c r="M5" s="320">
        <f>IFERROR(Dermal_Exp[[#This Row],[Central Tendency AD (mg/kg-day)]]*IF(Dermal_Exp[[#This Row],[ED_Central Tendency]]&gt;EFID,EFID,Dermal_Exp[[#This Row],[ED_Central Tendency]])/ID,"Not Assessed")</f>
        <v>4.6860430330226655E-5</v>
      </c>
      <c r="N5" s="322">
        <f>IFERROR(Dermal_Exp[[#This Row],[High-End AD (mg/kg-day)]]*Dermal_Exp[[#This Row],[ED_High-End]]*WY_high/(365*WY_high),"Not Assessed")</f>
        <v>8.7535050430062247E-5</v>
      </c>
      <c r="O5" s="322">
        <f>IFERROR(Dermal_Exp[[#This Row],[Central Tendency AD (mg/kg-day)]]*Dermal_Exp[[#This Row],[ED_Central Tendency]]*WY_mid/(365*WY_mid),"Not Assessed")</f>
        <v>4.3767525215031117E-5</v>
      </c>
      <c r="P5" s="322">
        <f>IFERROR(Dermal_Exp[[#This Row],[High-End AD (mg/kg-day)]]*Dermal_Exp[[#This Row],[ED_High-End]]*WY_high/(365*LT),"Not Assessed")</f>
        <v>4.4889769451313967E-5</v>
      </c>
      <c r="Q5" s="322">
        <f>IFERROR(Dermal_Exp[[#This Row],[Central Tendency AD (mg/kg-day)]]*Dermal_Exp[[#This Row],[ED_Central Tendency]]*WY_mid/(365*LT),"Not Assessed")</f>
        <v>1.7394785662384163E-5</v>
      </c>
    </row>
    <row r="6" spans="1:25" ht="15">
      <c r="A6" s="324">
        <v>1</v>
      </c>
      <c r="B6" s="387" t="s">
        <v>201</v>
      </c>
      <c r="C6" s="280" t="s">
        <v>94</v>
      </c>
      <c r="D6" s="409">
        <f>'Inhalation Exposure'!E7</f>
        <v>250</v>
      </c>
      <c r="E6" s="409">
        <f>'Inhalation Exposure'!F7</f>
        <v>250</v>
      </c>
      <c r="F6" s="410"/>
      <c r="G6" s="410"/>
      <c r="H6" s="411"/>
      <c r="I6" s="411"/>
      <c r="J6" s="321">
        <f>MAX(Dermal_Exp[[#This Row],[High-End Exposure to Liquid]],Dermal_Exp[[#This Row],[High-End Exposure to Solids]])/(IF(Dermal_Exp[[#This Row],[Worker Type]]="Female of Reproductive Age",BW_F,BW_default))</f>
        <v>0</v>
      </c>
      <c r="K6" s="321">
        <f>MAX(Dermal_Exp[[#This Row],[ Central Tendency Exposure to Liquids]],Dermal_Exp[[#This Row],[Central Tendency  Exposure to Solids]])/(IF(Dermal_Exp[[#This Row],[Worker Type]]="Female of Reproductive Age",BW_F,BW_default))</f>
        <v>0</v>
      </c>
      <c r="L6" s="320">
        <f>IFERROR(Dermal_Exp[[#This Row],[High-End AD (mg/kg-day)]]*IF(Dermal_Exp[[#This Row],[ED_High-End]]&gt;EFID,EFID,Dermal_Exp[[#This Row],[ED_High-End]])/ID,"Not Assessed")</f>
        <v>0</v>
      </c>
      <c r="M6" s="320">
        <f>IFERROR(Dermal_Exp[[#This Row],[Central Tendency AD (mg/kg-day)]]*IF(Dermal_Exp[[#This Row],[ED_Central Tendency]]&gt;EFID,EFID,Dermal_Exp[[#This Row],[ED_Central Tendency]])/ID,"Not Assessed")</f>
        <v>0</v>
      </c>
      <c r="N6" s="322">
        <f>IFERROR(Dermal_Exp[[#This Row],[High-End AD (mg/kg-day)]]*Dermal_Exp[[#This Row],[ED_High-End]]*WY_high/(365*WY_high),"Not Assessed")</f>
        <v>0</v>
      </c>
      <c r="O6" s="307">
        <f>IFERROR(Dermal_Exp[[#This Row],[Central Tendency AD (mg/kg-day)]]*Dermal_Exp[[#This Row],[ED_Central Tendency]]*WY_mid/(365*WY_mid),"Not Assessed")</f>
        <v>0</v>
      </c>
      <c r="P6" s="322">
        <f>IFERROR(Dermal_Exp[[#This Row],[High-End AD (mg/kg-day)]]*Dermal_Exp[[#This Row],[ED_High-End]]*WY_high/(365*LT),"Not Assessed")</f>
        <v>0</v>
      </c>
      <c r="Q6" s="322">
        <f>IFERROR(Dermal_Exp[[#This Row],[Central Tendency AD (mg/kg-day)]]*Dermal_Exp[[#This Row],[ED_Central Tendency]]*WY_mid/(365*LT),"Not Assessed")</f>
        <v>0</v>
      </c>
    </row>
    <row r="7" spans="1:25" ht="15">
      <c r="A7" s="324">
        <v>1</v>
      </c>
      <c r="B7" s="387" t="s">
        <v>210</v>
      </c>
      <c r="C7" s="280" t="s">
        <v>74</v>
      </c>
      <c r="D7" s="409">
        <f>'Inhalation Exposure'!E8</f>
        <v>250</v>
      </c>
      <c r="E7" s="409">
        <f>'Inhalation Exposure'!F8</f>
        <v>250</v>
      </c>
      <c r="F7" s="410">
        <v>1.1127999999999999E-2</v>
      </c>
      <c r="G7" s="410">
        <v>5.5639999999999995E-3</v>
      </c>
      <c r="H7" s="411"/>
      <c r="I7" s="411"/>
      <c r="J7" s="321">
        <f>MAX(Dermal_Exp[[#This Row],[High-End Exposure to Liquid]],Dermal_Exp[[#This Row],[High-End Exposure to Solids]])/(IF(Dermal_Exp[[#This Row],[Worker Type]]="Female of Reproductive Age",BW_F,BW_default))</f>
        <v>1.3909999999999999E-4</v>
      </c>
      <c r="K7" s="321">
        <f>MAX(Dermal_Exp[[#This Row],[ Central Tendency Exposure to Liquids]],Dermal_Exp[[#This Row],[Central Tendency  Exposure to Solids]])/(IF(Dermal_Exp[[#This Row],[Worker Type]]="Female of Reproductive Age",BW_F,BW_default))</f>
        <v>6.9549999999999996E-5</v>
      </c>
      <c r="L7" s="320">
        <f>IFERROR(Dermal_Exp[[#This Row],[High-End AD (mg/kg-day)]]*IF(Dermal_Exp[[#This Row],[ED_High-End]]&gt;EFID,EFID,Dermal_Exp[[#This Row],[ED_High-End]])/ID,"Not Assessed")</f>
        <v>1.0200666666666667E-4</v>
      </c>
      <c r="M7" s="320">
        <f>IFERROR(Dermal_Exp[[#This Row],[Central Tendency AD (mg/kg-day)]]*IF(Dermal_Exp[[#This Row],[ED_Central Tendency]]&gt;EFID,EFID,Dermal_Exp[[#This Row],[ED_Central Tendency]])/ID,"Not Assessed")</f>
        <v>5.1003333333333333E-5</v>
      </c>
      <c r="N7" s="322">
        <f>IFERROR(Dermal_Exp[[#This Row],[High-End AD (mg/kg-day)]]*Dermal_Exp[[#This Row],[ED_High-End]]*WY_high/(365*WY_high),"Not Assessed")</f>
        <v>9.5273972602739727E-5</v>
      </c>
      <c r="O7" s="322">
        <f>IFERROR(Dermal_Exp[[#This Row],[Central Tendency AD (mg/kg-day)]]*Dermal_Exp[[#This Row],[ED_Central Tendency]]*WY_mid/(365*WY_mid),"Not Assessed")</f>
        <v>4.7636986301369864E-5</v>
      </c>
      <c r="P7" s="322">
        <f>IFERROR(Dermal_Exp[[#This Row],[High-End AD (mg/kg-day)]]*Dermal_Exp[[#This Row],[ED_High-End]]*WY_high/(365*LT),"Not Assessed")</f>
        <v>4.8858447488584476E-5</v>
      </c>
      <c r="Q7" s="322">
        <f>IFERROR(Dermal_Exp[[#This Row],[Central Tendency AD (mg/kg-day)]]*Dermal_Exp[[#This Row],[ED_Central Tendency]]*WY_mid/(365*LT),"Not Assessed")</f>
        <v>1.8932648401826484E-5</v>
      </c>
    </row>
    <row r="8" spans="1:25" ht="15">
      <c r="A8" s="324">
        <v>1</v>
      </c>
      <c r="B8" s="385" t="s">
        <v>210</v>
      </c>
      <c r="C8" s="280" t="s">
        <v>206</v>
      </c>
      <c r="D8" s="409">
        <f>'Inhalation Exposure'!E9</f>
        <v>250</v>
      </c>
      <c r="E8" s="409">
        <f>'Inhalation Exposure'!F9</f>
        <v>250</v>
      </c>
      <c r="F8" s="410">
        <v>9.2559999999999986E-3</v>
      </c>
      <c r="G8" s="410">
        <v>4.6279999999999993E-3</v>
      </c>
      <c r="H8" s="411"/>
      <c r="I8" s="411"/>
      <c r="J8" s="321">
        <f>MAX(Dermal_Exp[[#This Row],[High-End Exposure to Liquid]],Dermal_Exp[[#This Row],[High-End Exposure to Solids]])/(IF(Dermal_Exp[[#This Row],[Worker Type]]="Female of Reproductive Age",BW_F,BW_default))</f>
        <v>1.2780117362789088E-4</v>
      </c>
      <c r="K8" s="321">
        <f>MAX(Dermal_Exp[[#This Row],[ Central Tendency Exposure to Liquids]],Dermal_Exp[[#This Row],[Central Tendency  Exposure to Solids]])/(IF(Dermal_Exp[[#This Row],[Worker Type]]="Female of Reproductive Age",BW_F,BW_default))</f>
        <v>6.3900586813945439E-5</v>
      </c>
      <c r="L8" s="320">
        <f>IFERROR(Dermal_Exp[[#This Row],[High-End AD (mg/kg-day)]]*IF(Dermal_Exp[[#This Row],[ED_High-End]]&gt;EFID,EFID,Dermal_Exp[[#This Row],[ED_High-End]])/ID,"Not Assessed")</f>
        <v>9.372086066045331E-5</v>
      </c>
      <c r="M8" s="320">
        <f>IFERROR(Dermal_Exp[[#This Row],[Central Tendency AD (mg/kg-day)]]*IF(Dermal_Exp[[#This Row],[ED_Central Tendency]]&gt;EFID,EFID,Dermal_Exp[[#This Row],[ED_Central Tendency]])/ID,"Not Assessed")</f>
        <v>4.6860430330226655E-5</v>
      </c>
      <c r="N8" s="328">
        <f>IFERROR(Dermal_Exp[[#This Row],[High-End AD (mg/kg-day)]]*Dermal_Exp[[#This Row],[ED_High-End]]*WY_high/(365*WY_high),"Not Assessed")</f>
        <v>8.7535050430062247E-5</v>
      </c>
      <c r="O8" s="328">
        <f>IFERROR(Dermal_Exp[[#This Row],[Central Tendency AD (mg/kg-day)]]*Dermal_Exp[[#This Row],[ED_Central Tendency]]*WY_mid/(365*WY_mid),"Not Assessed")</f>
        <v>4.3767525215031117E-5</v>
      </c>
      <c r="P8" s="328">
        <f>IFERROR(Dermal_Exp[[#This Row],[High-End AD (mg/kg-day)]]*Dermal_Exp[[#This Row],[ED_High-End]]*WY_high/(365*LT),"Not Assessed")</f>
        <v>4.4889769451313967E-5</v>
      </c>
      <c r="Q8" s="322">
        <f>IFERROR(Dermal_Exp[[#This Row],[Central Tendency AD (mg/kg-day)]]*Dermal_Exp[[#This Row],[ED_Central Tendency]]*WY_mid/(365*LT),"Not Assessed")</f>
        <v>1.7394785662384163E-5</v>
      </c>
    </row>
    <row r="9" spans="1:25" ht="15">
      <c r="A9" s="324">
        <v>1</v>
      </c>
      <c r="B9" s="387" t="s">
        <v>210</v>
      </c>
      <c r="C9" s="280" t="s">
        <v>94</v>
      </c>
      <c r="D9" s="409">
        <f>'Inhalation Exposure'!E10</f>
        <v>250</v>
      </c>
      <c r="E9" s="409">
        <f>'Inhalation Exposure'!F10</f>
        <v>250</v>
      </c>
      <c r="F9" s="410"/>
      <c r="G9" s="410"/>
      <c r="H9" s="411"/>
      <c r="I9" s="411"/>
      <c r="J9" s="321">
        <f>MAX(Dermal_Exp[[#This Row],[High-End Exposure to Liquid]],Dermal_Exp[[#This Row],[High-End Exposure to Solids]])/(IF(Dermal_Exp[[#This Row],[Worker Type]]="Female of Reproductive Age",BW_F,BW_default))</f>
        <v>0</v>
      </c>
      <c r="K9" s="321">
        <f>MAX(Dermal_Exp[[#This Row],[ Central Tendency Exposure to Liquids]],Dermal_Exp[[#This Row],[Central Tendency  Exposure to Solids]])/(IF(Dermal_Exp[[#This Row],[Worker Type]]="Female of Reproductive Age",BW_F,BW_default))</f>
        <v>0</v>
      </c>
      <c r="L9" s="320">
        <f>IFERROR(Dermal_Exp[[#This Row],[High-End AD (mg/kg-day)]]*IF(Dermal_Exp[[#This Row],[ED_High-End]]&gt;EFID,EFID,Dermal_Exp[[#This Row],[ED_High-End]])/ID,"Not Assessed")</f>
        <v>0</v>
      </c>
      <c r="M9" s="320">
        <f>IFERROR(Dermal_Exp[[#This Row],[Central Tendency AD (mg/kg-day)]]*IF(Dermal_Exp[[#This Row],[ED_Central Tendency]]&gt;EFID,EFID,Dermal_Exp[[#This Row],[ED_Central Tendency]])/ID,"Not Assessed")</f>
        <v>0</v>
      </c>
      <c r="N9" s="307">
        <f>IFERROR(Dermal_Exp[[#This Row],[High-End AD (mg/kg-day)]]*Dermal_Exp[[#This Row],[ED_High-End]]*WY_high/(365*WY_high),"Not Assessed")</f>
        <v>0</v>
      </c>
      <c r="O9" s="307">
        <f>IFERROR(Dermal_Exp[[#This Row],[Central Tendency AD (mg/kg-day)]]*Dermal_Exp[[#This Row],[ED_Central Tendency]]*WY_mid/(365*WY_mid),"Not Assessed")</f>
        <v>0</v>
      </c>
      <c r="P9" s="307">
        <f>IFERROR(Dermal_Exp[[#This Row],[High-End AD (mg/kg-day)]]*Dermal_Exp[[#This Row],[ED_High-End]]*WY_high/(365*LT),"Not Assessed")</f>
        <v>0</v>
      </c>
      <c r="Q9" s="322">
        <f>IFERROR(Dermal_Exp[[#This Row],[Central Tendency AD (mg/kg-day)]]*Dermal_Exp[[#This Row],[ED_Central Tendency]]*WY_mid/(365*LT),"Not Assessed")</f>
        <v>0</v>
      </c>
      <c r="Y9" s="1" t="s">
        <v>209</v>
      </c>
    </row>
    <row r="10" spans="1:25" ht="25.5">
      <c r="A10" s="325">
        <v>2</v>
      </c>
      <c r="B10" s="388" t="s">
        <v>212</v>
      </c>
      <c r="C10" s="280" t="s">
        <v>74</v>
      </c>
      <c r="D10" s="409">
        <f>'Inhalation Exposure'!E11</f>
        <v>250</v>
      </c>
      <c r="E10" s="409">
        <f>'Inhalation Exposure'!F11</f>
        <v>250</v>
      </c>
      <c r="F10" s="410">
        <v>1.1127999999999999E-2</v>
      </c>
      <c r="G10" s="410">
        <v>5.5639999999999995E-3</v>
      </c>
      <c r="H10" s="411"/>
      <c r="I10" s="411"/>
      <c r="J10" s="321">
        <f>MAX(Dermal_Exp[[#This Row],[High-End Exposure to Liquid]],Dermal_Exp[[#This Row],[High-End Exposure to Solids]])/(IF(Dermal_Exp[[#This Row],[Worker Type]]="Female of Reproductive Age",BW_F,BW_default))</f>
        <v>1.3909999999999999E-4</v>
      </c>
      <c r="K10" s="321">
        <f>MAX(Dermal_Exp[[#This Row],[ Central Tendency Exposure to Liquids]],Dermal_Exp[[#This Row],[Central Tendency  Exposure to Solids]])/(IF(Dermal_Exp[[#This Row],[Worker Type]]="Female of Reproductive Age",BW_F,BW_default))</f>
        <v>6.9549999999999996E-5</v>
      </c>
      <c r="L10" s="320">
        <f>IFERROR(Dermal_Exp[[#This Row],[High-End AD (mg/kg-day)]]*IF(Dermal_Exp[[#This Row],[ED_High-End]]&gt;EFID,EFID,Dermal_Exp[[#This Row],[ED_High-End]])/ID,"Not Assessed")</f>
        <v>1.0200666666666667E-4</v>
      </c>
      <c r="M10" s="320">
        <f>IFERROR(Dermal_Exp[[#This Row],[Central Tendency AD (mg/kg-day)]]*IF(Dermal_Exp[[#This Row],[ED_Central Tendency]]&gt;EFID,EFID,Dermal_Exp[[#This Row],[ED_Central Tendency]])/ID,"Not Assessed")</f>
        <v>5.1003333333333333E-5</v>
      </c>
      <c r="N10" s="328">
        <f>IFERROR(Dermal_Exp[[#This Row],[High-End AD (mg/kg-day)]]*Dermal_Exp[[#This Row],[ED_High-End]]*WY_high/(365*WY_high),"Not Assessed")</f>
        <v>9.5273972602739727E-5</v>
      </c>
      <c r="O10" s="328">
        <f>IFERROR(Dermal_Exp[[#This Row],[Central Tendency AD (mg/kg-day)]]*Dermal_Exp[[#This Row],[ED_Central Tendency]]*WY_mid/(365*WY_mid),"Not Assessed")</f>
        <v>4.7636986301369864E-5</v>
      </c>
      <c r="P10" s="328">
        <f>IFERROR(Dermal_Exp[[#This Row],[High-End AD (mg/kg-day)]]*Dermal_Exp[[#This Row],[ED_High-End]]*WY_high/(365*LT),"Not Assessed")</f>
        <v>4.8858447488584476E-5</v>
      </c>
      <c r="Q10" s="322">
        <f>IFERROR(Dermal_Exp[[#This Row],[Central Tendency AD (mg/kg-day)]]*Dermal_Exp[[#This Row],[ED_Central Tendency]]*WY_mid/(365*LT),"Not Assessed")</f>
        <v>1.8932648401826484E-5</v>
      </c>
    </row>
    <row r="11" spans="1:25" ht="25.5">
      <c r="A11" s="325">
        <v>2</v>
      </c>
      <c r="B11" s="386" t="s">
        <v>212</v>
      </c>
      <c r="C11" s="280" t="s">
        <v>206</v>
      </c>
      <c r="D11" s="409">
        <f>'Inhalation Exposure'!E12</f>
        <v>250</v>
      </c>
      <c r="E11" s="409">
        <f>'Inhalation Exposure'!F12</f>
        <v>250</v>
      </c>
      <c r="F11" s="410">
        <v>9.2559999999999986E-3</v>
      </c>
      <c r="G11" s="410">
        <v>4.6279999999999993E-3</v>
      </c>
      <c r="H11" s="411"/>
      <c r="I11" s="411"/>
      <c r="J11" s="321">
        <f>MAX(Dermal_Exp[[#This Row],[High-End Exposure to Liquid]],Dermal_Exp[[#This Row],[High-End Exposure to Solids]])/(IF(Dermal_Exp[[#This Row],[Worker Type]]="Female of Reproductive Age",BW_F,BW_default))</f>
        <v>1.2780117362789088E-4</v>
      </c>
      <c r="K11" s="321">
        <f>MAX(Dermal_Exp[[#This Row],[ Central Tendency Exposure to Liquids]],Dermal_Exp[[#This Row],[Central Tendency  Exposure to Solids]])/(IF(Dermal_Exp[[#This Row],[Worker Type]]="Female of Reproductive Age",BW_F,BW_default))</f>
        <v>6.3900586813945439E-5</v>
      </c>
      <c r="L11" s="320">
        <f>IFERROR(Dermal_Exp[[#This Row],[High-End AD (mg/kg-day)]]*IF(Dermal_Exp[[#This Row],[ED_High-End]]&gt;EFID,EFID,Dermal_Exp[[#This Row],[ED_High-End]])/ID,"Not Assessed")</f>
        <v>9.372086066045331E-5</v>
      </c>
      <c r="M11" s="320">
        <f>IFERROR(Dermal_Exp[[#This Row],[Central Tendency AD (mg/kg-day)]]*IF(Dermal_Exp[[#This Row],[ED_Central Tendency]]&gt;EFID,EFID,Dermal_Exp[[#This Row],[ED_Central Tendency]])/ID,"Not Assessed")</f>
        <v>4.6860430330226655E-5</v>
      </c>
      <c r="N11" s="307">
        <f>IFERROR(Dermal_Exp[[#This Row],[High-End AD (mg/kg-day)]]*Dermal_Exp[[#This Row],[ED_High-End]]*WY_high/(365*WY_high),"Not Assessed")</f>
        <v>8.7535050430062247E-5</v>
      </c>
      <c r="O11" s="307">
        <f>IFERROR(Dermal_Exp[[#This Row],[Central Tendency AD (mg/kg-day)]]*Dermal_Exp[[#This Row],[ED_Central Tendency]]*WY_mid/(365*WY_mid),"Not Assessed")</f>
        <v>4.3767525215031117E-5</v>
      </c>
      <c r="P11" s="307">
        <f>IFERROR(Dermal_Exp[[#This Row],[High-End AD (mg/kg-day)]]*Dermal_Exp[[#This Row],[ED_High-End]]*WY_high/(365*LT),"Not Assessed")</f>
        <v>4.4889769451313967E-5</v>
      </c>
      <c r="Q11" s="322">
        <f>IFERROR(Dermal_Exp[[#This Row],[Central Tendency AD (mg/kg-day)]]*Dermal_Exp[[#This Row],[ED_Central Tendency]]*WY_mid/(365*LT),"Not Assessed")</f>
        <v>1.7394785662384163E-5</v>
      </c>
      <c r="U11" s="1" t="s">
        <v>209</v>
      </c>
    </row>
    <row r="12" spans="1:25" ht="25.5">
      <c r="A12" s="325">
        <v>2</v>
      </c>
      <c r="B12" s="388" t="s">
        <v>212</v>
      </c>
      <c r="C12" s="280" t="s">
        <v>94</v>
      </c>
      <c r="D12" s="409">
        <f>'Inhalation Exposure'!E13</f>
        <v>250</v>
      </c>
      <c r="E12" s="409">
        <f>'Inhalation Exposure'!F13</f>
        <v>250</v>
      </c>
      <c r="F12" s="410"/>
      <c r="G12" s="410"/>
      <c r="H12" s="411"/>
      <c r="I12" s="411"/>
      <c r="J12" s="321">
        <f>MAX(Dermal_Exp[[#This Row],[High-End Exposure to Liquid]],Dermal_Exp[[#This Row],[High-End Exposure to Solids]])/(IF(Dermal_Exp[[#This Row],[Worker Type]]="Female of Reproductive Age",BW_F,BW_default))</f>
        <v>0</v>
      </c>
      <c r="K12" s="321">
        <f>MAX(Dermal_Exp[[#This Row],[ Central Tendency Exposure to Liquids]],Dermal_Exp[[#This Row],[Central Tendency  Exposure to Solids]])/(IF(Dermal_Exp[[#This Row],[Worker Type]]="Female of Reproductive Age",BW_F,BW_default))</f>
        <v>0</v>
      </c>
      <c r="L12" s="320">
        <f>IFERROR(Dermal_Exp[[#This Row],[High-End AD (mg/kg-day)]]*IF(Dermal_Exp[[#This Row],[ED_High-End]]&gt;EFID,EFID,Dermal_Exp[[#This Row],[ED_High-End]])/ID,"Not Assessed")</f>
        <v>0</v>
      </c>
      <c r="M12" s="320">
        <f>IFERROR(Dermal_Exp[[#This Row],[Central Tendency AD (mg/kg-day)]]*IF(Dermal_Exp[[#This Row],[ED_Central Tendency]]&gt;EFID,EFID,Dermal_Exp[[#This Row],[ED_Central Tendency]])/ID,"Not Assessed")</f>
        <v>0</v>
      </c>
      <c r="N12" s="307">
        <f>IFERROR(Dermal_Exp[[#This Row],[High-End AD (mg/kg-day)]]*Dermal_Exp[[#This Row],[ED_High-End]]*WY_high/(365*WY_high),"Not Assessed")</f>
        <v>0</v>
      </c>
      <c r="O12" s="307">
        <f>IFERROR(Dermal_Exp[[#This Row],[Central Tendency AD (mg/kg-day)]]*Dermal_Exp[[#This Row],[ED_Central Tendency]]*WY_mid/(365*WY_mid),"Not Assessed")</f>
        <v>0</v>
      </c>
      <c r="P12" s="307">
        <f>IFERROR(Dermal_Exp[[#This Row],[High-End AD (mg/kg-day)]]*Dermal_Exp[[#This Row],[ED_High-End]]*WY_high/(365*LT),"Not Assessed")</f>
        <v>0</v>
      </c>
      <c r="Q12" s="322">
        <f>IFERROR(Dermal_Exp[[#This Row],[Central Tendency AD (mg/kg-day)]]*Dermal_Exp[[#This Row],[ED_Central Tendency]]*WY_mid/(365*LT),"Not Assessed")</f>
        <v>0</v>
      </c>
    </row>
    <row r="13" spans="1:25" ht="15">
      <c r="A13" s="325">
        <v>2</v>
      </c>
      <c r="B13" s="388" t="s">
        <v>214</v>
      </c>
      <c r="C13" s="280" t="s">
        <v>74</v>
      </c>
      <c r="D13" s="409">
        <f>'Inhalation Exposure'!E14</f>
        <v>250</v>
      </c>
      <c r="E13" s="409">
        <f>'Inhalation Exposure'!F14</f>
        <v>250</v>
      </c>
      <c r="F13" s="410">
        <v>1.1127999999999999E-2</v>
      </c>
      <c r="G13" s="410">
        <v>5.5639999999999995E-3</v>
      </c>
      <c r="H13" s="411">
        <v>0.41088000000000002</v>
      </c>
      <c r="I13" s="411">
        <v>0.20544000000000001</v>
      </c>
      <c r="J13" s="321">
        <f>MAX(Dermal_Exp[[#This Row],[High-End Exposure to Liquid]],Dermal_Exp[[#This Row],[High-End Exposure to Solids]])/(IF(Dermal_Exp[[#This Row],[Worker Type]]="Female of Reproductive Age",BW_F,BW_default))</f>
        <v>5.1359999999999999E-3</v>
      </c>
      <c r="K13" s="321">
        <f>MAX(Dermal_Exp[[#This Row],[ Central Tendency Exposure to Liquids]],Dermal_Exp[[#This Row],[Central Tendency  Exposure to Solids]])/(IF(Dermal_Exp[[#This Row],[Worker Type]]="Female of Reproductive Age",BW_F,BW_default))</f>
        <v>2.568E-3</v>
      </c>
      <c r="L13" s="320">
        <f>IFERROR(Dermal_Exp[[#This Row],[High-End AD (mg/kg-day)]]*IF(Dermal_Exp[[#This Row],[ED_High-End]]&gt;EFID,EFID,Dermal_Exp[[#This Row],[ED_High-End]])/ID,"Not Assessed")</f>
        <v>3.7664E-3</v>
      </c>
      <c r="M13" s="320">
        <f>IFERROR(Dermal_Exp[[#This Row],[Central Tendency AD (mg/kg-day)]]*IF(Dermal_Exp[[#This Row],[ED_Central Tendency]]&gt;EFID,EFID,Dermal_Exp[[#This Row],[ED_Central Tendency]])/ID,"Not Assessed")</f>
        <v>1.8832E-3</v>
      </c>
      <c r="N13" s="307">
        <f>IFERROR(Dermal_Exp[[#This Row],[High-End AD (mg/kg-day)]]*Dermal_Exp[[#This Row],[ED_High-End]]*WY_high/(365*WY_high),"Not Assessed")</f>
        <v>3.5178082191780822E-3</v>
      </c>
      <c r="O13" s="307">
        <f>IFERROR(Dermal_Exp[[#This Row],[Central Tendency AD (mg/kg-day)]]*Dermal_Exp[[#This Row],[ED_Central Tendency]]*WY_mid/(365*WY_mid),"Not Assessed")</f>
        <v>1.7589041095890411E-3</v>
      </c>
      <c r="P13" s="307">
        <f>IFERROR(Dermal_Exp[[#This Row],[High-End AD (mg/kg-day)]]*Dermal_Exp[[#This Row],[ED_High-End]]*WY_high/(365*LT),"Not Assessed")</f>
        <v>1.804004214963119E-3</v>
      </c>
      <c r="Q13" s="322">
        <f>IFERROR(Dermal_Exp[[#This Row],[Central Tendency AD (mg/kg-day)]]*Dermal_Exp[[#This Row],[ED_Central Tendency]]*WY_mid/(365*LT),"Not Assessed")</f>
        <v>6.990516332982087E-4</v>
      </c>
    </row>
    <row r="14" spans="1:25" ht="15">
      <c r="A14" s="325">
        <v>2</v>
      </c>
      <c r="B14" s="386" t="s">
        <v>214</v>
      </c>
      <c r="C14" s="280" t="s">
        <v>206</v>
      </c>
      <c r="D14" s="409">
        <f>'Inhalation Exposure'!E15</f>
        <v>250</v>
      </c>
      <c r="E14" s="409">
        <f>'Inhalation Exposure'!F15</f>
        <v>250</v>
      </c>
      <c r="F14" s="410">
        <v>9.2559999999999986E-3</v>
      </c>
      <c r="G14" s="410">
        <v>4.6279999999999993E-3</v>
      </c>
      <c r="H14" s="411">
        <v>0.34176000000000001</v>
      </c>
      <c r="I14" s="411">
        <v>0.17088</v>
      </c>
      <c r="J14" s="321">
        <f>MAX(Dermal_Exp[[#This Row],[High-End Exposure to Liquid]],Dermal_Exp[[#This Row],[High-End Exposure to Solids]])/(IF(Dermal_Exp[[#This Row],[Worker Type]]="Female of Reproductive Age",BW_F,BW_default))</f>
        <v>4.718812564722126E-3</v>
      </c>
      <c r="K14" s="321">
        <f>MAX(Dermal_Exp[[#This Row],[ Central Tendency Exposure to Liquids]],Dermal_Exp[[#This Row],[Central Tendency  Exposure to Solids]])/(IF(Dermal_Exp[[#This Row],[Worker Type]]="Female of Reproductive Age",BW_F,BW_default))</f>
        <v>2.359406282361063E-3</v>
      </c>
      <c r="L14" s="320">
        <f>IFERROR(Dermal_Exp[[#This Row],[High-End AD (mg/kg-day)]]*IF(Dermal_Exp[[#This Row],[ED_High-End]]&gt;EFID,EFID,Dermal_Exp[[#This Row],[ED_High-End]])/ID,"Not Assessed")</f>
        <v>3.4604625474628924E-3</v>
      </c>
      <c r="M14" s="320">
        <f>IFERROR(Dermal_Exp[[#This Row],[Central Tendency AD (mg/kg-day)]]*IF(Dermal_Exp[[#This Row],[ED_Central Tendency]]&gt;EFID,EFID,Dermal_Exp[[#This Row],[ED_Central Tendency]])/ID,"Not Assessed")</f>
        <v>1.7302312737314462E-3</v>
      </c>
      <c r="N14" s="328">
        <f>IFERROR(Dermal_Exp[[#This Row],[High-End AD (mg/kg-day)]]*Dermal_Exp[[#This Row],[ED_High-End]]*WY_high/(365*WY_high),"Not Assessed")</f>
        <v>3.2320634004946065E-3</v>
      </c>
      <c r="O14" s="328">
        <f>IFERROR(Dermal_Exp[[#This Row],[Central Tendency AD (mg/kg-day)]]*Dermal_Exp[[#This Row],[ED_Central Tendency]]*WY_mid/(365*WY_mid),"Not Assessed")</f>
        <v>1.6160317002473033E-3</v>
      </c>
      <c r="P14" s="328">
        <f>IFERROR(Dermal_Exp[[#This Row],[High-End AD (mg/kg-day)]]*Dermal_Exp[[#This Row],[ED_High-End]]*WY_high/(365*LT),"Not Assessed")</f>
        <v>1.6574684105100546E-3</v>
      </c>
      <c r="Q14" s="322">
        <f>IFERROR(Dermal_Exp[[#This Row],[Central Tendency AD (mg/kg-day)]]*Dermal_Exp[[#This Row],[ED_Central Tendency]]*WY_mid/(365*LT),"Not Assessed")</f>
        <v>6.4226900907264617E-4</v>
      </c>
    </row>
    <row r="15" spans="1:25" ht="15">
      <c r="A15" s="325">
        <v>2</v>
      </c>
      <c r="B15" s="388" t="s">
        <v>214</v>
      </c>
      <c r="C15" s="280" t="s">
        <v>94</v>
      </c>
      <c r="D15" s="409">
        <f>'Inhalation Exposure'!E16</f>
        <v>250</v>
      </c>
      <c r="E15" s="409">
        <f>'Inhalation Exposure'!F16</f>
        <v>250</v>
      </c>
      <c r="F15" s="410"/>
      <c r="G15" s="410"/>
      <c r="H15" s="410">
        <v>0.20544000000000001</v>
      </c>
      <c r="I15" s="410">
        <v>0.20544000000000001</v>
      </c>
      <c r="J15" s="321">
        <f>MAX(Dermal_Exp[[#This Row],[High-End Exposure to Liquid]],Dermal_Exp[[#This Row],[High-End Exposure to Solids]])/(IF(Dermal_Exp[[#This Row],[Worker Type]]="Female of Reproductive Age",BW_F,BW_default))</f>
        <v>2.568E-3</v>
      </c>
      <c r="K15" s="321">
        <f>MAX(Dermal_Exp[[#This Row],[ Central Tendency Exposure to Liquids]],Dermal_Exp[[#This Row],[Central Tendency  Exposure to Solids]])/(IF(Dermal_Exp[[#This Row],[Worker Type]]="Female of Reproductive Age",BW_F,BW_default))</f>
        <v>2.568E-3</v>
      </c>
      <c r="L15" s="320">
        <f>IFERROR(Dermal_Exp[[#This Row],[High-End AD (mg/kg-day)]]*IF(Dermal_Exp[[#This Row],[ED_High-End]]&gt;EFID,EFID,Dermal_Exp[[#This Row],[ED_High-End]])/ID,"Not Assessed")</f>
        <v>1.8832E-3</v>
      </c>
      <c r="M15" s="320">
        <f>IFERROR(Dermal_Exp[[#This Row],[Central Tendency AD (mg/kg-day)]]*IF(Dermal_Exp[[#This Row],[ED_Central Tendency]]&gt;EFID,EFID,Dermal_Exp[[#This Row],[ED_Central Tendency]])/ID,"Not Assessed")</f>
        <v>1.8832E-3</v>
      </c>
      <c r="N15" s="307">
        <f>IFERROR(Dermal_Exp[[#This Row],[High-End AD (mg/kg-day)]]*Dermal_Exp[[#This Row],[ED_High-End]]*WY_high/(365*WY_high),"Not Assessed")</f>
        <v>1.7589041095890411E-3</v>
      </c>
      <c r="O15" s="307">
        <f>IFERROR(Dermal_Exp[[#This Row],[Central Tendency AD (mg/kg-day)]]*Dermal_Exp[[#This Row],[ED_Central Tendency]]*WY_mid/(365*WY_mid),"Not Assessed")</f>
        <v>1.7589041095890411E-3</v>
      </c>
      <c r="P15" s="307">
        <f>IFERROR(Dermal_Exp[[#This Row],[High-End AD (mg/kg-day)]]*Dermal_Exp[[#This Row],[ED_High-End]]*WY_high/(365*LT),"Not Assessed")</f>
        <v>9.0200210748155952E-4</v>
      </c>
      <c r="Q15" s="322">
        <f>IFERROR(Dermal_Exp[[#This Row],[Central Tendency AD (mg/kg-day)]]*Dermal_Exp[[#This Row],[ED_Central Tendency]]*WY_mid/(365*LT),"Not Assessed")</f>
        <v>6.990516332982087E-4</v>
      </c>
    </row>
    <row r="16" spans="1:25" ht="15">
      <c r="A16" s="325">
        <v>2</v>
      </c>
      <c r="B16" s="388" t="s">
        <v>73</v>
      </c>
      <c r="C16" s="280" t="s">
        <v>74</v>
      </c>
      <c r="D16" s="409">
        <f>'Inhalation Exposure'!E17</f>
        <v>250</v>
      </c>
      <c r="E16" s="409">
        <f>'Inhalation Exposure'!F17</f>
        <v>250</v>
      </c>
      <c r="F16" s="410"/>
      <c r="G16" s="410"/>
      <c r="H16" s="411">
        <v>0.41088000000000002</v>
      </c>
      <c r="I16" s="411">
        <v>0.20544000000000001</v>
      </c>
      <c r="J16" s="321">
        <f>MAX(Dermal_Exp[[#This Row],[High-End Exposure to Liquid]],Dermal_Exp[[#This Row],[High-End Exposure to Solids]])/(IF(Dermal_Exp[[#This Row],[Worker Type]]="Female of Reproductive Age",BW_F,BW_default))</f>
        <v>5.1359999999999999E-3</v>
      </c>
      <c r="K16" s="321">
        <f>MAX(Dermal_Exp[[#This Row],[ Central Tendency Exposure to Liquids]],Dermal_Exp[[#This Row],[Central Tendency  Exposure to Solids]])/(IF(Dermal_Exp[[#This Row],[Worker Type]]="Female of Reproductive Age",BW_F,BW_default))</f>
        <v>2.568E-3</v>
      </c>
      <c r="L16" s="320">
        <f>IFERROR(Dermal_Exp[[#This Row],[High-End AD (mg/kg-day)]]*IF(Dermal_Exp[[#This Row],[ED_High-End]]&gt;EFID,EFID,Dermal_Exp[[#This Row],[ED_High-End]])/ID,"Not Assessed")</f>
        <v>3.7664E-3</v>
      </c>
      <c r="M16" s="320">
        <f>IFERROR(Dermal_Exp[[#This Row],[Central Tendency AD (mg/kg-day)]]*IF(Dermal_Exp[[#This Row],[ED_Central Tendency]]&gt;EFID,EFID,Dermal_Exp[[#This Row],[ED_Central Tendency]])/ID,"Not Assessed")</f>
        <v>1.8832E-3</v>
      </c>
      <c r="N16" s="307">
        <f>IFERROR(Dermal_Exp[[#This Row],[High-End AD (mg/kg-day)]]*Dermal_Exp[[#This Row],[ED_High-End]]*WY_high/(365*WY_high),"Not Assessed")</f>
        <v>3.5178082191780822E-3</v>
      </c>
      <c r="O16" s="307">
        <f>IFERROR(Dermal_Exp[[#This Row],[Central Tendency AD (mg/kg-day)]]*Dermal_Exp[[#This Row],[ED_Central Tendency]]*WY_mid/(365*WY_mid),"Not Assessed")</f>
        <v>1.7589041095890411E-3</v>
      </c>
      <c r="P16" s="307">
        <f>IFERROR(Dermal_Exp[[#This Row],[High-End AD (mg/kg-day)]]*Dermal_Exp[[#This Row],[ED_High-End]]*WY_high/(365*LT),"Not Assessed")</f>
        <v>1.804004214963119E-3</v>
      </c>
      <c r="Q16" s="322">
        <f>IFERROR(Dermal_Exp[[#This Row],[Central Tendency AD (mg/kg-day)]]*Dermal_Exp[[#This Row],[ED_Central Tendency]]*WY_mid/(365*LT),"Not Assessed")</f>
        <v>6.990516332982087E-4</v>
      </c>
    </row>
    <row r="17" spans="1:23" ht="15">
      <c r="A17" s="325">
        <v>2</v>
      </c>
      <c r="B17" s="386" t="s">
        <v>73</v>
      </c>
      <c r="C17" s="280" t="s">
        <v>206</v>
      </c>
      <c r="D17" s="409">
        <f>'Inhalation Exposure'!E18</f>
        <v>250</v>
      </c>
      <c r="E17" s="409">
        <f>'Inhalation Exposure'!F18</f>
        <v>250</v>
      </c>
      <c r="F17" s="410"/>
      <c r="G17" s="410"/>
      <c r="H17" s="411">
        <v>0.34176000000000001</v>
      </c>
      <c r="I17" s="411">
        <v>0.17088</v>
      </c>
      <c r="J17" s="321">
        <f>MAX(Dermal_Exp[[#This Row],[High-End Exposure to Liquid]],Dermal_Exp[[#This Row],[High-End Exposure to Solids]])/(IF(Dermal_Exp[[#This Row],[Worker Type]]="Female of Reproductive Age",BW_F,BW_default))</f>
        <v>4.718812564722126E-3</v>
      </c>
      <c r="K17" s="321">
        <f>MAX(Dermal_Exp[[#This Row],[ Central Tendency Exposure to Liquids]],Dermal_Exp[[#This Row],[Central Tendency  Exposure to Solids]])/(IF(Dermal_Exp[[#This Row],[Worker Type]]="Female of Reproductive Age",BW_F,BW_default))</f>
        <v>2.359406282361063E-3</v>
      </c>
      <c r="L17" s="320">
        <f>IFERROR(Dermal_Exp[[#This Row],[High-End AD (mg/kg-day)]]*IF(Dermal_Exp[[#This Row],[ED_High-End]]&gt;EFID,EFID,Dermal_Exp[[#This Row],[ED_High-End]])/ID,"Not Assessed")</f>
        <v>3.4604625474628924E-3</v>
      </c>
      <c r="M17" s="320">
        <f>IFERROR(Dermal_Exp[[#This Row],[Central Tendency AD (mg/kg-day)]]*IF(Dermal_Exp[[#This Row],[ED_Central Tendency]]&gt;EFID,EFID,Dermal_Exp[[#This Row],[ED_Central Tendency]])/ID,"Not Assessed")</f>
        <v>1.7302312737314462E-3</v>
      </c>
      <c r="N17" s="307">
        <f>IFERROR(Dermal_Exp[[#This Row],[High-End AD (mg/kg-day)]]*Dermal_Exp[[#This Row],[ED_High-End]]*WY_high/(365*WY_high),"Not Assessed")</f>
        <v>3.2320634004946065E-3</v>
      </c>
      <c r="O17" s="307">
        <f>IFERROR(Dermal_Exp[[#This Row],[Central Tendency AD (mg/kg-day)]]*Dermal_Exp[[#This Row],[ED_Central Tendency]]*WY_mid/(365*WY_mid),"Not Assessed")</f>
        <v>1.6160317002473033E-3</v>
      </c>
      <c r="P17" s="307">
        <f>IFERROR(Dermal_Exp[[#This Row],[High-End AD (mg/kg-day)]]*Dermal_Exp[[#This Row],[ED_High-End]]*WY_high/(365*LT),"Not Assessed")</f>
        <v>1.6574684105100546E-3</v>
      </c>
      <c r="Q17" s="322">
        <f>IFERROR(Dermal_Exp[[#This Row],[Central Tendency AD (mg/kg-day)]]*Dermal_Exp[[#This Row],[ED_Central Tendency]]*WY_mid/(365*LT),"Not Assessed")</f>
        <v>6.4226900907264617E-4</v>
      </c>
    </row>
    <row r="18" spans="1:23" ht="15">
      <c r="A18" s="325">
        <v>2</v>
      </c>
      <c r="B18" s="388" t="s">
        <v>73</v>
      </c>
      <c r="C18" s="280" t="s">
        <v>94</v>
      </c>
      <c r="D18" s="409">
        <f>'Inhalation Exposure'!E19</f>
        <v>250</v>
      </c>
      <c r="E18" s="409">
        <f>'Inhalation Exposure'!F19</f>
        <v>250</v>
      </c>
      <c r="F18" s="410"/>
      <c r="G18" s="410"/>
      <c r="H18" s="410">
        <v>0.20544000000000001</v>
      </c>
      <c r="I18" s="410">
        <v>0.20544000000000001</v>
      </c>
      <c r="J18" s="321">
        <f>MAX(Dermal_Exp[[#This Row],[High-End Exposure to Liquid]],Dermal_Exp[[#This Row],[High-End Exposure to Solids]])/(IF(Dermal_Exp[[#This Row],[Worker Type]]="Female of Reproductive Age",BW_F,BW_default))</f>
        <v>2.568E-3</v>
      </c>
      <c r="K18" s="321">
        <f>MAX(Dermal_Exp[[#This Row],[ Central Tendency Exposure to Liquids]],Dermal_Exp[[#This Row],[Central Tendency  Exposure to Solids]])/(IF(Dermal_Exp[[#This Row],[Worker Type]]="Female of Reproductive Age",BW_F,BW_default))</f>
        <v>2.568E-3</v>
      </c>
      <c r="L18" s="320">
        <f>IFERROR(Dermal_Exp[[#This Row],[High-End AD (mg/kg-day)]]*IF(Dermal_Exp[[#This Row],[ED_High-End]]&gt;EFID,EFID,Dermal_Exp[[#This Row],[ED_High-End]])/ID,"Not Assessed")</f>
        <v>1.8832E-3</v>
      </c>
      <c r="M18" s="320">
        <f>IFERROR(Dermal_Exp[[#This Row],[Central Tendency AD (mg/kg-day)]]*IF(Dermal_Exp[[#This Row],[ED_Central Tendency]]&gt;EFID,EFID,Dermal_Exp[[#This Row],[ED_Central Tendency]])/ID,"Not Assessed")</f>
        <v>1.8832E-3</v>
      </c>
      <c r="N18" s="307">
        <f>IFERROR(Dermal_Exp[[#This Row],[High-End AD (mg/kg-day)]]*Dermal_Exp[[#This Row],[ED_High-End]]*WY_high/(365*WY_high),"Not Assessed")</f>
        <v>1.7589041095890411E-3</v>
      </c>
      <c r="O18" s="307">
        <f>IFERROR(Dermal_Exp[[#This Row],[Central Tendency AD (mg/kg-day)]]*Dermal_Exp[[#This Row],[ED_Central Tendency]]*WY_mid/(365*WY_mid),"Not Assessed")</f>
        <v>1.7589041095890411E-3</v>
      </c>
      <c r="P18" s="307">
        <f>IFERROR(Dermal_Exp[[#This Row],[High-End AD (mg/kg-day)]]*Dermal_Exp[[#This Row],[ED_High-End]]*WY_high/(365*LT),"Not Assessed")</f>
        <v>9.0200210748155952E-4</v>
      </c>
      <c r="Q18" s="322">
        <f>IFERROR(Dermal_Exp[[#This Row],[Central Tendency AD (mg/kg-day)]]*Dermal_Exp[[#This Row],[ED_Central Tendency]]*WY_mid/(365*LT),"Not Assessed")</f>
        <v>6.990516332982087E-4</v>
      </c>
    </row>
    <row r="19" spans="1:23" ht="15">
      <c r="A19" s="325">
        <v>3</v>
      </c>
      <c r="B19" s="388" t="s">
        <v>142</v>
      </c>
      <c r="C19" s="280" t="s">
        <v>74</v>
      </c>
      <c r="D19" s="409">
        <f>'Inhalation Exposure'!E20</f>
        <v>250</v>
      </c>
      <c r="E19" s="409">
        <f>'Inhalation Exposure'!F20</f>
        <v>250</v>
      </c>
      <c r="F19" s="410">
        <v>1.1127999999999999E-2</v>
      </c>
      <c r="G19" s="410">
        <v>5.5639999999999995E-3</v>
      </c>
      <c r="H19" s="411">
        <v>0.41088000000000002</v>
      </c>
      <c r="I19" s="411">
        <v>0.20544000000000001</v>
      </c>
      <c r="J19" s="321">
        <f>MAX(Dermal_Exp[[#This Row],[High-End Exposure to Liquid]],Dermal_Exp[[#This Row],[High-End Exposure to Solids]])/(IF(Dermal_Exp[[#This Row],[Worker Type]]="Female of Reproductive Age",BW_F,BW_default))</f>
        <v>5.1359999999999999E-3</v>
      </c>
      <c r="K19" s="321">
        <f>MAX(Dermal_Exp[[#This Row],[ Central Tendency Exposure to Liquids]],Dermal_Exp[[#This Row],[Central Tendency  Exposure to Solids]])/(IF(Dermal_Exp[[#This Row],[Worker Type]]="Female of Reproductive Age",BW_F,BW_default))</f>
        <v>2.568E-3</v>
      </c>
      <c r="L19" s="320">
        <f>IFERROR(Dermal_Exp[[#This Row],[High-End AD (mg/kg-day)]]*IF(Dermal_Exp[[#This Row],[ED_High-End]]&gt;EFID,EFID,Dermal_Exp[[#This Row],[ED_High-End]])/ID,"Not Assessed")</f>
        <v>3.7664E-3</v>
      </c>
      <c r="M19" s="320">
        <f>IFERROR(Dermal_Exp[[#This Row],[Central Tendency AD (mg/kg-day)]]*IF(Dermal_Exp[[#This Row],[ED_Central Tendency]]&gt;EFID,EFID,Dermal_Exp[[#This Row],[ED_Central Tendency]])/ID,"Not Assessed")</f>
        <v>1.8832E-3</v>
      </c>
      <c r="N19" s="328">
        <f>IFERROR(Dermal_Exp[[#This Row],[High-End AD (mg/kg-day)]]*Dermal_Exp[[#This Row],[ED_High-End]]*WY_high/(365*WY_high),"Not Assessed")</f>
        <v>3.5178082191780822E-3</v>
      </c>
      <c r="O19" s="328">
        <f>IFERROR(Dermal_Exp[[#This Row],[Central Tendency AD (mg/kg-day)]]*Dermal_Exp[[#This Row],[ED_Central Tendency]]*WY_mid/(365*WY_mid),"Not Assessed")</f>
        <v>1.7589041095890411E-3</v>
      </c>
      <c r="P19" s="328">
        <f>IFERROR(Dermal_Exp[[#This Row],[High-End AD (mg/kg-day)]]*Dermal_Exp[[#This Row],[ED_High-End]]*WY_high/(365*LT),"Not Assessed")</f>
        <v>1.804004214963119E-3</v>
      </c>
      <c r="Q19" s="322">
        <f>IFERROR(Dermal_Exp[[#This Row],[Central Tendency AD (mg/kg-day)]]*Dermal_Exp[[#This Row],[ED_Central Tendency]]*WY_mid/(365*LT),"Not Assessed")</f>
        <v>6.990516332982087E-4</v>
      </c>
    </row>
    <row r="20" spans="1:23" ht="15">
      <c r="A20" s="325">
        <v>3</v>
      </c>
      <c r="B20" s="386" t="s">
        <v>142</v>
      </c>
      <c r="C20" s="280" t="s">
        <v>206</v>
      </c>
      <c r="D20" s="409">
        <f>'Inhalation Exposure'!E21</f>
        <v>250</v>
      </c>
      <c r="E20" s="409">
        <f>'Inhalation Exposure'!F21</f>
        <v>250</v>
      </c>
      <c r="F20" s="410">
        <v>9.2559999999999986E-3</v>
      </c>
      <c r="G20" s="410">
        <v>4.6279999999999993E-3</v>
      </c>
      <c r="H20" s="411">
        <v>0.34176000000000001</v>
      </c>
      <c r="I20" s="411">
        <v>0.17088</v>
      </c>
      <c r="J20" s="321">
        <f>MAX(Dermal_Exp[[#This Row],[High-End Exposure to Liquid]],Dermal_Exp[[#This Row],[High-End Exposure to Solids]])/(IF(Dermal_Exp[[#This Row],[Worker Type]]="Female of Reproductive Age",BW_F,BW_default))</f>
        <v>4.718812564722126E-3</v>
      </c>
      <c r="K20" s="321">
        <f>MAX(Dermal_Exp[[#This Row],[ Central Tendency Exposure to Liquids]],Dermal_Exp[[#This Row],[Central Tendency  Exposure to Solids]])/(IF(Dermal_Exp[[#This Row],[Worker Type]]="Female of Reproductive Age",BW_F,BW_default))</f>
        <v>2.359406282361063E-3</v>
      </c>
      <c r="L20" s="320">
        <f>IFERROR(Dermal_Exp[[#This Row],[High-End AD (mg/kg-day)]]*IF(Dermal_Exp[[#This Row],[ED_High-End]]&gt;EFID,EFID,Dermal_Exp[[#This Row],[ED_High-End]])/ID,"Not Assessed")</f>
        <v>3.4604625474628924E-3</v>
      </c>
      <c r="M20" s="320">
        <f>IFERROR(Dermal_Exp[[#This Row],[Central Tendency AD (mg/kg-day)]]*IF(Dermal_Exp[[#This Row],[ED_Central Tendency]]&gt;EFID,EFID,Dermal_Exp[[#This Row],[ED_Central Tendency]])/ID,"Not Assessed")</f>
        <v>1.7302312737314462E-3</v>
      </c>
      <c r="N20" s="307">
        <f>IFERROR(Dermal_Exp[[#This Row],[High-End AD (mg/kg-day)]]*Dermal_Exp[[#This Row],[ED_High-End]]*WY_high/(365*WY_high),"Not Assessed")</f>
        <v>3.2320634004946065E-3</v>
      </c>
      <c r="O20" s="307">
        <f>IFERROR(Dermal_Exp[[#This Row],[Central Tendency AD (mg/kg-day)]]*Dermal_Exp[[#This Row],[ED_Central Tendency]]*WY_mid/(365*WY_mid),"Not Assessed")</f>
        <v>1.6160317002473033E-3</v>
      </c>
      <c r="P20" s="307">
        <f>IFERROR(Dermal_Exp[[#This Row],[High-End AD (mg/kg-day)]]*Dermal_Exp[[#This Row],[ED_High-End]]*WY_high/(365*LT),"Not Assessed")</f>
        <v>1.6574684105100546E-3</v>
      </c>
      <c r="Q20" s="322">
        <f>IFERROR(Dermal_Exp[[#This Row],[Central Tendency AD (mg/kg-day)]]*Dermal_Exp[[#This Row],[ED_Central Tendency]]*WY_mid/(365*LT),"Not Assessed")</f>
        <v>6.4226900907264617E-4</v>
      </c>
    </row>
    <row r="21" spans="1:23" ht="15">
      <c r="A21" s="325">
        <v>3</v>
      </c>
      <c r="B21" s="388" t="s">
        <v>142</v>
      </c>
      <c r="C21" s="280" t="s">
        <v>94</v>
      </c>
      <c r="D21" s="409">
        <f>'Inhalation Exposure'!E22</f>
        <v>250</v>
      </c>
      <c r="E21" s="409">
        <f>'Inhalation Exposure'!F22</f>
        <v>250</v>
      </c>
      <c r="F21" s="410"/>
      <c r="G21" s="410"/>
      <c r="H21" s="410">
        <v>0.20544000000000001</v>
      </c>
      <c r="I21" s="410">
        <v>0.20544000000000001</v>
      </c>
      <c r="J21" s="321">
        <f>MAX(Dermal_Exp[[#This Row],[High-End Exposure to Liquid]],Dermal_Exp[[#This Row],[High-End Exposure to Solids]])/(IF(Dermal_Exp[[#This Row],[Worker Type]]="Female of Reproductive Age",BW_F,BW_default))</f>
        <v>2.568E-3</v>
      </c>
      <c r="K21" s="321">
        <f>MAX(Dermal_Exp[[#This Row],[ Central Tendency Exposure to Liquids]],Dermal_Exp[[#This Row],[Central Tendency  Exposure to Solids]])/(IF(Dermal_Exp[[#This Row],[Worker Type]]="Female of Reproductive Age",BW_F,BW_default))</f>
        <v>2.568E-3</v>
      </c>
      <c r="L21" s="320">
        <f>IFERROR(Dermal_Exp[[#This Row],[High-End AD (mg/kg-day)]]*IF(Dermal_Exp[[#This Row],[ED_High-End]]&gt;EFID,EFID,Dermal_Exp[[#This Row],[ED_High-End]])/ID,"Not Assessed")</f>
        <v>1.8832E-3</v>
      </c>
      <c r="M21" s="320">
        <f>IFERROR(Dermal_Exp[[#This Row],[Central Tendency AD (mg/kg-day)]]*IF(Dermal_Exp[[#This Row],[ED_Central Tendency]]&gt;EFID,EFID,Dermal_Exp[[#This Row],[ED_Central Tendency]])/ID,"Not Assessed")</f>
        <v>1.8832E-3</v>
      </c>
      <c r="N21" s="328">
        <f>IFERROR(Dermal_Exp[[#This Row],[High-End AD (mg/kg-day)]]*Dermal_Exp[[#This Row],[ED_High-End]]*WY_high/(365*WY_high),"Not Assessed")</f>
        <v>1.7589041095890411E-3</v>
      </c>
      <c r="O21" s="328">
        <f>IFERROR(Dermal_Exp[[#This Row],[Central Tendency AD (mg/kg-day)]]*Dermal_Exp[[#This Row],[ED_Central Tendency]]*WY_mid/(365*WY_mid),"Not Assessed")</f>
        <v>1.7589041095890411E-3</v>
      </c>
      <c r="P21" s="328">
        <f>IFERROR(Dermal_Exp[[#This Row],[High-End AD (mg/kg-day)]]*Dermal_Exp[[#This Row],[ED_High-End]]*WY_high/(365*LT),"Not Assessed")</f>
        <v>9.0200210748155952E-4</v>
      </c>
      <c r="Q21" s="322">
        <f>IFERROR(Dermal_Exp[[#This Row],[Central Tendency AD (mg/kg-day)]]*Dermal_Exp[[#This Row],[ED_Central Tendency]]*WY_mid/(365*LT),"Not Assessed")</f>
        <v>6.990516332982087E-4</v>
      </c>
    </row>
    <row r="22" spans="1:23" ht="25.5">
      <c r="A22" s="325">
        <v>3</v>
      </c>
      <c r="B22" s="388" t="s">
        <v>219</v>
      </c>
      <c r="C22" s="280" t="s">
        <v>74</v>
      </c>
      <c r="D22" s="409">
        <f>'Inhalation Exposure'!E23</f>
        <v>250</v>
      </c>
      <c r="E22" s="409">
        <f>'Inhalation Exposure'!F23</f>
        <v>250</v>
      </c>
      <c r="F22" s="410">
        <v>0.21400000000000002</v>
      </c>
      <c r="G22" s="410">
        <v>0.10700000000000001</v>
      </c>
      <c r="H22" s="411"/>
      <c r="I22" s="411"/>
      <c r="J22" s="321">
        <f>MAX(Dermal_Exp[[#This Row],[High-End Exposure to Liquid]],Dermal_Exp[[#This Row],[High-End Exposure to Solids]])/(IF(Dermal_Exp[[#This Row],[Worker Type]]="Female of Reproductive Age",BW_F,BW_default))</f>
        <v>2.6750000000000003E-3</v>
      </c>
      <c r="K22" s="321">
        <f>MAX(Dermal_Exp[[#This Row],[ Central Tendency Exposure to Liquids]],Dermal_Exp[[#This Row],[Central Tendency  Exposure to Solids]])/(IF(Dermal_Exp[[#This Row],[Worker Type]]="Female of Reproductive Age",BW_F,BW_default))</f>
        <v>1.3375000000000001E-3</v>
      </c>
      <c r="L22" s="320">
        <f>IFERROR(Dermal_Exp[[#This Row],[High-End AD (mg/kg-day)]]*IF(Dermal_Exp[[#This Row],[ED_High-End]]&gt;EFID,EFID,Dermal_Exp[[#This Row],[ED_High-End]])/ID,"Not Assessed")</f>
        <v>1.9616666666666667E-3</v>
      </c>
      <c r="M22" s="320">
        <f>IFERROR(Dermal_Exp[[#This Row],[Central Tendency AD (mg/kg-day)]]*IF(Dermal_Exp[[#This Row],[ED_Central Tendency]]&gt;EFID,EFID,Dermal_Exp[[#This Row],[ED_Central Tendency]])/ID,"Not Assessed")</f>
        <v>9.8083333333333334E-4</v>
      </c>
      <c r="N22" s="307">
        <f>IFERROR(Dermal_Exp[[#This Row],[High-End AD (mg/kg-day)]]*Dermal_Exp[[#This Row],[ED_High-End]]*WY_high/(365*WY_high),"Not Assessed")</f>
        <v>1.8321917808219181E-3</v>
      </c>
      <c r="O22" s="307">
        <f>IFERROR(Dermal_Exp[[#This Row],[Central Tendency AD (mg/kg-day)]]*Dermal_Exp[[#This Row],[ED_Central Tendency]]*WY_mid/(365*WY_mid),"Not Assessed")</f>
        <v>9.1609589041095907E-4</v>
      </c>
      <c r="P22" s="307">
        <f>IFERROR(Dermal_Exp[[#This Row],[High-End AD (mg/kg-day)]]*Dermal_Exp[[#This Row],[ED_High-End]]*WY_high/(365*LT),"Not Assessed")</f>
        <v>9.3958552862662462E-4</v>
      </c>
      <c r="Q22" s="322">
        <f>IFERROR(Dermal_Exp[[#This Row],[Central Tendency AD (mg/kg-day)]]*Dermal_Exp[[#This Row],[ED_Central Tendency]]*WY_mid/(365*LT),"Not Assessed")</f>
        <v>3.6408939234281704E-4</v>
      </c>
    </row>
    <row r="23" spans="1:23" ht="25.5">
      <c r="A23" s="325">
        <v>3</v>
      </c>
      <c r="B23" s="388" t="s">
        <v>219</v>
      </c>
      <c r="C23" s="280" t="s">
        <v>206</v>
      </c>
      <c r="D23" s="409">
        <f>'Inhalation Exposure'!E24</f>
        <v>250</v>
      </c>
      <c r="E23" s="409">
        <f>'Inhalation Exposure'!F24</f>
        <v>250</v>
      </c>
      <c r="F23" s="412">
        <v>0.17800000000000002</v>
      </c>
      <c r="G23" s="412">
        <v>8.900000000000001E-2</v>
      </c>
      <c r="H23" s="411"/>
      <c r="I23" s="411"/>
      <c r="J23" s="321">
        <f>MAX(Dermal_Exp[[#This Row],[High-End Exposure to Liquid]],Dermal_Exp[[#This Row],[High-End Exposure to Solids]])/(IF(Dermal_Exp[[#This Row],[Worker Type]]="Female of Reproductive Age",BW_F,BW_default))</f>
        <v>2.4577148774594408E-3</v>
      </c>
      <c r="K23" s="321">
        <f>MAX(Dermal_Exp[[#This Row],[ Central Tendency Exposure to Liquids]],Dermal_Exp[[#This Row],[Central Tendency  Exposure to Solids]])/(IF(Dermal_Exp[[#This Row],[Worker Type]]="Female of Reproductive Age",BW_F,BW_default))</f>
        <v>1.2288574387297204E-3</v>
      </c>
      <c r="L23" s="320">
        <f>IFERROR(Dermal_Exp[[#This Row],[High-End AD (mg/kg-day)]]*IF(Dermal_Exp[[#This Row],[ED_High-End]]&gt;EFID,EFID,Dermal_Exp[[#This Row],[ED_High-End]])/ID,"Not Assessed")</f>
        <v>1.8023242434702564E-3</v>
      </c>
      <c r="M23" s="320">
        <f>IFERROR(Dermal_Exp[[#This Row],[Central Tendency AD (mg/kg-day)]]*IF(Dermal_Exp[[#This Row],[ED_Central Tendency]]&gt;EFID,EFID,Dermal_Exp[[#This Row],[ED_Central Tendency]])/ID,"Not Assessed")</f>
        <v>9.0116212173512822E-4</v>
      </c>
      <c r="N23" s="328">
        <f>IFERROR(Dermal_Exp[[#This Row],[High-End AD (mg/kg-day)]]*Dermal_Exp[[#This Row],[ED_High-End]]*WY_high/(365*WY_high),"Not Assessed")</f>
        <v>1.6833663544242746E-3</v>
      </c>
      <c r="O23" s="328">
        <f>IFERROR(Dermal_Exp[[#This Row],[Central Tendency AD (mg/kg-day)]]*Dermal_Exp[[#This Row],[ED_Central Tendency]]*WY_mid/(365*WY_mid),"Not Assessed")</f>
        <v>8.416831772121373E-4</v>
      </c>
      <c r="P23" s="328">
        <f>IFERROR(Dermal_Exp[[#This Row],[High-End AD (mg/kg-day)]]*Dermal_Exp[[#This Row],[ED_High-End]]*WY_high/(365*LT),"Not Assessed")</f>
        <v>8.632647971406536E-4</v>
      </c>
      <c r="Q23" s="322">
        <f>IFERROR(Dermal_Exp[[#This Row],[Central Tendency AD (mg/kg-day)]]*Dermal_Exp[[#This Row],[ED_Central Tendency]]*WY_mid/(365*LT),"Not Assessed")</f>
        <v>3.3451510889200329E-4</v>
      </c>
    </row>
    <row r="24" spans="1:23" ht="25.5">
      <c r="A24" s="325">
        <v>3</v>
      </c>
      <c r="B24" s="388" t="s">
        <v>219</v>
      </c>
      <c r="C24" s="280" t="s">
        <v>94</v>
      </c>
      <c r="D24" s="409">
        <f>'Inhalation Exposure'!E25</f>
        <v>250</v>
      </c>
      <c r="E24" s="409">
        <f>'Inhalation Exposure'!F25</f>
        <v>250</v>
      </c>
      <c r="F24" s="410">
        <v>0.10700000000000001</v>
      </c>
      <c r="G24" s="410">
        <v>0.10700000000000001</v>
      </c>
      <c r="H24" s="411"/>
      <c r="I24" s="411"/>
      <c r="J24" s="321">
        <f>MAX(Dermal_Exp[[#This Row],[High-End Exposure to Liquid]],Dermal_Exp[[#This Row],[High-End Exposure to Solids]])/(IF(Dermal_Exp[[#This Row],[Worker Type]]="Female of Reproductive Age",BW_F,BW_default))</f>
        <v>1.3375000000000001E-3</v>
      </c>
      <c r="K24" s="321">
        <f>MAX(Dermal_Exp[[#This Row],[ Central Tendency Exposure to Liquids]],Dermal_Exp[[#This Row],[Central Tendency  Exposure to Solids]])/(IF(Dermal_Exp[[#This Row],[Worker Type]]="Female of Reproductive Age",BW_F,BW_default))</f>
        <v>1.3375000000000001E-3</v>
      </c>
      <c r="L24" s="320">
        <f>IFERROR(Dermal_Exp[[#This Row],[High-End AD (mg/kg-day)]]*IF(Dermal_Exp[[#This Row],[ED_High-End]]&gt;EFID,EFID,Dermal_Exp[[#This Row],[ED_High-End]])/ID,"Not Assessed")</f>
        <v>9.8083333333333334E-4</v>
      </c>
      <c r="M24" s="320">
        <f>IFERROR(Dermal_Exp[[#This Row],[Central Tendency AD (mg/kg-day)]]*IF(Dermal_Exp[[#This Row],[ED_Central Tendency]]&gt;EFID,EFID,Dermal_Exp[[#This Row],[ED_Central Tendency]])/ID,"Not Assessed")</f>
        <v>9.8083333333333334E-4</v>
      </c>
      <c r="N24" s="307">
        <f>IFERROR(Dermal_Exp[[#This Row],[High-End AD (mg/kg-day)]]*Dermal_Exp[[#This Row],[ED_High-End]]*WY_high/(365*WY_high),"Not Assessed")</f>
        <v>9.1609589041095907E-4</v>
      </c>
      <c r="O24" s="307">
        <f>IFERROR(Dermal_Exp[[#This Row],[Central Tendency AD (mg/kg-day)]]*Dermal_Exp[[#This Row],[ED_Central Tendency]]*WY_mid/(365*WY_mid),"Not Assessed")</f>
        <v>9.1609589041095907E-4</v>
      </c>
      <c r="P24" s="307">
        <f>IFERROR(Dermal_Exp[[#This Row],[High-End AD (mg/kg-day)]]*Dermal_Exp[[#This Row],[ED_High-End]]*WY_high/(365*LT),"Not Assessed")</f>
        <v>4.6979276431331231E-4</v>
      </c>
      <c r="Q24" s="322">
        <f>IFERROR(Dermal_Exp[[#This Row],[Central Tendency AD (mg/kg-day)]]*Dermal_Exp[[#This Row],[ED_Central Tendency]]*WY_mid/(365*LT),"Not Assessed")</f>
        <v>3.6408939234281704E-4</v>
      </c>
    </row>
    <row r="25" spans="1:23" ht="25.5">
      <c r="A25" s="325">
        <v>3</v>
      </c>
      <c r="B25" s="386" t="s">
        <v>223</v>
      </c>
      <c r="C25" s="280" t="s">
        <v>74</v>
      </c>
      <c r="D25" s="11">
        <f>'Inhalation Exposure'!E26</f>
        <v>250</v>
      </c>
      <c r="E25" s="11">
        <f>'Inhalation Exposure'!F26</f>
        <v>250</v>
      </c>
      <c r="F25" s="410">
        <v>0.21400000000000002</v>
      </c>
      <c r="G25" s="410">
        <v>0.10700000000000001</v>
      </c>
      <c r="H25" s="411"/>
      <c r="I25" s="411"/>
      <c r="J25" s="321">
        <f>MAX(Dermal_Exp[[#This Row],[High-End Exposure to Liquid]],Dermal_Exp[[#This Row],[High-End Exposure to Solids]])/(IF(Dermal_Exp[[#This Row],[Worker Type]]="Female of Reproductive Age",BW_F,BW_default))</f>
        <v>2.6750000000000003E-3</v>
      </c>
      <c r="K25" s="427">
        <f>MAX(Dermal_Exp[[#This Row],[ Central Tendency Exposure to Liquids]],Dermal_Exp[[#This Row],[Central Tendency  Exposure to Solids]])/(IF(Dermal_Exp[[#This Row],[Worker Type]]="Female of Reproductive Age",BW_F,BW_default))</f>
        <v>1.3375000000000001E-3</v>
      </c>
      <c r="L25" s="320">
        <f>IFERROR(Dermal_Exp[[#This Row],[High-End AD (mg/kg-day)]]*IF(Dermal_Exp[[#This Row],[ED_High-End]]&gt;EFID,EFID,Dermal_Exp[[#This Row],[ED_High-End]])/ID,"Not Assessed")</f>
        <v>1.9616666666666667E-3</v>
      </c>
      <c r="M25" s="320">
        <f>IFERROR(Dermal_Exp[[#This Row],[Central Tendency AD (mg/kg-day)]]*IF(Dermal_Exp[[#This Row],[ED_Central Tendency]]&gt;EFID,EFID,Dermal_Exp[[#This Row],[ED_Central Tendency]])/ID,"Not Assessed")</f>
        <v>9.8083333333333334E-4</v>
      </c>
      <c r="N25" s="307">
        <f>IFERROR(Dermal_Exp[[#This Row],[High-End AD (mg/kg-day)]]*Dermal_Exp[[#This Row],[ED_High-End]]*WY_high/(365*WY_high),"Not Assessed")</f>
        <v>1.8321917808219181E-3</v>
      </c>
      <c r="O25" s="307">
        <f>IFERROR(Dermal_Exp[[#This Row],[Central Tendency AD (mg/kg-day)]]*Dermal_Exp[[#This Row],[ED_Central Tendency]]*WY_mid/(365*WY_mid),"Not Assessed")</f>
        <v>9.1609589041095907E-4</v>
      </c>
      <c r="P25" s="307">
        <f>IFERROR(Dermal_Exp[[#This Row],[High-End AD (mg/kg-day)]]*Dermal_Exp[[#This Row],[ED_High-End]]*WY_high/(365*LT),"Not Assessed")</f>
        <v>9.3958552862662462E-4</v>
      </c>
      <c r="Q25" s="322">
        <f>IFERROR(Dermal_Exp[[#This Row],[Central Tendency AD (mg/kg-day)]]*Dermal_Exp[[#This Row],[ED_Central Tendency]]*WY_mid/(365*LT),"Not Assessed")</f>
        <v>3.6408939234281704E-4</v>
      </c>
    </row>
    <row r="26" spans="1:23" ht="25.5">
      <c r="A26" s="325">
        <v>3</v>
      </c>
      <c r="B26" s="386" t="s">
        <v>223</v>
      </c>
      <c r="C26" s="280" t="s">
        <v>206</v>
      </c>
      <c r="D26" s="11">
        <f>'Inhalation Exposure'!E27</f>
        <v>250</v>
      </c>
      <c r="E26" s="11">
        <f>'Inhalation Exposure'!F27</f>
        <v>250</v>
      </c>
      <c r="F26" s="412">
        <v>0.17800000000000002</v>
      </c>
      <c r="G26" s="412">
        <v>8.900000000000001E-2</v>
      </c>
      <c r="H26" s="411"/>
      <c r="I26" s="411"/>
      <c r="J26" s="321">
        <f>MAX(Dermal_Exp[[#This Row],[High-End Exposure to Liquid]],Dermal_Exp[[#This Row],[High-End Exposure to Solids]])/(IF(Dermal_Exp[[#This Row],[Worker Type]]="Female of Reproductive Age",BW_F,BW_default))</f>
        <v>2.4577148774594408E-3</v>
      </c>
      <c r="K26" s="307">
        <f>MAX(Dermal_Exp[[#This Row],[ Central Tendency Exposure to Liquids]],Dermal_Exp[[#This Row],[Central Tendency  Exposure to Solids]])/(IF(Dermal_Exp[[#This Row],[Worker Type]]="Female of Reproductive Age",BW_F,BW_default))</f>
        <v>1.2288574387297204E-3</v>
      </c>
      <c r="L26" s="320">
        <f>IFERROR(Dermal_Exp[[#This Row],[High-End AD (mg/kg-day)]]*IF(Dermal_Exp[[#This Row],[ED_High-End]]&gt;EFID,EFID,Dermal_Exp[[#This Row],[ED_High-End]])/ID,"Not Assessed")</f>
        <v>1.8023242434702564E-3</v>
      </c>
      <c r="M26" s="320">
        <f>IFERROR(Dermal_Exp[[#This Row],[Central Tendency AD (mg/kg-day)]]*IF(Dermal_Exp[[#This Row],[ED_Central Tendency]]&gt;EFID,EFID,Dermal_Exp[[#This Row],[ED_Central Tendency]])/ID,"Not Assessed")</f>
        <v>9.0116212173512822E-4</v>
      </c>
      <c r="N26" s="307">
        <f>IFERROR(Dermal_Exp[[#This Row],[High-End AD (mg/kg-day)]]*Dermal_Exp[[#This Row],[ED_High-End]]*WY_high/(365*WY_high),"Not Assessed")</f>
        <v>1.6833663544242746E-3</v>
      </c>
      <c r="O26" s="307">
        <f>IFERROR(Dermal_Exp[[#This Row],[Central Tendency AD (mg/kg-day)]]*Dermal_Exp[[#This Row],[ED_Central Tendency]]*WY_mid/(365*WY_mid),"Not Assessed")</f>
        <v>8.416831772121373E-4</v>
      </c>
      <c r="P26" s="307">
        <f>IFERROR(Dermal_Exp[[#This Row],[High-End AD (mg/kg-day)]]*Dermal_Exp[[#This Row],[ED_High-End]]*WY_high/(365*LT),"Not Assessed")</f>
        <v>8.632647971406536E-4</v>
      </c>
      <c r="Q26" s="322">
        <f>IFERROR(Dermal_Exp[[#This Row],[Central Tendency AD (mg/kg-day)]]*Dermal_Exp[[#This Row],[ED_Central Tendency]]*WY_mid/(365*LT),"Not Assessed")</f>
        <v>3.3451510889200329E-4</v>
      </c>
    </row>
    <row r="27" spans="1:23" ht="25.5">
      <c r="A27" s="325">
        <v>3</v>
      </c>
      <c r="B27" s="386" t="s">
        <v>223</v>
      </c>
      <c r="C27" s="280" t="s">
        <v>94</v>
      </c>
      <c r="D27" s="11">
        <f>'Inhalation Exposure'!E28</f>
        <v>250</v>
      </c>
      <c r="E27" s="11">
        <f>'Inhalation Exposure'!F28</f>
        <v>250</v>
      </c>
      <c r="F27" s="410"/>
      <c r="G27" s="410"/>
      <c r="H27" s="411"/>
      <c r="I27" s="411"/>
      <c r="J27" s="321">
        <f>MAX(Dermal_Exp[[#This Row],[High-End Exposure to Liquid]],Dermal_Exp[[#This Row],[High-End Exposure to Solids]])/(IF(Dermal_Exp[[#This Row],[Worker Type]]="Female of Reproductive Age",BW_F,BW_default))</f>
        <v>0</v>
      </c>
      <c r="K27" s="307">
        <f>MAX(Dermal_Exp[[#This Row],[ Central Tendency Exposure to Liquids]],Dermal_Exp[[#This Row],[Central Tendency  Exposure to Solids]])/(IF(Dermal_Exp[[#This Row],[Worker Type]]="Female of Reproductive Age",BW_F,BW_default))</f>
        <v>0</v>
      </c>
      <c r="L27" s="320">
        <f>IFERROR(Dermal_Exp[[#This Row],[High-End AD (mg/kg-day)]]*IF(Dermal_Exp[[#This Row],[ED_High-End]]&gt;EFID,EFID,Dermal_Exp[[#This Row],[ED_High-End]])/ID,"Not Assessed")</f>
        <v>0</v>
      </c>
      <c r="M27" s="320">
        <f>IFERROR(Dermal_Exp[[#This Row],[Central Tendency AD (mg/kg-day)]]*IF(Dermal_Exp[[#This Row],[ED_Central Tendency]]&gt;EFID,EFID,Dermal_Exp[[#This Row],[ED_Central Tendency]])/ID,"Not Assessed")</f>
        <v>0</v>
      </c>
      <c r="N27" s="307">
        <f>IFERROR(Dermal_Exp[[#This Row],[High-End AD (mg/kg-day)]]*Dermal_Exp[[#This Row],[ED_High-End]]*WY_high/(365*WY_high),"Not Assessed")</f>
        <v>0</v>
      </c>
      <c r="O27" s="307">
        <f>IFERROR(Dermal_Exp[[#This Row],[Central Tendency AD (mg/kg-day)]]*Dermal_Exp[[#This Row],[ED_Central Tendency]]*WY_mid/(365*WY_mid),"Not Assessed")</f>
        <v>0</v>
      </c>
      <c r="P27" s="307">
        <f>IFERROR(Dermal_Exp[[#This Row],[High-End AD (mg/kg-day)]]*Dermal_Exp[[#This Row],[ED_High-End]]*WY_high/(365*LT),"Not Assessed")</f>
        <v>0</v>
      </c>
      <c r="Q27" s="322">
        <f>IFERROR(Dermal_Exp[[#This Row],[Central Tendency AD (mg/kg-day)]]*Dermal_Exp[[#This Row],[ED_Central Tendency]]*WY_mid/(365*LT),"Not Assessed")</f>
        <v>0</v>
      </c>
    </row>
    <row r="28" spans="1:23" ht="15">
      <c r="A28" s="325">
        <v>3</v>
      </c>
      <c r="B28" s="386" t="s">
        <v>225</v>
      </c>
      <c r="C28" s="280" t="s">
        <v>74</v>
      </c>
      <c r="D28" s="11">
        <f>'Inhalation Exposure'!E29</f>
        <v>250</v>
      </c>
      <c r="E28" s="11">
        <f>'Inhalation Exposure'!F29</f>
        <v>250</v>
      </c>
      <c r="F28" s="410">
        <v>0.21400000000000002</v>
      </c>
      <c r="G28" s="410">
        <v>0.10700000000000001</v>
      </c>
      <c r="H28" s="411"/>
      <c r="I28" s="411"/>
      <c r="J28" s="321">
        <f>MAX(Dermal_Exp[[#This Row],[High-End Exposure to Liquid]],Dermal_Exp[[#This Row],[High-End Exposure to Solids]])/(IF(Dermal_Exp[[#This Row],[Worker Type]]="Female of Reproductive Age",BW_F,BW_default))</f>
        <v>2.6750000000000003E-3</v>
      </c>
      <c r="K28" s="321">
        <f>MAX(Dermal_Exp[[#This Row],[ Central Tendency Exposure to Liquids]],Dermal_Exp[[#This Row],[Central Tendency  Exposure to Solids]])/(IF(Dermal_Exp[[#This Row],[Worker Type]]="Female of Reproductive Age",BW_F,BW_default))</f>
        <v>1.3375000000000001E-3</v>
      </c>
      <c r="L28" s="320">
        <f>IFERROR(Dermal_Exp[[#This Row],[High-End AD (mg/kg-day)]]*IF(Dermal_Exp[[#This Row],[ED_High-End]]&gt;EFID,EFID,Dermal_Exp[[#This Row],[ED_High-End]])/ID,"Not Assessed")</f>
        <v>1.9616666666666667E-3</v>
      </c>
      <c r="M28" s="320">
        <f>IFERROR(Dermal_Exp[[#This Row],[Central Tendency AD (mg/kg-day)]]*IF(Dermal_Exp[[#This Row],[ED_Central Tendency]]&gt;EFID,EFID,Dermal_Exp[[#This Row],[ED_Central Tendency]])/ID,"Not Assessed")</f>
        <v>9.8083333333333334E-4</v>
      </c>
      <c r="N28" s="307">
        <f>IFERROR(Dermal_Exp[[#This Row],[High-End AD (mg/kg-day)]]*Dermal_Exp[[#This Row],[ED_High-End]]*WY_high/(365*WY_high),"Not Assessed")</f>
        <v>1.8321917808219181E-3</v>
      </c>
      <c r="O28" s="307">
        <f>IFERROR(Dermal_Exp[[#This Row],[Central Tendency AD (mg/kg-day)]]*Dermal_Exp[[#This Row],[ED_Central Tendency]]*WY_mid/(365*WY_mid),"Not Assessed")</f>
        <v>9.1609589041095907E-4</v>
      </c>
      <c r="P28" s="307">
        <f>IFERROR(Dermal_Exp[[#This Row],[High-End AD (mg/kg-day)]]*Dermal_Exp[[#This Row],[ED_High-End]]*WY_high/(365*LT),"Not Assessed")</f>
        <v>9.3958552862662462E-4</v>
      </c>
      <c r="Q28" s="322">
        <f>IFERROR(Dermal_Exp[[#This Row],[Central Tendency AD (mg/kg-day)]]*Dermal_Exp[[#This Row],[ED_Central Tendency]]*WY_mid/(365*LT),"Not Assessed")</f>
        <v>3.6408939234281704E-4</v>
      </c>
    </row>
    <row r="29" spans="1:23" ht="15">
      <c r="A29" s="325">
        <v>3</v>
      </c>
      <c r="B29" s="386" t="s">
        <v>225</v>
      </c>
      <c r="C29" s="280" t="s">
        <v>206</v>
      </c>
      <c r="D29" s="11">
        <f>'Inhalation Exposure'!E30</f>
        <v>250</v>
      </c>
      <c r="E29" s="11">
        <f>'Inhalation Exposure'!F30</f>
        <v>250</v>
      </c>
      <c r="F29" s="412">
        <v>0.17800000000000002</v>
      </c>
      <c r="G29" s="412">
        <v>8.900000000000001E-2</v>
      </c>
      <c r="H29" s="411"/>
      <c r="I29" s="411"/>
      <c r="J29" s="321">
        <f>MAX(Dermal_Exp[[#This Row],[High-End Exposure to Liquid]],Dermal_Exp[[#This Row],[High-End Exposure to Solids]])/(IF(Dermal_Exp[[#This Row],[Worker Type]]="Female of Reproductive Age",BW_F,BW_default))</f>
        <v>2.4577148774594408E-3</v>
      </c>
      <c r="K29" s="321">
        <f>MAX(Dermal_Exp[[#This Row],[ Central Tendency Exposure to Liquids]],Dermal_Exp[[#This Row],[Central Tendency  Exposure to Solids]])/(IF(Dermal_Exp[[#This Row],[Worker Type]]="Female of Reproductive Age",BW_F,BW_default))</f>
        <v>1.2288574387297204E-3</v>
      </c>
      <c r="L29" s="320">
        <f>IFERROR(Dermal_Exp[[#This Row],[High-End AD (mg/kg-day)]]*IF(Dermal_Exp[[#This Row],[ED_High-End]]&gt;EFID,EFID,Dermal_Exp[[#This Row],[ED_High-End]])/ID,"Not Assessed")</f>
        <v>1.8023242434702564E-3</v>
      </c>
      <c r="M29" s="320">
        <f>IFERROR(Dermal_Exp[[#This Row],[Central Tendency AD (mg/kg-day)]]*IF(Dermal_Exp[[#This Row],[ED_Central Tendency]]&gt;EFID,EFID,Dermal_Exp[[#This Row],[ED_Central Tendency]])/ID,"Not Assessed")</f>
        <v>9.0116212173512822E-4</v>
      </c>
      <c r="N29" s="307">
        <f>IFERROR(Dermal_Exp[[#This Row],[High-End AD (mg/kg-day)]]*Dermal_Exp[[#This Row],[ED_High-End]]*WY_high/(365*WY_high),"Not Assessed")</f>
        <v>1.6833663544242746E-3</v>
      </c>
      <c r="O29" s="307">
        <f>IFERROR(Dermal_Exp[[#This Row],[Central Tendency AD (mg/kg-day)]]*Dermal_Exp[[#This Row],[ED_Central Tendency]]*WY_mid/(365*WY_mid),"Not Assessed")</f>
        <v>8.416831772121373E-4</v>
      </c>
      <c r="P29" s="307">
        <f>IFERROR(Dermal_Exp[[#This Row],[High-End AD (mg/kg-day)]]*Dermal_Exp[[#This Row],[ED_High-End]]*WY_high/(365*LT),"Not Assessed")</f>
        <v>8.632647971406536E-4</v>
      </c>
      <c r="Q29" s="322">
        <f>IFERROR(Dermal_Exp[[#This Row],[Central Tendency AD (mg/kg-day)]]*Dermal_Exp[[#This Row],[ED_Central Tendency]]*WY_mid/(365*LT),"Not Assessed")</f>
        <v>3.3451510889200329E-4</v>
      </c>
      <c r="W29" s="1" t="s">
        <v>209</v>
      </c>
    </row>
    <row r="30" spans="1:23" ht="15">
      <c r="A30" s="325">
        <v>3</v>
      </c>
      <c r="B30" s="386" t="s">
        <v>225</v>
      </c>
      <c r="C30" s="280" t="s">
        <v>94</v>
      </c>
      <c r="D30" s="11">
        <f>'Inhalation Exposure'!E31</f>
        <v>250</v>
      </c>
      <c r="E30" s="11">
        <f>'Inhalation Exposure'!F31</f>
        <v>250</v>
      </c>
      <c r="F30" s="410"/>
      <c r="G30" s="410"/>
      <c r="H30" s="411"/>
      <c r="I30" s="411"/>
      <c r="J30" s="321">
        <f>MAX(Dermal_Exp[[#This Row],[High-End Exposure to Liquid]],Dermal_Exp[[#This Row],[High-End Exposure to Solids]])/(IF(Dermal_Exp[[#This Row],[Worker Type]]="Female of Reproductive Age",BW_F,BW_default))</f>
        <v>0</v>
      </c>
      <c r="K30" s="321">
        <f>MAX(Dermal_Exp[[#This Row],[ Central Tendency Exposure to Liquids]],Dermal_Exp[[#This Row],[Central Tendency  Exposure to Solids]])/(IF(Dermal_Exp[[#This Row],[Worker Type]]="Female of Reproductive Age",BW_F,BW_default))</f>
        <v>0</v>
      </c>
      <c r="L30" s="320">
        <f>IFERROR(Dermal_Exp[[#This Row],[High-End AD (mg/kg-day)]]*IF(Dermal_Exp[[#This Row],[ED_High-End]]&gt;EFID,EFID,Dermal_Exp[[#This Row],[ED_High-End]])/ID,"Not Assessed")</f>
        <v>0</v>
      </c>
      <c r="M30" s="320">
        <f>IFERROR(Dermal_Exp[[#This Row],[Central Tendency AD (mg/kg-day)]]*IF(Dermal_Exp[[#This Row],[ED_Central Tendency]]&gt;EFID,EFID,Dermal_Exp[[#This Row],[ED_Central Tendency]])/ID,"Not Assessed")</f>
        <v>0</v>
      </c>
      <c r="N30" s="307">
        <f>IFERROR(Dermal_Exp[[#This Row],[High-End AD (mg/kg-day)]]*Dermal_Exp[[#This Row],[ED_High-End]]*WY_high/(365*WY_high),"Not Assessed")</f>
        <v>0</v>
      </c>
      <c r="O30" s="307">
        <f>IFERROR(Dermal_Exp[[#This Row],[Central Tendency AD (mg/kg-day)]]*Dermal_Exp[[#This Row],[ED_Central Tendency]]*WY_mid/(365*WY_mid),"Not Assessed")</f>
        <v>0</v>
      </c>
      <c r="P30" s="307">
        <f>IFERROR(Dermal_Exp[[#This Row],[High-End AD (mg/kg-day)]]*Dermal_Exp[[#This Row],[ED_High-End]]*WY_high/(365*LT),"Not Assessed")</f>
        <v>0</v>
      </c>
      <c r="Q30" s="322">
        <f>IFERROR(Dermal_Exp[[#This Row],[Central Tendency AD (mg/kg-day)]]*Dermal_Exp[[#This Row],[ED_Central Tendency]]*WY_mid/(365*LT),"Not Assessed")</f>
        <v>0</v>
      </c>
    </row>
    <row r="31" spans="1:23" ht="15">
      <c r="A31" s="325">
        <v>3</v>
      </c>
      <c r="B31" s="388" t="s">
        <v>227</v>
      </c>
      <c r="C31" s="280" t="s">
        <v>74</v>
      </c>
      <c r="D31" s="409">
        <f>'Inhalation Exposure'!E32</f>
        <v>250</v>
      </c>
      <c r="E31" s="409">
        <f>'Inhalation Exposure'!F32</f>
        <v>235</v>
      </c>
      <c r="F31" s="410">
        <v>0.21400000000000002</v>
      </c>
      <c r="G31" s="410">
        <v>0.10700000000000001</v>
      </c>
      <c r="H31" s="411"/>
      <c r="I31" s="411"/>
      <c r="J31" s="321">
        <f>MAX(Dermal_Exp[[#This Row],[High-End Exposure to Liquid]],Dermal_Exp[[#This Row],[High-End Exposure to Solids]])/(IF(Dermal_Exp[[#This Row],[Worker Type]]="Female of Reproductive Age",BW_F,BW_default))</f>
        <v>2.6750000000000003E-3</v>
      </c>
      <c r="K31" s="321">
        <f>MAX(Dermal_Exp[[#This Row],[ Central Tendency Exposure to Liquids]],Dermal_Exp[[#This Row],[Central Tendency  Exposure to Solids]])/(IF(Dermal_Exp[[#This Row],[Worker Type]]="Female of Reproductive Age",BW_F,BW_default))</f>
        <v>1.3375000000000001E-3</v>
      </c>
      <c r="L31" s="320">
        <f>IFERROR(Dermal_Exp[[#This Row],[High-End AD (mg/kg-day)]]*IF(Dermal_Exp[[#This Row],[ED_High-End]]&gt;EFID,EFID,Dermal_Exp[[#This Row],[ED_High-End]])/ID,"Not Assessed")</f>
        <v>1.9616666666666667E-3</v>
      </c>
      <c r="M31" s="320">
        <f>IFERROR(Dermal_Exp[[#This Row],[Central Tendency AD (mg/kg-day)]]*IF(Dermal_Exp[[#This Row],[ED_Central Tendency]]&gt;EFID,EFID,Dermal_Exp[[#This Row],[ED_Central Tendency]])/ID,"Not Assessed")</f>
        <v>9.8083333333333334E-4</v>
      </c>
      <c r="N31" s="328">
        <f>IFERROR(Dermal_Exp[[#This Row],[High-End AD (mg/kg-day)]]*Dermal_Exp[[#This Row],[ED_High-End]]*WY_high/(365*WY_high),"Not Assessed")</f>
        <v>1.8321917808219181E-3</v>
      </c>
      <c r="O31" s="328">
        <f>IFERROR(Dermal_Exp[[#This Row],[Central Tendency AD (mg/kg-day)]]*Dermal_Exp[[#This Row],[ED_Central Tendency]]*WY_mid/(365*WY_mid),"Not Assessed")</f>
        <v>8.6113013698630152E-4</v>
      </c>
      <c r="P31" s="328">
        <f>IFERROR(Dermal_Exp[[#This Row],[High-End AD (mg/kg-day)]]*Dermal_Exp[[#This Row],[ED_High-End]]*WY_high/(365*LT),"Not Assessed")</f>
        <v>9.3958552862662462E-4</v>
      </c>
      <c r="Q31" s="322">
        <f>IFERROR(Dermal_Exp[[#This Row],[Central Tendency AD (mg/kg-day)]]*Dermal_Exp[[#This Row],[ED_Central Tendency]]*WY_mid/(365*LT),"Not Assessed")</f>
        <v>3.4224402880224803E-4</v>
      </c>
    </row>
    <row r="32" spans="1:23" ht="15">
      <c r="A32" s="325">
        <v>3</v>
      </c>
      <c r="B32" s="386" t="s">
        <v>227</v>
      </c>
      <c r="C32" s="280" t="s">
        <v>206</v>
      </c>
      <c r="D32" s="409">
        <f>'Inhalation Exposure'!E33</f>
        <v>250</v>
      </c>
      <c r="E32" s="409">
        <f>'Inhalation Exposure'!F33</f>
        <v>235</v>
      </c>
      <c r="F32" s="410">
        <v>0.17800000000000002</v>
      </c>
      <c r="G32" s="410">
        <v>8.900000000000001E-2</v>
      </c>
      <c r="H32" s="411"/>
      <c r="I32" s="411"/>
      <c r="J32" s="321">
        <f>MAX(Dermal_Exp[[#This Row],[High-End Exposure to Liquid]],Dermal_Exp[[#This Row],[High-End Exposure to Solids]])/(IF(Dermal_Exp[[#This Row],[Worker Type]]="Female of Reproductive Age",BW_F,BW_default))</f>
        <v>2.4577148774594408E-3</v>
      </c>
      <c r="K32" s="321">
        <f>MAX(Dermal_Exp[[#This Row],[ Central Tendency Exposure to Liquids]],Dermal_Exp[[#This Row],[Central Tendency  Exposure to Solids]])/(IF(Dermal_Exp[[#This Row],[Worker Type]]="Female of Reproductive Age",BW_F,BW_default))</f>
        <v>1.2288574387297204E-3</v>
      </c>
      <c r="L32" s="320">
        <f>IFERROR(Dermal_Exp[[#This Row],[High-End AD (mg/kg-day)]]*IF(Dermal_Exp[[#This Row],[ED_High-End]]&gt;EFID,EFID,Dermal_Exp[[#This Row],[ED_High-End]])/ID,"Not Assessed")</f>
        <v>1.8023242434702564E-3</v>
      </c>
      <c r="M32" s="320">
        <f>IFERROR(Dermal_Exp[[#This Row],[Central Tendency AD (mg/kg-day)]]*IF(Dermal_Exp[[#This Row],[ED_Central Tendency]]&gt;EFID,EFID,Dermal_Exp[[#This Row],[ED_Central Tendency]])/ID,"Not Assessed")</f>
        <v>9.0116212173512822E-4</v>
      </c>
      <c r="N32" s="307">
        <f>IFERROR(Dermal_Exp[[#This Row],[High-End AD (mg/kg-day)]]*Dermal_Exp[[#This Row],[ED_High-End]]*WY_high/(365*WY_high),"Not Assessed")</f>
        <v>1.6833663544242746E-3</v>
      </c>
      <c r="O32" s="307">
        <f>IFERROR(Dermal_Exp[[#This Row],[Central Tendency AD (mg/kg-day)]]*Dermal_Exp[[#This Row],[ED_Central Tendency]]*WY_mid/(365*WY_mid),"Not Assessed")</f>
        <v>7.9118218657940902E-4</v>
      </c>
      <c r="P32" s="307">
        <f>IFERROR(Dermal_Exp[[#This Row],[High-End AD (mg/kg-day)]]*Dermal_Exp[[#This Row],[ED_High-End]]*WY_high/(365*LT),"Not Assessed")</f>
        <v>8.632647971406536E-4</v>
      </c>
      <c r="Q32" s="322">
        <f>IFERROR(Dermal_Exp[[#This Row],[Central Tendency AD (mg/kg-day)]]*Dermal_Exp[[#This Row],[ED_Central Tendency]]*WY_mid/(365*LT),"Not Assessed")</f>
        <v>3.1444420235848309E-4</v>
      </c>
    </row>
    <row r="33" spans="1:17" ht="15">
      <c r="A33" s="325">
        <v>3</v>
      </c>
      <c r="B33" s="388" t="s">
        <v>227</v>
      </c>
      <c r="C33" s="280" t="s">
        <v>94</v>
      </c>
      <c r="D33" s="409">
        <f>'Inhalation Exposure'!E34</f>
        <v>250</v>
      </c>
      <c r="E33" s="409">
        <f>'Inhalation Exposure'!F34</f>
        <v>235</v>
      </c>
      <c r="F33" s="410"/>
      <c r="G33" s="410"/>
      <c r="H33" s="411"/>
      <c r="I33" s="411"/>
      <c r="J33" s="321">
        <f>MAX(Dermal_Exp[[#This Row],[High-End Exposure to Liquid]],Dermal_Exp[[#This Row],[High-End Exposure to Solids]])/(IF(Dermal_Exp[[#This Row],[Worker Type]]="Female of Reproductive Age",BW_F,BW_default))</f>
        <v>0</v>
      </c>
      <c r="K33" s="321">
        <f>MAX(Dermal_Exp[[#This Row],[ Central Tendency Exposure to Liquids]],Dermal_Exp[[#This Row],[Central Tendency  Exposure to Solids]])/(IF(Dermal_Exp[[#This Row],[Worker Type]]="Female of Reproductive Age",BW_F,BW_default))</f>
        <v>0</v>
      </c>
      <c r="L33" s="320">
        <f>IFERROR(Dermal_Exp[[#This Row],[High-End AD (mg/kg-day)]]*IF(Dermal_Exp[[#This Row],[ED_High-End]]&gt;EFID,EFID,Dermal_Exp[[#This Row],[ED_High-End]])/ID,"Not Assessed")</f>
        <v>0</v>
      </c>
      <c r="M33" s="320">
        <f>IFERROR(Dermal_Exp[[#This Row],[Central Tendency AD (mg/kg-day)]]*IF(Dermal_Exp[[#This Row],[ED_Central Tendency]]&gt;EFID,EFID,Dermal_Exp[[#This Row],[ED_Central Tendency]])/ID,"Not Assessed")</f>
        <v>0</v>
      </c>
      <c r="N33" s="328">
        <f>IFERROR(Dermal_Exp[[#This Row],[High-End AD (mg/kg-day)]]*Dermal_Exp[[#This Row],[ED_High-End]]*WY_high/(365*WY_high),"Not Assessed")</f>
        <v>0</v>
      </c>
      <c r="O33" s="328">
        <f>IFERROR(Dermal_Exp[[#This Row],[Central Tendency AD (mg/kg-day)]]*Dermal_Exp[[#This Row],[ED_Central Tendency]]*WY_mid/(365*WY_mid),"Not Assessed")</f>
        <v>0</v>
      </c>
      <c r="P33" s="328">
        <f>IFERROR(Dermal_Exp[[#This Row],[High-End AD (mg/kg-day)]]*Dermal_Exp[[#This Row],[ED_High-End]]*WY_high/(365*LT),"Not Assessed")</f>
        <v>0</v>
      </c>
      <c r="Q33" s="322">
        <f>IFERROR(Dermal_Exp[[#This Row],[Central Tendency AD (mg/kg-day)]]*Dermal_Exp[[#This Row],[ED_Central Tendency]]*WY_mid/(365*LT),"Not Assessed")</f>
        <v>0</v>
      </c>
    </row>
    <row r="34" spans="1:17" ht="15">
      <c r="A34" s="325">
        <v>3</v>
      </c>
      <c r="B34" s="388" t="s">
        <v>230</v>
      </c>
      <c r="C34" s="280" t="s">
        <v>74</v>
      </c>
      <c r="D34" s="409">
        <f>'Inhalation Exposure'!E35</f>
        <v>215</v>
      </c>
      <c r="E34" s="409">
        <f>'Inhalation Exposure'!F35</f>
        <v>215</v>
      </c>
      <c r="F34" s="410">
        <v>0.21400000000000002</v>
      </c>
      <c r="G34" s="410">
        <v>0.10700000000000001</v>
      </c>
      <c r="H34" s="411">
        <v>0.41088000000000002</v>
      </c>
      <c r="I34" s="411">
        <v>0.20544000000000001</v>
      </c>
      <c r="J34" s="321">
        <f>MAX(Dermal_Exp[[#This Row],[High-End Exposure to Liquid]],Dermal_Exp[[#This Row],[High-End Exposure to Solids]])/(IF(Dermal_Exp[[#This Row],[Worker Type]]="Female of Reproductive Age",BW_F,BW_default))</f>
        <v>5.1359999999999999E-3</v>
      </c>
      <c r="K34" s="321">
        <f>MAX(Dermal_Exp[[#This Row],[ Central Tendency Exposure to Liquids]],Dermal_Exp[[#This Row],[Central Tendency  Exposure to Solids]])/(IF(Dermal_Exp[[#This Row],[Worker Type]]="Female of Reproductive Age",BW_F,BW_default))</f>
        <v>2.568E-3</v>
      </c>
      <c r="L34" s="320">
        <f>IFERROR(Dermal_Exp[[#This Row],[High-End AD (mg/kg-day)]]*IF(Dermal_Exp[[#This Row],[ED_High-End]]&gt;EFID,EFID,Dermal_Exp[[#This Row],[ED_High-End]])/ID,"Not Assessed")</f>
        <v>3.7664E-3</v>
      </c>
      <c r="M34" s="320">
        <f>IFERROR(Dermal_Exp[[#This Row],[Central Tendency AD (mg/kg-day)]]*IF(Dermal_Exp[[#This Row],[ED_Central Tendency]]&gt;EFID,EFID,Dermal_Exp[[#This Row],[ED_Central Tendency]])/ID,"Not Assessed")</f>
        <v>1.8832E-3</v>
      </c>
      <c r="N34" s="307">
        <f>IFERROR(Dermal_Exp[[#This Row],[High-End AD (mg/kg-day)]]*Dermal_Exp[[#This Row],[ED_High-End]]*WY_high/(365*WY_high),"Not Assessed")</f>
        <v>3.0253150684931502E-3</v>
      </c>
      <c r="O34" s="307">
        <f>IFERROR(Dermal_Exp[[#This Row],[Central Tendency AD (mg/kg-day)]]*Dermal_Exp[[#This Row],[ED_Central Tendency]]*WY_mid/(365*WY_mid),"Not Assessed")</f>
        <v>1.5126575342465753E-3</v>
      </c>
      <c r="P34" s="307">
        <f>IFERROR(Dermal_Exp[[#This Row],[High-End AD (mg/kg-day)]]*Dermal_Exp[[#This Row],[ED_High-End]]*WY_high/(365*LT),"Not Assessed")</f>
        <v>1.5514436248682823E-3</v>
      </c>
      <c r="Q34" s="322">
        <f>IFERROR(Dermal_Exp[[#This Row],[Central Tendency AD (mg/kg-day)]]*Dermal_Exp[[#This Row],[ED_Central Tendency]]*WY_mid/(365*LT),"Not Assessed")</f>
        <v>6.0118440463645937E-4</v>
      </c>
    </row>
    <row r="35" spans="1:17" ht="15">
      <c r="A35" s="325">
        <v>3</v>
      </c>
      <c r="B35" s="386" t="s">
        <v>230</v>
      </c>
      <c r="C35" s="280" t="s">
        <v>206</v>
      </c>
      <c r="D35" s="409">
        <f>'Inhalation Exposure'!E36</f>
        <v>215</v>
      </c>
      <c r="E35" s="409">
        <f>'Inhalation Exposure'!F36</f>
        <v>215</v>
      </c>
      <c r="F35" s="412">
        <v>0.17800000000000002</v>
      </c>
      <c r="G35" s="412">
        <v>8.900000000000001E-2</v>
      </c>
      <c r="H35" s="411">
        <v>0.34176000000000001</v>
      </c>
      <c r="I35" s="411">
        <v>0.17088</v>
      </c>
      <c r="J35" s="321">
        <f>MAX(Dermal_Exp[[#This Row],[High-End Exposure to Liquid]],Dermal_Exp[[#This Row],[High-End Exposure to Solids]])/(IF(Dermal_Exp[[#This Row],[Worker Type]]="Female of Reproductive Age",BW_F,BW_default))</f>
        <v>4.718812564722126E-3</v>
      </c>
      <c r="K35" s="321">
        <f>MAX(Dermal_Exp[[#This Row],[ Central Tendency Exposure to Liquids]],Dermal_Exp[[#This Row],[Central Tendency  Exposure to Solids]])/(IF(Dermal_Exp[[#This Row],[Worker Type]]="Female of Reproductive Age",BW_F,BW_default))</f>
        <v>2.359406282361063E-3</v>
      </c>
      <c r="L35" s="320">
        <f>IFERROR(Dermal_Exp[[#This Row],[High-End AD (mg/kg-day)]]*IF(Dermal_Exp[[#This Row],[ED_High-End]]&gt;EFID,EFID,Dermal_Exp[[#This Row],[ED_High-End]])/ID,"Not Assessed")</f>
        <v>3.4604625474628924E-3</v>
      </c>
      <c r="M35" s="320">
        <f>IFERROR(Dermal_Exp[[#This Row],[Central Tendency AD (mg/kg-day)]]*IF(Dermal_Exp[[#This Row],[ED_Central Tendency]]&gt;EFID,EFID,Dermal_Exp[[#This Row],[ED_Central Tendency]])/ID,"Not Assessed")</f>
        <v>1.7302312737314462E-3</v>
      </c>
      <c r="N35" s="328">
        <f>IFERROR(Dermal_Exp[[#This Row],[High-End AD (mg/kg-day)]]*Dermal_Exp[[#This Row],[ED_High-End]]*WY_high/(365*WY_high),"Not Assessed")</f>
        <v>2.779574524425362E-3</v>
      </c>
      <c r="O35" s="328">
        <f>IFERROR(Dermal_Exp[[#This Row],[Central Tendency AD (mg/kg-day)]]*Dermal_Exp[[#This Row],[ED_Central Tendency]]*WY_mid/(365*WY_mid),"Not Assessed")</f>
        <v>1.389787262212681E-3</v>
      </c>
      <c r="P35" s="328">
        <f>IFERROR(Dermal_Exp[[#This Row],[High-End AD (mg/kg-day)]]*Dermal_Exp[[#This Row],[ED_High-End]]*WY_high/(365*LT),"Not Assessed")</f>
        <v>1.4254228330386472E-3</v>
      </c>
      <c r="Q35" s="322">
        <f>IFERROR(Dermal_Exp[[#This Row],[Central Tendency AD (mg/kg-day)]]*Dermal_Exp[[#This Row],[ED_Central Tendency]]*WY_mid/(365*LT),"Not Assessed")</f>
        <v>5.5235134780247581E-4</v>
      </c>
    </row>
    <row r="36" spans="1:17" ht="15">
      <c r="A36" s="325">
        <v>3</v>
      </c>
      <c r="B36" s="388" t="s">
        <v>230</v>
      </c>
      <c r="C36" s="280" t="s">
        <v>94</v>
      </c>
      <c r="D36" s="409">
        <f>'Inhalation Exposure'!E37</f>
        <v>215</v>
      </c>
      <c r="E36" s="409">
        <f>'Inhalation Exposure'!F37</f>
        <v>215</v>
      </c>
      <c r="F36" s="410"/>
      <c r="G36" s="410"/>
      <c r="H36" s="410">
        <v>0.20544000000000001</v>
      </c>
      <c r="I36" s="410">
        <v>0.20544000000000001</v>
      </c>
      <c r="J36" s="321">
        <f>MAX(Dermal_Exp[[#This Row],[High-End Exposure to Liquid]],Dermal_Exp[[#This Row],[High-End Exposure to Solids]])/(IF(Dermal_Exp[[#This Row],[Worker Type]]="Female of Reproductive Age",BW_F,BW_default))</f>
        <v>2.568E-3</v>
      </c>
      <c r="K36" s="321">
        <f>MAX(Dermal_Exp[[#This Row],[ Central Tendency Exposure to Liquids]],Dermal_Exp[[#This Row],[Central Tendency  Exposure to Solids]])/(IF(Dermal_Exp[[#This Row],[Worker Type]]="Female of Reproductive Age",BW_F,BW_default))</f>
        <v>2.568E-3</v>
      </c>
      <c r="L36" s="320">
        <f>IFERROR(Dermal_Exp[[#This Row],[High-End AD (mg/kg-day)]]*IF(Dermal_Exp[[#This Row],[ED_High-End]]&gt;EFID,EFID,Dermal_Exp[[#This Row],[ED_High-End]])/ID,"Not Assessed")</f>
        <v>1.8832E-3</v>
      </c>
      <c r="M36" s="320">
        <f>IFERROR(Dermal_Exp[[#This Row],[Central Tendency AD (mg/kg-day)]]*IF(Dermal_Exp[[#This Row],[ED_Central Tendency]]&gt;EFID,EFID,Dermal_Exp[[#This Row],[ED_Central Tendency]])/ID,"Not Assessed")</f>
        <v>1.8832E-3</v>
      </c>
      <c r="N36" s="307">
        <f>IFERROR(Dermal_Exp[[#This Row],[High-End AD (mg/kg-day)]]*Dermal_Exp[[#This Row],[ED_High-End]]*WY_high/(365*WY_high),"Not Assessed")</f>
        <v>1.5126575342465751E-3</v>
      </c>
      <c r="O36" s="307">
        <f>IFERROR(Dermal_Exp[[#This Row],[Central Tendency AD (mg/kg-day)]]*Dermal_Exp[[#This Row],[ED_Central Tendency]]*WY_mid/(365*WY_mid),"Not Assessed")</f>
        <v>1.5126575342465753E-3</v>
      </c>
      <c r="P36" s="307">
        <f>IFERROR(Dermal_Exp[[#This Row],[High-End AD (mg/kg-day)]]*Dermal_Exp[[#This Row],[ED_High-End]]*WY_high/(365*LT),"Not Assessed")</f>
        <v>7.7572181243414117E-4</v>
      </c>
      <c r="Q36" s="322">
        <f>IFERROR(Dermal_Exp[[#This Row],[Central Tendency AD (mg/kg-day)]]*Dermal_Exp[[#This Row],[ED_Central Tendency]]*WY_mid/(365*LT),"Not Assessed")</f>
        <v>6.0118440463645937E-4</v>
      </c>
    </row>
    <row r="37" spans="1:17" ht="15">
      <c r="A37" s="325">
        <v>4</v>
      </c>
      <c r="B37" s="388" t="s">
        <v>232</v>
      </c>
      <c r="C37" s="280" t="s">
        <v>74</v>
      </c>
      <c r="D37" s="409">
        <f>'Inhalation Exposure'!E38</f>
        <v>250</v>
      </c>
      <c r="E37" s="409">
        <f>'Inhalation Exposure'!F38</f>
        <v>250</v>
      </c>
      <c r="F37" s="410">
        <v>0.21400000000000002</v>
      </c>
      <c r="G37" s="410">
        <v>0.10700000000000001</v>
      </c>
      <c r="H37" s="410"/>
      <c r="I37" s="413"/>
      <c r="J37" s="321">
        <f>MAX(Dermal_Exp[[#This Row],[High-End Exposure to Liquid]],Dermal_Exp[[#This Row],[High-End Exposure to Solids]])/(IF(Dermal_Exp[[#This Row],[Worker Type]]="Female of Reproductive Age",BW_F,BW_default))</f>
        <v>2.6750000000000003E-3</v>
      </c>
      <c r="K37" s="321">
        <f>MAX(Dermal_Exp[[#This Row],[ Central Tendency Exposure to Liquids]],Dermal_Exp[[#This Row],[Central Tendency  Exposure to Solids]])/(IF(Dermal_Exp[[#This Row],[Worker Type]]="Female of Reproductive Age",BW_F,BW_default))</f>
        <v>1.3375000000000001E-3</v>
      </c>
      <c r="L37" s="320">
        <f>IFERROR(Dermal_Exp[[#This Row],[High-End AD (mg/kg-day)]]*IF(Dermal_Exp[[#This Row],[ED_High-End]]&gt;EFID,EFID,Dermal_Exp[[#This Row],[ED_High-End]])/ID,"Not Assessed")</f>
        <v>1.9616666666666667E-3</v>
      </c>
      <c r="M37" s="320">
        <f>IFERROR(Dermal_Exp[[#This Row],[Central Tendency AD (mg/kg-day)]]*IF(Dermal_Exp[[#This Row],[ED_Central Tendency]]&gt;EFID,EFID,Dermal_Exp[[#This Row],[ED_Central Tendency]])/ID,"Not Assessed")</f>
        <v>9.8083333333333334E-4</v>
      </c>
      <c r="N37" s="328">
        <f>IFERROR(Dermal_Exp[[#This Row],[High-End AD (mg/kg-day)]]*Dermal_Exp[[#This Row],[ED_High-End]]*WY_high/(365*WY_high),"Not Assessed")</f>
        <v>1.8321917808219181E-3</v>
      </c>
      <c r="O37" s="328">
        <f>IFERROR(Dermal_Exp[[#This Row],[Central Tendency AD (mg/kg-day)]]*Dermal_Exp[[#This Row],[ED_Central Tendency]]*WY_mid/(365*WY_mid),"Not Assessed")</f>
        <v>9.1609589041095907E-4</v>
      </c>
      <c r="P37" s="328">
        <f>IFERROR(Dermal_Exp[[#This Row],[High-End AD (mg/kg-day)]]*Dermal_Exp[[#This Row],[ED_High-End]]*WY_high/(365*LT),"Not Assessed")</f>
        <v>9.3958552862662462E-4</v>
      </c>
      <c r="Q37" s="322">
        <f>IFERROR(Dermal_Exp[[#This Row],[Central Tendency AD (mg/kg-day)]]*Dermal_Exp[[#This Row],[ED_Central Tendency]]*WY_mid/(365*LT),"Not Assessed")</f>
        <v>3.6408939234281704E-4</v>
      </c>
    </row>
    <row r="38" spans="1:17" ht="15">
      <c r="A38" s="325">
        <v>4</v>
      </c>
      <c r="B38" s="386" t="s">
        <v>232</v>
      </c>
      <c r="C38" s="280" t="s">
        <v>206</v>
      </c>
      <c r="D38" s="409">
        <f>'Inhalation Exposure'!E39</f>
        <v>250</v>
      </c>
      <c r="E38" s="409">
        <f>'Inhalation Exposure'!F39</f>
        <v>250</v>
      </c>
      <c r="F38" s="410">
        <v>0.17800000000000002</v>
      </c>
      <c r="G38" s="410">
        <v>8.900000000000001E-2</v>
      </c>
      <c r="H38" s="410"/>
      <c r="I38" s="410"/>
      <c r="J38" s="321">
        <f>MAX(Dermal_Exp[[#This Row],[High-End Exposure to Liquid]],Dermal_Exp[[#This Row],[High-End Exposure to Solids]])/(IF(Dermal_Exp[[#This Row],[Worker Type]]="Female of Reproductive Age",BW_F,BW_default))</f>
        <v>2.4577148774594408E-3</v>
      </c>
      <c r="K38" s="321">
        <f>MAX(Dermal_Exp[[#This Row],[ Central Tendency Exposure to Liquids]],Dermal_Exp[[#This Row],[Central Tendency  Exposure to Solids]])/(IF(Dermal_Exp[[#This Row],[Worker Type]]="Female of Reproductive Age",BW_F,BW_default))</f>
        <v>1.2288574387297204E-3</v>
      </c>
      <c r="L38" s="320">
        <f>IFERROR(Dermal_Exp[[#This Row],[High-End AD (mg/kg-day)]]*IF(Dermal_Exp[[#This Row],[ED_High-End]]&gt;EFID,EFID,Dermal_Exp[[#This Row],[ED_High-End]])/ID,"Not Assessed")</f>
        <v>1.8023242434702564E-3</v>
      </c>
      <c r="M38" s="320">
        <f>IFERROR(Dermal_Exp[[#This Row],[Central Tendency AD (mg/kg-day)]]*IF(Dermal_Exp[[#This Row],[ED_Central Tendency]]&gt;EFID,EFID,Dermal_Exp[[#This Row],[ED_Central Tendency]])/ID,"Not Assessed")</f>
        <v>9.0116212173512822E-4</v>
      </c>
      <c r="N38" s="307">
        <f>IFERROR(Dermal_Exp[[#This Row],[High-End AD (mg/kg-day)]]*Dermal_Exp[[#This Row],[ED_High-End]]*WY_high/(365*WY_high),"Not Assessed")</f>
        <v>1.6833663544242746E-3</v>
      </c>
      <c r="O38" s="307">
        <f>IFERROR(Dermal_Exp[[#This Row],[Central Tendency AD (mg/kg-day)]]*Dermal_Exp[[#This Row],[ED_Central Tendency]]*WY_mid/(365*WY_mid),"Not Assessed")</f>
        <v>8.416831772121373E-4</v>
      </c>
      <c r="P38" s="307">
        <f>IFERROR(Dermal_Exp[[#This Row],[High-End AD (mg/kg-day)]]*Dermal_Exp[[#This Row],[ED_High-End]]*WY_high/(365*LT),"Not Assessed")</f>
        <v>8.632647971406536E-4</v>
      </c>
      <c r="Q38" s="322">
        <f>IFERROR(Dermal_Exp[[#This Row],[Central Tendency AD (mg/kg-day)]]*Dermal_Exp[[#This Row],[ED_Central Tendency]]*WY_mid/(365*LT),"Not Assessed")</f>
        <v>3.3451510889200329E-4</v>
      </c>
    </row>
    <row r="39" spans="1:17" ht="15">
      <c r="A39" s="325">
        <v>4</v>
      </c>
      <c r="B39" s="388" t="s">
        <v>232</v>
      </c>
      <c r="C39" s="280" t="s">
        <v>94</v>
      </c>
      <c r="D39" s="409">
        <f>'Inhalation Exposure'!E40</f>
        <v>250</v>
      </c>
      <c r="E39" s="409">
        <f>'Inhalation Exposure'!F40</f>
        <v>250</v>
      </c>
      <c r="F39" s="410"/>
      <c r="G39" s="410"/>
      <c r="H39" s="410"/>
      <c r="I39" s="410"/>
      <c r="J39" s="321">
        <f>MAX(Dermal_Exp[[#This Row],[High-End Exposure to Liquid]],Dermal_Exp[[#This Row],[High-End Exposure to Solids]])/(IF(Dermal_Exp[[#This Row],[Worker Type]]="Female of Reproductive Age",BW_F,BW_default))</f>
        <v>0</v>
      </c>
      <c r="K39" s="321">
        <f>MAX(Dermal_Exp[[#This Row],[ Central Tendency Exposure to Liquids]],Dermal_Exp[[#This Row],[Central Tendency  Exposure to Solids]])/(IF(Dermal_Exp[[#This Row],[Worker Type]]="Female of Reproductive Age",BW_F,BW_default))</f>
        <v>0</v>
      </c>
      <c r="L39" s="320">
        <f>IFERROR(Dermal_Exp[[#This Row],[High-End AD (mg/kg-day)]]*IF(Dermal_Exp[[#This Row],[ED_High-End]]&gt;EFID,EFID,Dermal_Exp[[#This Row],[ED_High-End]])/ID,"Not Assessed")</f>
        <v>0</v>
      </c>
      <c r="M39" s="320">
        <f>IFERROR(Dermal_Exp[[#This Row],[Central Tendency AD (mg/kg-day)]]*IF(Dermal_Exp[[#This Row],[ED_Central Tendency]]&gt;EFID,EFID,Dermal_Exp[[#This Row],[ED_Central Tendency]])/ID,"Not Assessed")</f>
        <v>0</v>
      </c>
      <c r="N39" s="328">
        <f>IFERROR(Dermal_Exp[[#This Row],[High-End AD (mg/kg-day)]]*Dermal_Exp[[#This Row],[ED_High-End]]*WY_high/(365*WY_high),"Not Assessed")</f>
        <v>0</v>
      </c>
      <c r="O39" s="328">
        <f>IFERROR(Dermal_Exp[[#This Row],[Central Tendency AD (mg/kg-day)]]*Dermal_Exp[[#This Row],[ED_Central Tendency]]*WY_mid/(365*WY_mid),"Not Assessed")</f>
        <v>0</v>
      </c>
      <c r="P39" s="328">
        <f>IFERROR(Dermal_Exp[[#This Row],[High-End AD (mg/kg-day)]]*Dermal_Exp[[#This Row],[ED_High-End]]*WY_high/(365*LT),"Not Assessed")</f>
        <v>0</v>
      </c>
      <c r="Q39" s="322">
        <f>IFERROR(Dermal_Exp[[#This Row],[Central Tendency AD (mg/kg-day)]]*Dermal_Exp[[#This Row],[ED_Central Tendency]]*WY_mid/(365*LT),"Not Assessed")</f>
        <v>0</v>
      </c>
    </row>
    <row r="40" spans="1:17" ht="15">
      <c r="A40" s="325">
        <v>4</v>
      </c>
      <c r="B40" s="388" t="s">
        <v>233</v>
      </c>
      <c r="C40" s="280" t="s">
        <v>74</v>
      </c>
      <c r="D40" s="409">
        <f>'Inhalation Exposure'!E41</f>
        <v>3</v>
      </c>
      <c r="E40" s="409">
        <f>'Inhalation Exposure'!F41</f>
        <v>1</v>
      </c>
      <c r="F40" s="410">
        <v>0.21400000000000002</v>
      </c>
      <c r="G40" s="410">
        <v>0.10700000000000001</v>
      </c>
      <c r="H40" s="410"/>
      <c r="I40" s="410"/>
      <c r="J40" s="321">
        <f>MAX(Dermal_Exp[[#This Row],[High-End Exposure to Liquid]],Dermal_Exp[[#This Row],[High-End Exposure to Solids]])/(IF(Dermal_Exp[[#This Row],[Worker Type]]="Female of Reproductive Age",BW_F,BW_default))</f>
        <v>2.6750000000000003E-3</v>
      </c>
      <c r="K40" s="321">
        <f>MAX(Dermal_Exp[[#This Row],[ Central Tendency Exposure to Liquids]],Dermal_Exp[[#This Row],[Central Tendency  Exposure to Solids]])/(IF(Dermal_Exp[[#This Row],[Worker Type]]="Female of Reproductive Age",BW_F,BW_default))</f>
        <v>1.3375000000000001E-3</v>
      </c>
      <c r="L40" s="320">
        <f>IFERROR(Dermal_Exp[[#This Row],[High-End AD (mg/kg-day)]]*IF(Dermal_Exp[[#This Row],[ED_High-End]]&gt;EFID,EFID,Dermal_Exp[[#This Row],[ED_High-End]])/ID,"Not Assessed")</f>
        <v>2.6750000000000005E-4</v>
      </c>
      <c r="M40" s="320">
        <f>IFERROR(Dermal_Exp[[#This Row],[Central Tendency AD (mg/kg-day)]]*IF(Dermal_Exp[[#This Row],[ED_Central Tendency]]&gt;EFID,EFID,Dermal_Exp[[#This Row],[ED_Central Tendency]])/ID,"Not Assessed")</f>
        <v>4.4583333333333337E-5</v>
      </c>
      <c r="N40" s="307">
        <f>IFERROR(Dermal_Exp[[#This Row],[High-End AD (mg/kg-day)]]*Dermal_Exp[[#This Row],[ED_High-End]]*WY_high/(365*WY_high),"Not Assessed")</f>
        <v>2.1986301369863017E-5</v>
      </c>
      <c r="O40" s="307">
        <f>IFERROR(Dermal_Exp[[#This Row],[Central Tendency AD (mg/kg-day)]]*Dermal_Exp[[#This Row],[ED_Central Tendency]]*WY_mid/(365*WY_mid),"Not Assessed")</f>
        <v>3.6643835616438361E-6</v>
      </c>
      <c r="P40" s="307">
        <f>IFERROR(Dermal_Exp[[#This Row],[High-End AD (mg/kg-day)]]*Dermal_Exp[[#This Row],[ED_High-End]]*WY_high/(365*LT),"Not Assessed")</f>
        <v>1.1275026343519496E-5</v>
      </c>
      <c r="Q40" s="322">
        <f>IFERROR(Dermal_Exp[[#This Row],[Central Tendency AD (mg/kg-day)]]*Dermal_Exp[[#This Row],[ED_Central Tendency]]*WY_mid/(365*LT),"Not Assessed")</f>
        <v>1.4563575693712682E-6</v>
      </c>
    </row>
    <row r="41" spans="1:17" ht="15">
      <c r="A41" s="325">
        <v>4</v>
      </c>
      <c r="B41" s="386" t="s">
        <v>233</v>
      </c>
      <c r="C41" s="280" t="s">
        <v>206</v>
      </c>
      <c r="D41" s="409">
        <f>'Inhalation Exposure'!E42</f>
        <v>3</v>
      </c>
      <c r="E41" s="409">
        <f>'Inhalation Exposure'!F42</f>
        <v>1</v>
      </c>
      <c r="F41" s="412">
        <v>0.17800000000000002</v>
      </c>
      <c r="G41" s="412">
        <v>8.900000000000001E-2</v>
      </c>
      <c r="H41" s="410"/>
      <c r="I41" s="410"/>
      <c r="J41" s="321">
        <f>MAX(Dermal_Exp[[#This Row],[High-End Exposure to Liquid]],Dermal_Exp[[#This Row],[High-End Exposure to Solids]])/(IF(Dermal_Exp[[#This Row],[Worker Type]]="Female of Reproductive Age",BW_F,BW_default))</f>
        <v>2.4577148774594408E-3</v>
      </c>
      <c r="K41" s="321">
        <f>MAX(Dermal_Exp[[#This Row],[ Central Tendency Exposure to Liquids]],Dermal_Exp[[#This Row],[Central Tendency  Exposure to Solids]])/(IF(Dermal_Exp[[#This Row],[Worker Type]]="Female of Reproductive Age",BW_F,BW_default))</f>
        <v>1.2288574387297204E-3</v>
      </c>
      <c r="L41" s="320">
        <f>IFERROR(Dermal_Exp[[#This Row],[High-End AD (mg/kg-day)]]*IF(Dermal_Exp[[#This Row],[ED_High-End]]&gt;EFID,EFID,Dermal_Exp[[#This Row],[ED_High-End]])/ID,"Not Assessed")</f>
        <v>2.457714877459441E-4</v>
      </c>
      <c r="M41" s="320">
        <f>IFERROR(Dermal_Exp[[#This Row],[Central Tendency AD (mg/kg-day)]]*IF(Dermal_Exp[[#This Row],[ED_Central Tendency]]&gt;EFID,EFID,Dermal_Exp[[#This Row],[ED_Central Tendency]])/ID,"Not Assessed")</f>
        <v>4.0961914624324014E-5</v>
      </c>
      <c r="N41" s="328">
        <f>IFERROR(Dermal_Exp[[#This Row],[High-End AD (mg/kg-day)]]*Dermal_Exp[[#This Row],[ED_High-End]]*WY_high/(365*WY_high),"Not Assessed")</f>
        <v>2.0200396253091296E-5</v>
      </c>
      <c r="O41" s="328">
        <f>IFERROR(Dermal_Exp[[#This Row],[Central Tendency AD (mg/kg-day)]]*Dermal_Exp[[#This Row],[ED_Central Tendency]]*WY_mid/(365*WY_mid),"Not Assessed")</f>
        <v>3.3667327088485491E-6</v>
      </c>
      <c r="P41" s="328">
        <f>IFERROR(Dermal_Exp[[#This Row],[High-End AD (mg/kg-day)]]*Dermal_Exp[[#This Row],[ED_High-End]]*WY_high/(365*LT),"Not Assessed")</f>
        <v>1.0359177565687845E-5</v>
      </c>
      <c r="Q41" s="322">
        <f>IFERROR(Dermal_Exp[[#This Row],[Central Tendency AD (mg/kg-day)]]*Dermal_Exp[[#This Row],[ED_Central Tendency]]*WY_mid/(365*LT),"Not Assessed")</f>
        <v>1.3380604355680132E-6</v>
      </c>
    </row>
    <row r="42" spans="1:17" ht="15">
      <c r="A42" s="325">
        <v>4</v>
      </c>
      <c r="B42" s="388" t="s">
        <v>233</v>
      </c>
      <c r="C42" s="280" t="s">
        <v>94</v>
      </c>
      <c r="D42" s="409">
        <f>'Inhalation Exposure'!E43</f>
        <v>3</v>
      </c>
      <c r="E42" s="409">
        <f>'Inhalation Exposure'!F43</f>
        <v>1</v>
      </c>
      <c r="F42" s="410"/>
      <c r="G42" s="410"/>
      <c r="H42" s="410"/>
      <c r="I42" s="410"/>
      <c r="J42" s="321">
        <f>MAX(Dermal_Exp[[#This Row],[High-End Exposure to Liquid]],Dermal_Exp[[#This Row],[High-End Exposure to Solids]])/(IF(Dermal_Exp[[#This Row],[Worker Type]]="Female of Reproductive Age",BW_F,BW_default))</f>
        <v>0</v>
      </c>
      <c r="K42" s="321">
        <f>MAX(Dermal_Exp[[#This Row],[ Central Tendency Exposure to Liquids]],Dermal_Exp[[#This Row],[Central Tendency  Exposure to Solids]])/(IF(Dermal_Exp[[#This Row],[Worker Type]]="Female of Reproductive Age",BW_F,BW_default))</f>
        <v>0</v>
      </c>
      <c r="L42" s="320">
        <f>IFERROR(Dermal_Exp[[#This Row],[High-End AD (mg/kg-day)]]*IF(Dermal_Exp[[#This Row],[ED_High-End]]&gt;EFID,EFID,Dermal_Exp[[#This Row],[ED_High-End]])/ID,"Not Assessed")</f>
        <v>0</v>
      </c>
      <c r="M42" s="320">
        <f>IFERROR(Dermal_Exp[[#This Row],[Central Tendency AD (mg/kg-day)]]*IF(Dermal_Exp[[#This Row],[ED_Central Tendency]]&gt;EFID,EFID,Dermal_Exp[[#This Row],[ED_Central Tendency]])/ID,"Not Assessed")</f>
        <v>0</v>
      </c>
      <c r="N42" s="307">
        <f>IFERROR(Dermal_Exp[[#This Row],[High-End AD (mg/kg-day)]]*Dermal_Exp[[#This Row],[ED_High-End]]*WY_high/(365*WY_high),"Not Assessed")</f>
        <v>0</v>
      </c>
      <c r="O42" s="307">
        <f>IFERROR(Dermal_Exp[[#This Row],[Central Tendency AD (mg/kg-day)]]*Dermal_Exp[[#This Row],[ED_Central Tendency]]*WY_mid/(365*WY_mid),"Not Assessed")</f>
        <v>0</v>
      </c>
      <c r="P42" s="307">
        <f>IFERROR(Dermal_Exp[[#This Row],[High-End AD (mg/kg-day)]]*Dermal_Exp[[#This Row],[ED_High-End]]*WY_high/(365*LT),"Not Assessed")</f>
        <v>0</v>
      </c>
      <c r="Q42" s="322">
        <f>IFERROR(Dermal_Exp[[#This Row],[Central Tendency AD (mg/kg-day)]]*Dermal_Exp[[#This Row],[ED_Central Tendency]]*WY_mid/(365*LT),"Not Assessed")</f>
        <v>0</v>
      </c>
    </row>
    <row r="43" spans="1:17" ht="15">
      <c r="A43" s="325">
        <v>4</v>
      </c>
      <c r="B43" s="388" t="s">
        <v>234</v>
      </c>
      <c r="C43" s="280" t="s">
        <v>74</v>
      </c>
      <c r="D43" s="409">
        <f>'Inhalation Exposure'!E44</f>
        <v>250</v>
      </c>
      <c r="E43" s="409">
        <f>'Inhalation Exposure'!F44</f>
        <v>235</v>
      </c>
      <c r="F43" s="410">
        <v>0.21400000000000002</v>
      </c>
      <c r="G43" s="410">
        <v>0.10700000000000001</v>
      </c>
      <c r="H43" s="410">
        <v>0.41088000000000002</v>
      </c>
      <c r="I43" s="413">
        <v>0.20544000000000001</v>
      </c>
      <c r="J43" s="321">
        <f>MAX(Dermal_Exp[[#This Row],[High-End Exposure to Liquid]],Dermal_Exp[[#This Row],[High-End Exposure to Solids]])/(IF(Dermal_Exp[[#This Row],[Worker Type]]="Female of Reproductive Age",BW_F,BW_default))</f>
        <v>5.1359999999999999E-3</v>
      </c>
      <c r="K43" s="321">
        <f>MAX(Dermal_Exp[[#This Row],[ Central Tendency Exposure to Liquids]],Dermal_Exp[[#This Row],[Central Tendency  Exposure to Solids]])/(IF(Dermal_Exp[[#This Row],[Worker Type]]="Female of Reproductive Age",BW_F,BW_default))</f>
        <v>2.568E-3</v>
      </c>
      <c r="L43" s="320">
        <f>IFERROR(Dermal_Exp[[#This Row],[High-End AD (mg/kg-day)]]*IF(Dermal_Exp[[#This Row],[ED_High-End]]&gt;EFID,EFID,Dermal_Exp[[#This Row],[ED_High-End]])/ID,"Not Assessed")</f>
        <v>3.7664E-3</v>
      </c>
      <c r="M43" s="320">
        <f>IFERROR(Dermal_Exp[[#This Row],[Central Tendency AD (mg/kg-day)]]*IF(Dermal_Exp[[#This Row],[ED_Central Tendency]]&gt;EFID,EFID,Dermal_Exp[[#This Row],[ED_Central Tendency]])/ID,"Not Assessed")</f>
        <v>1.8832E-3</v>
      </c>
      <c r="N43" s="328">
        <f>IFERROR(Dermal_Exp[[#This Row],[High-End AD (mg/kg-day)]]*Dermal_Exp[[#This Row],[ED_High-End]]*WY_high/(365*WY_high),"Not Assessed")</f>
        <v>3.5178082191780822E-3</v>
      </c>
      <c r="O43" s="328">
        <f>IFERROR(Dermal_Exp[[#This Row],[Central Tendency AD (mg/kg-day)]]*Dermal_Exp[[#This Row],[ED_Central Tendency]]*WY_mid/(365*WY_mid),"Not Assessed")</f>
        <v>1.6533698630136985E-3</v>
      </c>
      <c r="P43" s="328">
        <f>IFERROR(Dermal_Exp[[#This Row],[High-End AD (mg/kg-day)]]*Dermal_Exp[[#This Row],[ED_High-End]]*WY_high/(365*LT),"Not Assessed")</f>
        <v>1.804004214963119E-3</v>
      </c>
      <c r="Q43" s="322">
        <f>IFERROR(Dermal_Exp[[#This Row],[Central Tendency AD (mg/kg-day)]]*Dermal_Exp[[#This Row],[ED_Central Tendency]]*WY_mid/(365*LT),"Not Assessed")</f>
        <v>6.5710853530031612E-4</v>
      </c>
    </row>
    <row r="44" spans="1:17" ht="15">
      <c r="A44" s="325">
        <v>4</v>
      </c>
      <c r="B44" s="386" t="s">
        <v>234</v>
      </c>
      <c r="C44" s="280" t="s">
        <v>206</v>
      </c>
      <c r="D44" s="409">
        <f>'Inhalation Exposure'!E45</f>
        <v>250</v>
      </c>
      <c r="E44" s="409">
        <f>'Inhalation Exposure'!F45</f>
        <v>235</v>
      </c>
      <c r="F44" s="410">
        <v>0.17800000000000002</v>
      </c>
      <c r="G44" s="410">
        <v>8.900000000000001E-2</v>
      </c>
      <c r="H44" s="410">
        <v>0.34176000000000001</v>
      </c>
      <c r="I44" s="410">
        <v>0.17088</v>
      </c>
      <c r="J44" s="321">
        <f>MAX(Dermal_Exp[[#This Row],[High-End Exposure to Liquid]],Dermal_Exp[[#This Row],[High-End Exposure to Solids]])/(IF(Dermal_Exp[[#This Row],[Worker Type]]="Female of Reproductive Age",BW_F,BW_default))</f>
        <v>4.718812564722126E-3</v>
      </c>
      <c r="K44" s="321">
        <f>MAX(Dermal_Exp[[#This Row],[ Central Tendency Exposure to Liquids]],Dermal_Exp[[#This Row],[Central Tendency  Exposure to Solids]])/(IF(Dermal_Exp[[#This Row],[Worker Type]]="Female of Reproductive Age",BW_F,BW_default))</f>
        <v>2.359406282361063E-3</v>
      </c>
      <c r="L44" s="320">
        <f>IFERROR(Dermal_Exp[[#This Row],[High-End AD (mg/kg-day)]]*IF(Dermal_Exp[[#This Row],[ED_High-End]]&gt;EFID,EFID,Dermal_Exp[[#This Row],[ED_High-End]])/ID,"Not Assessed")</f>
        <v>3.4604625474628924E-3</v>
      </c>
      <c r="M44" s="320">
        <f>IFERROR(Dermal_Exp[[#This Row],[Central Tendency AD (mg/kg-day)]]*IF(Dermal_Exp[[#This Row],[ED_Central Tendency]]&gt;EFID,EFID,Dermal_Exp[[#This Row],[ED_Central Tendency]])/ID,"Not Assessed")</f>
        <v>1.7302312737314462E-3</v>
      </c>
      <c r="N44" s="307">
        <f>IFERROR(Dermal_Exp[[#This Row],[High-End AD (mg/kg-day)]]*Dermal_Exp[[#This Row],[ED_High-End]]*WY_high/(365*WY_high),"Not Assessed")</f>
        <v>3.2320634004946065E-3</v>
      </c>
      <c r="O44" s="307">
        <f>IFERROR(Dermal_Exp[[#This Row],[Central Tendency AD (mg/kg-day)]]*Dermal_Exp[[#This Row],[ED_Central Tendency]]*WY_mid/(365*WY_mid),"Not Assessed")</f>
        <v>1.5190697982324652E-3</v>
      </c>
      <c r="P44" s="307">
        <f>IFERROR(Dermal_Exp[[#This Row],[High-End AD (mg/kg-day)]]*Dermal_Exp[[#This Row],[ED_High-End]]*WY_high/(365*LT),"Not Assessed")</f>
        <v>1.6574684105100546E-3</v>
      </c>
      <c r="Q44" s="322">
        <f>IFERROR(Dermal_Exp[[#This Row],[Central Tendency AD (mg/kg-day)]]*Dermal_Exp[[#This Row],[ED_Central Tendency]]*WY_mid/(365*LT),"Not Assessed")</f>
        <v>6.0373286852828743E-4</v>
      </c>
    </row>
    <row r="45" spans="1:17" ht="15">
      <c r="A45" s="325">
        <v>4</v>
      </c>
      <c r="B45" s="388" t="s">
        <v>234</v>
      </c>
      <c r="C45" s="280" t="s">
        <v>94</v>
      </c>
      <c r="D45" s="409">
        <f>'Inhalation Exposure'!E46</f>
        <v>250</v>
      </c>
      <c r="E45" s="409">
        <f>'Inhalation Exposure'!F46</f>
        <v>235</v>
      </c>
      <c r="F45" s="410"/>
      <c r="G45" s="410"/>
      <c r="H45" s="410">
        <v>0.20544000000000001</v>
      </c>
      <c r="I45" s="410">
        <v>0.20544000000000001</v>
      </c>
      <c r="J45" s="321">
        <f>MAX(Dermal_Exp[[#This Row],[High-End Exposure to Liquid]],Dermal_Exp[[#This Row],[High-End Exposure to Solids]])/(IF(Dermal_Exp[[#This Row],[Worker Type]]="Female of Reproductive Age",BW_F,BW_default))</f>
        <v>2.568E-3</v>
      </c>
      <c r="K45" s="321">
        <f>MAX(Dermal_Exp[[#This Row],[ Central Tendency Exposure to Liquids]],Dermal_Exp[[#This Row],[Central Tendency  Exposure to Solids]])/(IF(Dermal_Exp[[#This Row],[Worker Type]]="Female of Reproductive Age",BW_F,BW_default))</f>
        <v>2.568E-3</v>
      </c>
      <c r="L45" s="320">
        <f>IFERROR(Dermal_Exp[[#This Row],[High-End AD (mg/kg-day)]]*IF(Dermal_Exp[[#This Row],[ED_High-End]]&gt;EFID,EFID,Dermal_Exp[[#This Row],[ED_High-End]])/ID,"Not Assessed")</f>
        <v>1.8832E-3</v>
      </c>
      <c r="M45" s="320">
        <f>IFERROR(Dermal_Exp[[#This Row],[Central Tendency AD (mg/kg-day)]]*IF(Dermal_Exp[[#This Row],[ED_Central Tendency]]&gt;EFID,EFID,Dermal_Exp[[#This Row],[ED_Central Tendency]])/ID,"Not Assessed")</f>
        <v>1.8832E-3</v>
      </c>
      <c r="N45" s="307">
        <f>IFERROR(Dermal_Exp[[#This Row],[High-End AD (mg/kg-day)]]*Dermal_Exp[[#This Row],[ED_High-End]]*WY_high/(365*WY_high),"Not Assessed")</f>
        <v>1.7589041095890411E-3</v>
      </c>
      <c r="O45" s="307">
        <f>IFERROR(Dermal_Exp[[#This Row],[Central Tendency AD (mg/kg-day)]]*Dermal_Exp[[#This Row],[ED_Central Tendency]]*WY_mid/(365*WY_mid),"Not Assessed")</f>
        <v>1.6533698630136985E-3</v>
      </c>
      <c r="P45" s="307">
        <f>IFERROR(Dermal_Exp[[#This Row],[High-End AD (mg/kg-day)]]*Dermal_Exp[[#This Row],[ED_High-End]]*WY_high/(365*LT),"Not Assessed")</f>
        <v>9.0200210748155952E-4</v>
      </c>
      <c r="Q45" s="322">
        <f>IFERROR(Dermal_Exp[[#This Row],[Central Tendency AD (mg/kg-day)]]*Dermal_Exp[[#This Row],[ED_Central Tendency]]*WY_mid/(365*LT),"Not Assessed")</f>
        <v>6.5710853530031612E-4</v>
      </c>
    </row>
    <row r="46" spans="1:17" ht="15">
      <c r="A46" s="325">
        <v>4</v>
      </c>
      <c r="B46" s="388" t="s">
        <v>237</v>
      </c>
      <c r="C46" s="280" t="s">
        <v>74</v>
      </c>
      <c r="D46" s="409">
        <f>'Inhalation Exposure'!E47</f>
        <v>250</v>
      </c>
      <c r="E46" s="409">
        <f>'Inhalation Exposure'!F47</f>
        <v>250</v>
      </c>
      <c r="F46" s="412"/>
      <c r="G46" s="412"/>
      <c r="H46" s="410">
        <v>0.41088000000000002</v>
      </c>
      <c r="I46" s="410">
        <v>0.20544000000000001</v>
      </c>
      <c r="J46" s="321">
        <f>MAX(Dermal_Exp[[#This Row],[High-End Exposure to Liquid]],Dermal_Exp[[#This Row],[High-End Exposure to Solids]])/(IF(Dermal_Exp[[#This Row],[Worker Type]]="Female of Reproductive Age",BW_F,BW_default))</f>
        <v>5.1359999999999999E-3</v>
      </c>
      <c r="K46" s="321">
        <f>MAX(Dermal_Exp[[#This Row],[ Central Tendency Exposure to Liquids]],Dermal_Exp[[#This Row],[Central Tendency  Exposure to Solids]])/(IF(Dermal_Exp[[#This Row],[Worker Type]]="Female of Reproductive Age",BW_F,BW_default))</f>
        <v>2.568E-3</v>
      </c>
      <c r="L46" s="320">
        <f>IFERROR(Dermal_Exp[[#This Row],[High-End AD (mg/kg-day)]]*IF(Dermal_Exp[[#This Row],[ED_High-End]]&gt;EFID,EFID,Dermal_Exp[[#This Row],[ED_High-End]])/ID,"Not Assessed")</f>
        <v>3.7664E-3</v>
      </c>
      <c r="M46" s="320">
        <f>IFERROR(Dermal_Exp[[#This Row],[Central Tendency AD (mg/kg-day)]]*IF(Dermal_Exp[[#This Row],[ED_Central Tendency]]&gt;EFID,EFID,Dermal_Exp[[#This Row],[ED_Central Tendency]])/ID,"Not Assessed")</f>
        <v>1.8832E-3</v>
      </c>
      <c r="N46" s="307">
        <f>IFERROR(Dermal_Exp[[#This Row],[High-End AD (mg/kg-day)]]*Dermal_Exp[[#This Row],[ED_High-End]]*WY_high/(365*WY_high),"Not Assessed")</f>
        <v>3.5178082191780822E-3</v>
      </c>
      <c r="O46" s="307">
        <f>IFERROR(Dermal_Exp[[#This Row],[Central Tendency AD (mg/kg-day)]]*Dermal_Exp[[#This Row],[ED_Central Tendency]]*WY_mid/(365*WY_mid),"Not Assessed")</f>
        <v>1.7589041095890411E-3</v>
      </c>
      <c r="P46" s="307">
        <f>IFERROR(Dermal_Exp[[#This Row],[High-End AD (mg/kg-day)]]*Dermal_Exp[[#This Row],[ED_High-End]]*WY_high/(365*LT),"Not Assessed")</f>
        <v>1.804004214963119E-3</v>
      </c>
      <c r="Q46" s="322">
        <f>IFERROR(Dermal_Exp[[#This Row],[Central Tendency AD (mg/kg-day)]]*Dermal_Exp[[#This Row],[ED_Central Tendency]]*WY_mid/(365*LT),"Not Assessed")</f>
        <v>6.990516332982087E-4</v>
      </c>
    </row>
    <row r="47" spans="1:17" ht="15">
      <c r="A47" s="325">
        <v>4</v>
      </c>
      <c r="B47" s="386" t="s">
        <v>237</v>
      </c>
      <c r="C47" s="280" t="s">
        <v>206</v>
      </c>
      <c r="D47" s="409">
        <f>'Inhalation Exposure'!E48</f>
        <v>250</v>
      </c>
      <c r="E47" s="409">
        <f>'Inhalation Exposure'!F48</f>
        <v>250</v>
      </c>
      <c r="F47" s="410"/>
      <c r="G47" s="410"/>
      <c r="H47" s="410">
        <v>0.34176000000000001</v>
      </c>
      <c r="I47" s="410">
        <v>0.17088</v>
      </c>
      <c r="J47" s="321">
        <f>MAX(Dermal_Exp[[#This Row],[High-End Exposure to Liquid]],Dermal_Exp[[#This Row],[High-End Exposure to Solids]])/(IF(Dermal_Exp[[#This Row],[Worker Type]]="Female of Reproductive Age",BW_F,BW_default))</f>
        <v>4.718812564722126E-3</v>
      </c>
      <c r="K47" s="321">
        <f>MAX(Dermal_Exp[[#This Row],[ Central Tendency Exposure to Liquids]],Dermal_Exp[[#This Row],[Central Tendency  Exposure to Solids]])/(IF(Dermal_Exp[[#This Row],[Worker Type]]="Female of Reproductive Age",BW_F,BW_default))</f>
        <v>2.359406282361063E-3</v>
      </c>
      <c r="L47" s="320">
        <f>IFERROR(Dermal_Exp[[#This Row],[High-End AD (mg/kg-day)]]*IF(Dermal_Exp[[#This Row],[ED_High-End]]&gt;EFID,EFID,Dermal_Exp[[#This Row],[ED_High-End]])/ID,"Not Assessed")</f>
        <v>3.4604625474628924E-3</v>
      </c>
      <c r="M47" s="320">
        <f>IFERROR(Dermal_Exp[[#This Row],[Central Tendency AD (mg/kg-day)]]*IF(Dermal_Exp[[#This Row],[ED_Central Tendency]]&gt;EFID,EFID,Dermal_Exp[[#This Row],[ED_Central Tendency]])/ID,"Not Assessed")</f>
        <v>1.7302312737314462E-3</v>
      </c>
      <c r="N47" s="328">
        <f>IFERROR(Dermal_Exp[[#This Row],[High-End AD (mg/kg-day)]]*Dermal_Exp[[#This Row],[ED_High-End]]*WY_high/(365*WY_high),"Not Assessed")</f>
        <v>3.2320634004946065E-3</v>
      </c>
      <c r="O47" s="328">
        <f>IFERROR(Dermal_Exp[[#This Row],[Central Tendency AD (mg/kg-day)]]*Dermal_Exp[[#This Row],[ED_Central Tendency]]*WY_mid/(365*WY_mid),"Not Assessed")</f>
        <v>1.6160317002473033E-3</v>
      </c>
      <c r="P47" s="328">
        <f>IFERROR(Dermal_Exp[[#This Row],[High-End AD (mg/kg-day)]]*Dermal_Exp[[#This Row],[ED_High-End]]*WY_high/(365*LT),"Not Assessed")</f>
        <v>1.6574684105100546E-3</v>
      </c>
      <c r="Q47" s="322">
        <f>IFERROR(Dermal_Exp[[#This Row],[Central Tendency AD (mg/kg-day)]]*Dermal_Exp[[#This Row],[ED_Central Tendency]]*WY_mid/(365*LT),"Not Assessed")</f>
        <v>6.4226900907264617E-4</v>
      </c>
    </row>
    <row r="48" spans="1:17" ht="15">
      <c r="A48" s="325">
        <v>5</v>
      </c>
      <c r="B48" s="388" t="s">
        <v>237</v>
      </c>
      <c r="C48" s="280" t="s">
        <v>94</v>
      </c>
      <c r="D48" s="409">
        <f>'Inhalation Exposure'!E49</f>
        <v>250</v>
      </c>
      <c r="E48" s="409">
        <f>'Inhalation Exposure'!F49</f>
        <v>250</v>
      </c>
      <c r="F48" s="410"/>
      <c r="G48" s="410"/>
      <c r="H48" s="410">
        <v>0.20544000000000001</v>
      </c>
      <c r="I48" s="410">
        <v>0.20544000000000001</v>
      </c>
      <c r="J48" s="321">
        <f>MAX(Dermal_Exp[[#This Row],[High-End Exposure to Liquid]],Dermal_Exp[[#This Row],[High-End Exposure to Solids]])/(IF(Dermal_Exp[[#This Row],[Worker Type]]="Female of Reproductive Age",BW_F,BW_default))</f>
        <v>2.568E-3</v>
      </c>
      <c r="K48" s="321">
        <f>MAX(Dermal_Exp[[#This Row],[ Central Tendency Exposure to Liquids]],Dermal_Exp[[#This Row],[Central Tendency  Exposure to Solids]])/(IF(Dermal_Exp[[#This Row],[Worker Type]]="Female of Reproductive Age",BW_F,BW_default))</f>
        <v>2.568E-3</v>
      </c>
      <c r="L48" s="320">
        <f>IFERROR(Dermal_Exp[[#This Row],[High-End AD (mg/kg-day)]]*IF(Dermal_Exp[[#This Row],[ED_High-End]]&gt;EFID,EFID,Dermal_Exp[[#This Row],[ED_High-End]])/ID,"Not Assessed")</f>
        <v>1.8832E-3</v>
      </c>
      <c r="M48" s="320">
        <f>IFERROR(Dermal_Exp[[#This Row],[Central Tendency AD (mg/kg-day)]]*IF(Dermal_Exp[[#This Row],[ED_Central Tendency]]&gt;EFID,EFID,Dermal_Exp[[#This Row],[ED_Central Tendency]])/ID,"Not Assessed")</f>
        <v>1.8832E-3</v>
      </c>
      <c r="N48" s="307">
        <f>IFERROR(Dermal_Exp[[#This Row],[High-End AD (mg/kg-day)]]*Dermal_Exp[[#This Row],[ED_High-End]]*WY_high/(365*WY_high),"Not Assessed")</f>
        <v>1.7589041095890411E-3</v>
      </c>
      <c r="O48" s="307">
        <f>IFERROR(Dermal_Exp[[#This Row],[Central Tendency AD (mg/kg-day)]]*Dermal_Exp[[#This Row],[ED_Central Tendency]]*WY_mid/(365*WY_mid),"Not Assessed")</f>
        <v>1.7589041095890411E-3</v>
      </c>
      <c r="P48" s="307">
        <f>IFERROR(Dermal_Exp[[#This Row],[High-End AD (mg/kg-day)]]*Dermal_Exp[[#This Row],[ED_High-End]]*WY_high/(365*LT),"Not Assessed")</f>
        <v>9.0200210748155952E-4</v>
      </c>
      <c r="Q48" s="322">
        <f>IFERROR(Dermal_Exp[[#This Row],[Central Tendency AD (mg/kg-day)]]*Dermal_Exp[[#This Row],[ED_Central Tendency]]*WY_mid/(365*LT),"Not Assessed")</f>
        <v>6.990516332982087E-4</v>
      </c>
    </row>
    <row r="49" spans="1:17" ht="15">
      <c r="A49" s="325">
        <v>5</v>
      </c>
      <c r="B49" s="388" t="s">
        <v>239</v>
      </c>
      <c r="C49" s="280" t="s">
        <v>74</v>
      </c>
      <c r="D49" s="409">
        <f>'Inhalation Exposure'!E50</f>
        <v>238</v>
      </c>
      <c r="E49" s="409">
        <f>'Inhalation Exposure'!F50</f>
        <v>238</v>
      </c>
      <c r="F49" s="410"/>
      <c r="G49" s="410"/>
      <c r="H49" s="410">
        <v>0.41088000000000002</v>
      </c>
      <c r="I49" s="410">
        <v>0.20544000000000001</v>
      </c>
      <c r="J49" s="321">
        <f>MAX(Dermal_Exp[[#This Row],[High-End Exposure to Liquid]],Dermal_Exp[[#This Row],[High-End Exposure to Solids]])/(IF(Dermal_Exp[[#This Row],[Worker Type]]="Female of Reproductive Age",BW_F,BW_default))</f>
        <v>5.1359999999999999E-3</v>
      </c>
      <c r="K49" s="321">
        <f>MAX(Dermal_Exp[[#This Row],[ Central Tendency Exposure to Liquids]],Dermal_Exp[[#This Row],[Central Tendency  Exposure to Solids]])/(IF(Dermal_Exp[[#This Row],[Worker Type]]="Female of Reproductive Age",BW_F,BW_default))</f>
        <v>2.568E-3</v>
      </c>
      <c r="L49" s="320">
        <f>IFERROR(Dermal_Exp[[#This Row],[High-End AD (mg/kg-day)]]*IF(Dermal_Exp[[#This Row],[ED_High-End]]&gt;EFID,EFID,Dermal_Exp[[#This Row],[ED_High-End]])/ID,"Not Assessed")</f>
        <v>3.7664E-3</v>
      </c>
      <c r="M49" s="320">
        <f>IFERROR(Dermal_Exp[[#This Row],[Central Tendency AD (mg/kg-day)]]*IF(Dermal_Exp[[#This Row],[ED_Central Tendency]]&gt;EFID,EFID,Dermal_Exp[[#This Row],[ED_Central Tendency]])/ID,"Not Assessed")</f>
        <v>1.8832E-3</v>
      </c>
      <c r="N49" s="307">
        <f>IFERROR(Dermal_Exp[[#This Row],[High-End AD (mg/kg-day)]]*Dermal_Exp[[#This Row],[ED_High-End]]*WY_high/(365*WY_high),"Not Assessed")</f>
        <v>3.3489534246575335E-3</v>
      </c>
      <c r="O49" s="307">
        <f>IFERROR(Dermal_Exp[[#This Row],[Central Tendency AD (mg/kg-day)]]*Dermal_Exp[[#This Row],[ED_Central Tendency]]*WY_mid/(365*WY_mid),"Not Assessed")</f>
        <v>1.6744767123287668E-3</v>
      </c>
      <c r="P49" s="307">
        <f>IFERROR(Dermal_Exp[[#This Row],[High-End AD (mg/kg-day)]]*Dermal_Exp[[#This Row],[ED_High-End]]*WY_high/(365*LT),"Not Assessed")</f>
        <v>1.717412012644889E-3</v>
      </c>
      <c r="Q49" s="322">
        <f>IFERROR(Dermal_Exp[[#This Row],[Central Tendency AD (mg/kg-day)]]*Dermal_Exp[[#This Row],[ED_Central Tendency]]*WY_mid/(365*LT),"Not Assessed")</f>
        <v>6.6549715489989448E-4</v>
      </c>
    </row>
    <row r="50" spans="1:17" ht="15">
      <c r="A50" s="325">
        <v>5</v>
      </c>
      <c r="B50" s="386" t="s">
        <v>239</v>
      </c>
      <c r="C50" s="280" t="s">
        <v>206</v>
      </c>
      <c r="D50" s="409">
        <f>'Inhalation Exposure'!E51</f>
        <v>238</v>
      </c>
      <c r="E50" s="409">
        <f>'Inhalation Exposure'!F51</f>
        <v>238</v>
      </c>
      <c r="F50" s="410"/>
      <c r="G50" s="410"/>
      <c r="H50" s="410">
        <v>0.34176000000000001</v>
      </c>
      <c r="I50" s="410">
        <v>0.17088</v>
      </c>
      <c r="J50" s="321">
        <f>MAX(Dermal_Exp[[#This Row],[High-End Exposure to Liquid]],Dermal_Exp[[#This Row],[High-End Exposure to Solids]])/(IF(Dermal_Exp[[#This Row],[Worker Type]]="Female of Reproductive Age",BW_F,BW_default))</f>
        <v>4.718812564722126E-3</v>
      </c>
      <c r="K50" s="321">
        <f>MAX(Dermal_Exp[[#This Row],[ Central Tendency Exposure to Liquids]],Dermal_Exp[[#This Row],[Central Tendency  Exposure to Solids]])/(IF(Dermal_Exp[[#This Row],[Worker Type]]="Female of Reproductive Age",BW_F,BW_default))</f>
        <v>2.359406282361063E-3</v>
      </c>
      <c r="L50" s="320">
        <f>IFERROR(Dermal_Exp[[#This Row],[High-End AD (mg/kg-day)]]*IF(Dermal_Exp[[#This Row],[ED_High-End]]&gt;EFID,EFID,Dermal_Exp[[#This Row],[ED_High-End]])/ID,"Not Assessed")</f>
        <v>3.4604625474628924E-3</v>
      </c>
      <c r="M50" s="320">
        <f>IFERROR(Dermal_Exp[[#This Row],[Central Tendency AD (mg/kg-day)]]*IF(Dermal_Exp[[#This Row],[ED_Central Tendency]]&gt;EFID,EFID,Dermal_Exp[[#This Row],[ED_Central Tendency]])/ID,"Not Assessed")</f>
        <v>1.7302312737314462E-3</v>
      </c>
      <c r="N50" s="328">
        <f>IFERROR(Dermal_Exp[[#This Row],[High-End AD (mg/kg-day)]]*Dermal_Exp[[#This Row],[ED_High-End]]*WY_high/(365*WY_high),"Not Assessed")</f>
        <v>3.0769243572708656E-3</v>
      </c>
      <c r="O50" s="328">
        <f>IFERROR(Dermal_Exp[[#This Row],[Central Tendency AD (mg/kg-day)]]*Dermal_Exp[[#This Row],[ED_Central Tendency]]*WY_mid/(365*WY_mid),"Not Assessed")</f>
        <v>1.538462178635433E-3</v>
      </c>
      <c r="P50" s="328">
        <f>IFERROR(Dermal_Exp[[#This Row],[High-End AD (mg/kg-day)]]*Dermal_Exp[[#This Row],[ED_High-End]]*WY_high/(365*LT),"Not Assessed")</f>
        <v>1.5779099268055721E-3</v>
      </c>
      <c r="Q50" s="322">
        <f>IFERROR(Dermal_Exp[[#This Row],[Central Tendency AD (mg/kg-day)]]*Dermal_Exp[[#This Row],[ED_Central Tendency]]*WY_mid/(365*LT),"Not Assessed")</f>
        <v>6.1144009663715931E-4</v>
      </c>
    </row>
    <row r="51" spans="1:17" ht="15">
      <c r="A51" s="325">
        <v>5</v>
      </c>
      <c r="B51" s="388" t="s">
        <v>239</v>
      </c>
      <c r="C51" s="280" t="s">
        <v>94</v>
      </c>
      <c r="D51" s="409">
        <f>'Inhalation Exposure'!E52</f>
        <v>238</v>
      </c>
      <c r="E51" s="409">
        <f>'Inhalation Exposure'!F52</f>
        <v>238</v>
      </c>
      <c r="F51" s="412"/>
      <c r="G51" s="412"/>
      <c r="H51" s="410">
        <v>0.20544000000000001</v>
      </c>
      <c r="I51" s="410">
        <v>0.20544000000000001</v>
      </c>
      <c r="J51" s="321">
        <f>MAX(Dermal_Exp[[#This Row],[High-End Exposure to Liquid]],Dermal_Exp[[#This Row],[High-End Exposure to Solids]])/(IF(Dermal_Exp[[#This Row],[Worker Type]]="Female of Reproductive Age",BW_F,BW_default))</f>
        <v>2.568E-3</v>
      </c>
      <c r="K51" s="321">
        <f>MAX(Dermal_Exp[[#This Row],[ Central Tendency Exposure to Liquids]],Dermal_Exp[[#This Row],[Central Tendency  Exposure to Solids]])/(IF(Dermal_Exp[[#This Row],[Worker Type]]="Female of Reproductive Age",BW_F,BW_default))</f>
        <v>2.568E-3</v>
      </c>
      <c r="L51" s="320">
        <f>IFERROR(Dermal_Exp[[#This Row],[High-End AD (mg/kg-day)]]*IF(Dermal_Exp[[#This Row],[ED_High-End]]&gt;EFID,EFID,Dermal_Exp[[#This Row],[ED_High-End]])/ID,"Not Assessed")</f>
        <v>1.8832E-3</v>
      </c>
      <c r="M51" s="320">
        <f>IFERROR(Dermal_Exp[[#This Row],[Central Tendency AD (mg/kg-day)]]*IF(Dermal_Exp[[#This Row],[ED_Central Tendency]]&gt;EFID,EFID,Dermal_Exp[[#This Row],[ED_Central Tendency]])/ID,"Not Assessed")</f>
        <v>1.8832E-3</v>
      </c>
      <c r="N51" s="307">
        <f>IFERROR(Dermal_Exp[[#This Row],[High-End AD (mg/kg-day)]]*Dermal_Exp[[#This Row],[ED_High-End]]*WY_high/(365*WY_high),"Not Assessed")</f>
        <v>1.6744767123287668E-3</v>
      </c>
      <c r="O51" s="307">
        <f>IFERROR(Dermal_Exp[[#This Row],[Central Tendency AD (mg/kg-day)]]*Dermal_Exp[[#This Row],[ED_Central Tendency]]*WY_mid/(365*WY_mid),"Not Assessed")</f>
        <v>1.6744767123287668E-3</v>
      </c>
      <c r="P51" s="307">
        <f>IFERROR(Dermal_Exp[[#This Row],[High-End AD (mg/kg-day)]]*Dermal_Exp[[#This Row],[ED_High-End]]*WY_high/(365*LT),"Not Assessed")</f>
        <v>8.5870600632244451E-4</v>
      </c>
      <c r="Q51" s="322">
        <f>IFERROR(Dermal_Exp[[#This Row],[Central Tendency AD (mg/kg-day)]]*Dermal_Exp[[#This Row],[ED_Central Tendency]]*WY_mid/(365*LT),"Not Assessed")</f>
        <v>6.6549715489989448E-4</v>
      </c>
    </row>
    <row r="52" spans="1:17" ht="15">
      <c r="A52" s="325">
        <v>5</v>
      </c>
      <c r="B52" s="388" t="s">
        <v>241</v>
      </c>
      <c r="C52" s="280" t="s">
        <v>74</v>
      </c>
      <c r="D52" s="409">
        <f>'Inhalation Exposure'!E53</f>
        <v>250</v>
      </c>
      <c r="E52" s="409">
        <f>'Inhalation Exposure'!F53</f>
        <v>250</v>
      </c>
      <c r="F52" s="410"/>
      <c r="G52" s="410"/>
      <c r="H52" s="410">
        <v>0.41088000000000002</v>
      </c>
      <c r="I52" s="410">
        <v>0.20544000000000001</v>
      </c>
      <c r="J52" s="321">
        <f>MAX(Dermal_Exp[[#This Row],[High-End Exposure to Liquid]],Dermal_Exp[[#This Row],[High-End Exposure to Solids]])/(IF(Dermal_Exp[[#This Row],[Worker Type]]="Female of Reproductive Age",BW_F,BW_default))</f>
        <v>5.1359999999999999E-3</v>
      </c>
      <c r="K52" s="321">
        <f>MAX(Dermal_Exp[[#This Row],[ Central Tendency Exposure to Liquids]],Dermal_Exp[[#This Row],[Central Tendency  Exposure to Solids]])/(IF(Dermal_Exp[[#This Row],[Worker Type]]="Female of Reproductive Age",BW_F,BW_default))</f>
        <v>2.568E-3</v>
      </c>
      <c r="L52" s="320">
        <f>IFERROR(Dermal_Exp[[#This Row],[High-End AD (mg/kg-day)]]*IF(Dermal_Exp[[#This Row],[ED_High-End]]&gt;EFID,EFID,Dermal_Exp[[#This Row],[ED_High-End]])/ID,"Not Assessed")</f>
        <v>3.7664E-3</v>
      </c>
      <c r="M52" s="320">
        <f>IFERROR(Dermal_Exp[[#This Row],[Central Tendency AD (mg/kg-day)]]*IF(Dermal_Exp[[#This Row],[ED_Central Tendency]]&gt;EFID,EFID,Dermal_Exp[[#This Row],[ED_Central Tendency]])/ID,"Not Assessed")</f>
        <v>1.8832E-3</v>
      </c>
      <c r="N52" s="307">
        <f>IFERROR(Dermal_Exp[[#This Row],[High-End AD (mg/kg-day)]]*Dermal_Exp[[#This Row],[ED_High-End]]*WY_high/(365*WY_high),"Not Assessed")</f>
        <v>3.5178082191780822E-3</v>
      </c>
      <c r="O52" s="307">
        <f>IFERROR(Dermal_Exp[[#This Row],[Central Tendency AD (mg/kg-day)]]*Dermal_Exp[[#This Row],[ED_Central Tendency]]*WY_mid/(365*WY_mid),"Not Assessed")</f>
        <v>1.7589041095890411E-3</v>
      </c>
      <c r="P52" s="307">
        <f>IFERROR(Dermal_Exp[[#This Row],[High-End AD (mg/kg-day)]]*Dermal_Exp[[#This Row],[ED_High-End]]*WY_high/(365*LT),"Not Assessed")</f>
        <v>1.804004214963119E-3</v>
      </c>
      <c r="Q52" s="322">
        <f>IFERROR(Dermal_Exp[[#This Row],[Central Tendency AD (mg/kg-day)]]*Dermal_Exp[[#This Row],[ED_Central Tendency]]*WY_mid/(365*LT),"Not Assessed")</f>
        <v>6.990516332982087E-4</v>
      </c>
    </row>
    <row r="53" spans="1:17" ht="15">
      <c r="A53" s="325">
        <v>6</v>
      </c>
      <c r="B53" s="386" t="s">
        <v>241</v>
      </c>
      <c r="C53" s="280" t="s">
        <v>206</v>
      </c>
      <c r="D53" s="409">
        <f>'Inhalation Exposure'!E54</f>
        <v>250</v>
      </c>
      <c r="E53" s="409">
        <f>'Inhalation Exposure'!F54</f>
        <v>250</v>
      </c>
      <c r="F53" s="410"/>
      <c r="G53" s="410"/>
      <c r="H53" s="410">
        <v>0.34176000000000001</v>
      </c>
      <c r="I53" s="410">
        <v>0.17088</v>
      </c>
      <c r="J53" s="321">
        <f>MAX(Dermal_Exp[[#This Row],[High-End Exposure to Liquid]],Dermal_Exp[[#This Row],[High-End Exposure to Solids]])/(IF(Dermal_Exp[[#This Row],[Worker Type]]="Female of Reproductive Age",BW_F,BW_default))</f>
        <v>4.718812564722126E-3</v>
      </c>
      <c r="K53" s="321">
        <f>MAX(Dermal_Exp[[#This Row],[ Central Tendency Exposure to Liquids]],Dermal_Exp[[#This Row],[Central Tendency  Exposure to Solids]])/(IF(Dermal_Exp[[#This Row],[Worker Type]]="Female of Reproductive Age",BW_F,BW_default))</f>
        <v>2.359406282361063E-3</v>
      </c>
      <c r="L53" s="320">
        <f>IFERROR(Dermal_Exp[[#This Row],[High-End AD (mg/kg-day)]]*IF(Dermal_Exp[[#This Row],[ED_High-End]]&gt;EFID,EFID,Dermal_Exp[[#This Row],[ED_High-End]])/ID,"Not Assessed")</f>
        <v>3.4604625474628924E-3</v>
      </c>
      <c r="M53" s="320">
        <f>IFERROR(Dermal_Exp[[#This Row],[Central Tendency AD (mg/kg-day)]]*IF(Dermal_Exp[[#This Row],[ED_Central Tendency]]&gt;EFID,EFID,Dermal_Exp[[#This Row],[ED_Central Tendency]])/ID,"Not Assessed")</f>
        <v>1.7302312737314462E-3</v>
      </c>
      <c r="N53" s="307">
        <f>IFERROR(Dermal_Exp[[#This Row],[High-End AD (mg/kg-day)]]*Dermal_Exp[[#This Row],[ED_High-End]]*WY_high/(365*WY_high),"Not Assessed")</f>
        <v>3.2320634004946065E-3</v>
      </c>
      <c r="O53" s="307">
        <f>IFERROR(Dermal_Exp[[#This Row],[Central Tendency AD (mg/kg-day)]]*Dermal_Exp[[#This Row],[ED_Central Tendency]]*WY_mid/(365*WY_mid),"Not Assessed")</f>
        <v>1.6160317002473033E-3</v>
      </c>
      <c r="P53" s="307">
        <f>IFERROR(Dermal_Exp[[#This Row],[High-End AD (mg/kg-day)]]*Dermal_Exp[[#This Row],[ED_High-End]]*WY_high/(365*LT),"Not Assessed")</f>
        <v>1.6574684105100546E-3</v>
      </c>
      <c r="Q53" s="322">
        <f>IFERROR(Dermal_Exp[[#This Row],[Central Tendency AD (mg/kg-day)]]*Dermal_Exp[[#This Row],[ED_Central Tendency]]*WY_mid/(365*LT),"Not Assessed")</f>
        <v>6.4226900907264617E-4</v>
      </c>
    </row>
    <row r="54" spans="1:17" ht="15.75" thickBot="1">
      <c r="A54" s="325">
        <v>6</v>
      </c>
      <c r="B54" s="389" t="s">
        <v>241</v>
      </c>
      <c r="C54" s="280" t="s">
        <v>94</v>
      </c>
      <c r="D54" s="409">
        <f>'Inhalation Exposure'!E55</f>
        <v>250</v>
      </c>
      <c r="E54" s="409">
        <f>'Inhalation Exposure'!F55</f>
        <v>250</v>
      </c>
      <c r="F54" s="410"/>
      <c r="G54" s="410"/>
      <c r="H54" s="410">
        <v>0.20544000000000001</v>
      </c>
      <c r="I54" s="410">
        <v>0.20544000000000001</v>
      </c>
      <c r="J54" s="321">
        <f>MAX(Dermal_Exp[[#This Row],[High-End Exposure to Liquid]],Dermal_Exp[[#This Row],[High-End Exposure to Solids]])/(IF(Dermal_Exp[[#This Row],[Worker Type]]="Female of Reproductive Age",BW_F,BW_default))</f>
        <v>2.568E-3</v>
      </c>
      <c r="K54" s="321">
        <f>MAX(Dermal_Exp[[#This Row],[ Central Tendency Exposure to Liquids]],Dermal_Exp[[#This Row],[Central Tendency  Exposure to Solids]])/(IF(Dermal_Exp[[#This Row],[Worker Type]]="Female of Reproductive Age",BW_F,BW_default))</f>
        <v>2.568E-3</v>
      </c>
      <c r="L54" s="320">
        <f>IFERROR(Dermal_Exp[[#This Row],[High-End AD (mg/kg-day)]]*IF(Dermal_Exp[[#This Row],[ED_High-End]]&gt;EFID,EFID,Dermal_Exp[[#This Row],[ED_High-End]])/ID,"Not Assessed")</f>
        <v>1.8832E-3</v>
      </c>
      <c r="M54" s="320">
        <f>IFERROR(Dermal_Exp[[#This Row],[Central Tendency AD (mg/kg-day)]]*IF(Dermal_Exp[[#This Row],[ED_Central Tendency]]&gt;EFID,EFID,Dermal_Exp[[#This Row],[ED_Central Tendency]])/ID,"Not Assessed")</f>
        <v>1.8832E-3</v>
      </c>
      <c r="N54" s="307">
        <f>IFERROR(Dermal_Exp[[#This Row],[High-End AD (mg/kg-day)]]*Dermal_Exp[[#This Row],[ED_High-End]]*WY_high/(365*WY_high),"Not Assessed")</f>
        <v>1.7589041095890411E-3</v>
      </c>
      <c r="O54" s="307">
        <f>IFERROR(Dermal_Exp[[#This Row],[Central Tendency AD (mg/kg-day)]]*Dermal_Exp[[#This Row],[ED_Central Tendency]]*WY_mid/(365*WY_mid),"Not Assessed")</f>
        <v>1.7589041095890411E-3</v>
      </c>
      <c r="P54" s="307">
        <f>IFERROR(Dermal_Exp[[#This Row],[High-End AD (mg/kg-day)]]*Dermal_Exp[[#This Row],[ED_High-End]]*WY_high/(365*LT),"Not Assessed")</f>
        <v>9.0200210748155952E-4</v>
      </c>
      <c r="Q54" s="322">
        <f>IFERROR(Dermal_Exp[[#This Row],[Central Tendency AD (mg/kg-day)]]*Dermal_Exp[[#This Row],[ED_Central Tendency]]*WY_mid/(365*LT),"Not Assessed")</f>
        <v>6.990516332982087E-4</v>
      </c>
    </row>
    <row r="57" spans="1:17">
      <c r="H57" s="378"/>
      <c r="I57" s="378"/>
    </row>
    <row r="63" spans="1:17">
      <c r="G63" s="376"/>
      <c r="H63" s="323"/>
      <c r="I63" s="323"/>
    </row>
    <row r="64" spans="1:17">
      <c r="H64" s="323"/>
      <c r="I64" s="323"/>
    </row>
    <row r="65" spans="8:9">
      <c r="H65" s="323"/>
      <c r="I65" s="323"/>
    </row>
  </sheetData>
  <sheetProtection sheet="1" objects="1" scenarios="1"/>
  <mergeCells count="9">
    <mergeCell ref="J1:K2"/>
    <mergeCell ref="L1:M2"/>
    <mergeCell ref="N1:O2"/>
    <mergeCell ref="P1:Q2"/>
    <mergeCell ref="D1:E2"/>
    <mergeCell ref="H1:I1"/>
    <mergeCell ref="H2:I2"/>
    <mergeCell ref="F1:G1"/>
    <mergeCell ref="F2:G2"/>
  </mergeCells>
  <phoneticPr fontId="2" type="noConversion"/>
  <conditionalFormatting sqref="D4:G4 F5:G20 D5:E54 F22:G24 F25:I30 F31:G32 F34:G52 L5:P47 H4:I24 H31:I38 Q4:Q54 I45">
    <cfRule type="cellIs" dxfId="175" priority="244" operator="between">
      <formula>10</formula>
      <formula>9999.999</formula>
    </cfRule>
  </conditionalFormatting>
  <conditionalFormatting sqref="D4:G4 F5:G20 D5:E54 F22:G32 F34:G52">
    <cfRule type="cellIs" dxfId="174" priority="245" operator="greaterThan">
      <formula>10000</formula>
    </cfRule>
    <cfRule type="cellIs" dxfId="173" priority="243" operator="between">
      <formula>0.1</formula>
      <formula>0.999</formula>
    </cfRule>
  </conditionalFormatting>
  <conditionalFormatting sqref="F39">
    <cfRule type="cellIs" dxfId="172" priority="74" operator="lessThan">
      <formula>0.1</formula>
    </cfRule>
    <cfRule type="cellIs" dxfId="171" priority="75" operator="between">
      <formula>0.1</formula>
      <formula>0.999</formula>
    </cfRule>
    <cfRule type="cellIs" dxfId="170" priority="76" operator="greaterThan">
      <formula>10000</formula>
    </cfRule>
    <cfRule type="cellIs" dxfId="169" priority="73" operator="between">
      <formula>1</formula>
      <formula>9.999</formula>
    </cfRule>
    <cfRule type="cellIs" dxfId="168" priority="77" operator="between">
      <formula>10</formula>
      <formula>9999.999</formula>
    </cfRule>
  </conditionalFormatting>
  <conditionalFormatting sqref="F34:G52 D4:G4 F5:G20 D5:E54 F22:G32">
    <cfRule type="cellIs" dxfId="167" priority="242" operator="lessThan">
      <formula>0.1</formula>
    </cfRule>
    <cfRule type="cellIs" dxfId="166" priority="241" operator="between">
      <formula>1</formula>
      <formula>9.999</formula>
    </cfRule>
  </conditionalFormatting>
  <conditionalFormatting sqref="F48:G48 F49:I49">
    <cfRule type="cellIs" dxfId="165" priority="147" operator="lessThanOrEqual">
      <formula>0.01</formula>
    </cfRule>
    <cfRule type="cellIs" dxfId="164" priority="141" operator="greaterThanOrEqual">
      <formula>10000</formula>
    </cfRule>
    <cfRule type="cellIs" dxfId="163" priority="149" operator="between">
      <formula>1</formula>
      <formula>9.999</formula>
    </cfRule>
    <cfRule type="cellIs" dxfId="162" priority="150" operator="between">
      <formula>0.1</formula>
      <formula>0.999</formula>
    </cfRule>
    <cfRule type="cellIs" dxfId="161" priority="148" operator="between">
      <formula>10</formula>
      <formula>9999.999</formula>
    </cfRule>
  </conditionalFormatting>
  <conditionalFormatting sqref="F4:I20 J4:P4 H40:I47 J5:K54 I39:I40 H51:I51 H54:I54">
    <cfRule type="cellIs" dxfId="160" priority="249" operator="between">
      <formula>10</formula>
      <formula>9999.999</formula>
    </cfRule>
  </conditionalFormatting>
  <conditionalFormatting sqref="H15">
    <cfRule type="cellIs" dxfId="159" priority="2" operator="between">
      <formula>1</formula>
      <formula>9.999</formula>
    </cfRule>
    <cfRule type="cellIs" dxfId="158" priority="3" operator="lessThan">
      <formula>0.1</formula>
    </cfRule>
    <cfRule type="cellIs" dxfId="157" priority="4" operator="between">
      <formula>0.1</formula>
      <formula>0.999</formula>
    </cfRule>
    <cfRule type="cellIs" dxfId="156" priority="5" operator="greaterThan">
      <formula>10000</formula>
    </cfRule>
    <cfRule type="cellIs" dxfId="155" priority="6" operator="between">
      <formula>10</formula>
      <formula>9999.999</formula>
    </cfRule>
  </conditionalFormatting>
  <conditionalFormatting sqref="H18">
    <cfRule type="cellIs" dxfId="154" priority="12" operator="between">
      <formula>10</formula>
      <formula>9999.999</formula>
    </cfRule>
    <cfRule type="cellIs" dxfId="153" priority="8" operator="between">
      <formula>1</formula>
      <formula>9.999</formula>
    </cfRule>
    <cfRule type="cellIs" dxfId="152" priority="9" operator="lessThan">
      <formula>0.1</formula>
    </cfRule>
    <cfRule type="cellIs" dxfId="151" priority="10" operator="between">
      <formula>0.1</formula>
      <formula>0.999</formula>
    </cfRule>
    <cfRule type="cellIs" dxfId="150" priority="11" operator="greaterThan">
      <formula>10000</formula>
    </cfRule>
  </conditionalFormatting>
  <conditionalFormatting sqref="H21">
    <cfRule type="cellIs" dxfId="149" priority="94" operator="lessThan">
      <formula>0.1</formula>
    </cfRule>
    <cfRule type="cellIs" dxfId="148" priority="95" operator="between">
      <formula>0.1</formula>
      <formula>0.999</formula>
    </cfRule>
    <cfRule type="cellIs" dxfId="147" priority="93" operator="between">
      <formula>1</formula>
      <formula>9.999</formula>
    </cfRule>
    <cfRule type="cellIs" dxfId="146" priority="97" operator="between">
      <formula>10</formula>
      <formula>9999.999</formula>
    </cfRule>
    <cfRule type="cellIs" dxfId="145" priority="96" operator="greaterThan">
      <formula>10000</formula>
    </cfRule>
  </conditionalFormatting>
  <conditionalFormatting sqref="H24 H27 H30">
    <cfRule type="cellIs" dxfId="144" priority="88" operator="between">
      <formula>1</formula>
      <formula>9.999</formula>
    </cfRule>
    <cfRule type="cellIs" dxfId="143" priority="89" operator="lessThan">
      <formula>0.1</formula>
    </cfRule>
    <cfRule type="cellIs" dxfId="142" priority="90" operator="between">
      <formula>0.1</formula>
      <formula>0.999</formula>
    </cfRule>
    <cfRule type="cellIs" dxfId="141" priority="92" operator="between">
      <formula>10</formula>
      <formula>9999.999</formula>
    </cfRule>
    <cfRule type="cellIs" dxfId="140" priority="91" operator="greaterThan">
      <formula>10000</formula>
    </cfRule>
  </conditionalFormatting>
  <conditionalFormatting sqref="H33">
    <cfRule type="cellIs" dxfId="139" priority="83" operator="between">
      <formula>1</formula>
      <formula>9.999</formula>
    </cfRule>
    <cfRule type="cellIs" dxfId="138" priority="84" operator="lessThan">
      <formula>0.1</formula>
    </cfRule>
    <cfRule type="cellIs" dxfId="137" priority="85" operator="between">
      <formula>0.1</formula>
      <formula>0.999</formula>
    </cfRule>
    <cfRule type="cellIs" dxfId="136" priority="86" operator="greaterThan">
      <formula>10000</formula>
    </cfRule>
    <cfRule type="cellIs" dxfId="135" priority="87" operator="between">
      <formula>10</formula>
      <formula>9999.999</formula>
    </cfRule>
  </conditionalFormatting>
  <conditionalFormatting sqref="H36">
    <cfRule type="cellIs" dxfId="134" priority="79" operator="lessThan">
      <formula>0.1</formula>
    </cfRule>
    <cfRule type="cellIs" dxfId="133" priority="80" operator="between">
      <formula>0.1</formula>
      <formula>0.999</formula>
    </cfRule>
    <cfRule type="cellIs" dxfId="132" priority="81" operator="greaterThan">
      <formula>10000</formula>
    </cfRule>
    <cfRule type="cellIs" dxfId="131" priority="82" operator="between">
      <formula>10</formula>
      <formula>9999.999</formula>
    </cfRule>
    <cfRule type="cellIs" dxfId="130" priority="78" operator="between">
      <formula>1</formula>
      <formula>9.999</formula>
    </cfRule>
  </conditionalFormatting>
  <conditionalFormatting sqref="H42">
    <cfRule type="cellIs" dxfId="129" priority="68" operator="between">
      <formula>1</formula>
      <formula>9.999</formula>
    </cfRule>
    <cfRule type="cellIs" dxfId="128" priority="72" operator="between">
      <formula>10</formula>
      <formula>9999.999</formula>
    </cfRule>
    <cfRule type="cellIs" dxfId="127" priority="71" operator="greaterThan">
      <formula>10000</formula>
    </cfRule>
    <cfRule type="cellIs" dxfId="126" priority="70" operator="between">
      <formula>0.1</formula>
      <formula>0.999</formula>
    </cfRule>
    <cfRule type="cellIs" dxfId="125" priority="69" operator="lessThan">
      <formula>0.1</formula>
    </cfRule>
  </conditionalFormatting>
  <conditionalFormatting sqref="H47">
    <cfRule type="cellIs" dxfId="124" priority="66" operator="greaterThan">
      <formula>10000</formula>
    </cfRule>
    <cfRule type="cellIs" dxfId="123" priority="63" operator="between">
      <formula>1</formula>
      <formula>9.999</formula>
    </cfRule>
    <cfRule type="cellIs" dxfId="122" priority="64" operator="lessThan">
      <formula>0.1</formula>
    </cfRule>
    <cfRule type="cellIs" dxfId="121" priority="65" operator="between">
      <formula>0.1</formula>
      <formula>0.999</formula>
    </cfRule>
    <cfRule type="cellIs" dxfId="120" priority="67" operator="between">
      <formula>10</formula>
      <formula>9999.999</formula>
    </cfRule>
  </conditionalFormatting>
  <conditionalFormatting sqref="H50 H52:H53">
    <cfRule type="cellIs" dxfId="119" priority="61" operator="between">
      <formula>1</formula>
      <formula>9.999</formula>
    </cfRule>
    <cfRule type="cellIs" dxfId="118" priority="62" operator="between">
      <formula>0.1</formula>
      <formula>0.999</formula>
    </cfRule>
    <cfRule type="cellIs" dxfId="117" priority="27" operator="greaterThanOrEqual">
      <formula>10000</formula>
    </cfRule>
  </conditionalFormatting>
  <conditionalFormatting sqref="H52">
    <cfRule type="cellIs" dxfId="116" priority="56" operator="greaterThan">
      <formula>10000</formula>
    </cfRule>
    <cfRule type="cellIs" dxfId="115" priority="53" operator="between">
      <formula>1</formula>
      <formula>9.999</formula>
    </cfRule>
    <cfRule type="cellIs" dxfId="114" priority="54" operator="lessThan">
      <formula>0.1</formula>
    </cfRule>
    <cfRule type="cellIs" dxfId="113" priority="55" operator="between">
      <formula>0.1</formula>
      <formula>0.999</formula>
    </cfRule>
  </conditionalFormatting>
  <conditionalFormatting sqref="H52:H53 H50">
    <cfRule type="cellIs" dxfId="112" priority="59" operator="lessThanOrEqual">
      <formula>0.01</formula>
    </cfRule>
    <cfRule type="cellIs" dxfId="111" priority="58" operator="between">
      <formula>10</formula>
      <formula>9999.999</formula>
    </cfRule>
  </conditionalFormatting>
  <conditionalFormatting sqref="H4:I36">
    <cfRule type="cellIs" dxfId="110" priority="98" operator="between">
      <formula>1</formula>
      <formula>9.999</formula>
    </cfRule>
    <cfRule type="cellIs" dxfId="109" priority="99" operator="lessThan">
      <formula>0.1</formula>
    </cfRule>
    <cfRule type="cellIs" dxfId="108" priority="100" operator="between">
      <formula>0.1</formula>
      <formula>0.999</formula>
    </cfRule>
    <cfRule type="cellIs" dxfId="107" priority="101" operator="greaterThan">
      <formula>10000</formula>
    </cfRule>
  </conditionalFormatting>
  <conditionalFormatting sqref="H15:I15">
    <cfRule type="cellIs" dxfId="106" priority="1" operator="between">
      <formula>10</formula>
      <formula>9999.999</formula>
    </cfRule>
  </conditionalFormatting>
  <conditionalFormatting sqref="H18:I18">
    <cfRule type="cellIs" dxfId="105" priority="7" operator="between">
      <formula>10</formula>
      <formula>9999.999</formula>
    </cfRule>
  </conditionalFormatting>
  <conditionalFormatting sqref="H21:I21">
    <cfRule type="cellIs" dxfId="104" priority="13" operator="between">
      <formula>10</formula>
      <formula>9999.999</formula>
    </cfRule>
  </conditionalFormatting>
  <conditionalFormatting sqref="H36:I36">
    <cfRule type="cellIs" dxfId="103" priority="14" operator="between">
      <formula>10</formula>
      <formula>9999.999</formula>
    </cfRule>
  </conditionalFormatting>
  <conditionalFormatting sqref="H40:I48">
    <cfRule type="cellIs" dxfId="102" priority="19" operator="lessThanOrEqual">
      <formula>0.01</formula>
    </cfRule>
    <cfRule type="cellIs" dxfId="101" priority="17" operator="greaterThanOrEqual">
      <formula>10000</formula>
    </cfRule>
  </conditionalFormatting>
  <conditionalFormatting sqref="H48:I48">
    <cfRule type="cellIs" dxfId="100" priority="20" operator="between">
      <formula>10</formula>
      <formula>9999.999</formula>
    </cfRule>
    <cfRule type="cellIs" dxfId="99" priority="22" operator="between">
      <formula>0.1</formula>
      <formula>0.999</formula>
    </cfRule>
    <cfRule type="cellIs" dxfId="98" priority="21" operator="between">
      <formula>1</formula>
      <formula>9.999</formula>
    </cfRule>
  </conditionalFormatting>
  <conditionalFormatting sqref="I48">
    <cfRule type="cellIs" dxfId="97" priority="18" operator="between">
      <formula>10</formula>
      <formula>9999.999</formula>
    </cfRule>
  </conditionalFormatting>
  <conditionalFormatting sqref="I50:I54">
    <cfRule type="cellIs" dxfId="96" priority="15" operator="between">
      <formula>10</formula>
      <formula>9999.999</formula>
    </cfRule>
  </conditionalFormatting>
  <conditionalFormatting sqref="J4:P4 F4:G20 H4:I38 J5:M54 I39:I40 H40:I47 H51:I51 H54:I54 Q4:Q54 L5:P47 F31:G32 F37:G39 F43:G44 I50 I52:I53">
    <cfRule type="cellIs" dxfId="95" priority="250" operator="between">
      <formula>1</formula>
      <formula>9.999</formula>
    </cfRule>
  </conditionalFormatting>
  <conditionalFormatting sqref="J4:P4 F4:G20 H4:I38 L4:M54 Q4:Q54 L5:P47 J5:K54 F31:G32 F37:G39 I39:I40 F43:G44 I50 H51:I51 I52:I53 H54:I54">
    <cfRule type="cellIs" dxfId="94" priority="217" operator="greaterThanOrEqual">
      <formula>10000</formula>
    </cfRule>
  </conditionalFormatting>
  <conditionalFormatting sqref="J4:P4 F4:G20 H4:I38 Q4:Q54 L5:P47 J5:M54 F31:G32 F37:G39 I39:I40 F43:G44 I50 H51:I51 I52:I53 H54:I54">
    <cfRule type="cellIs" dxfId="93" priority="246" operator="lessThanOrEqual">
      <formula>0.01</formula>
    </cfRule>
  </conditionalFormatting>
  <conditionalFormatting sqref="J4:P4 F4:G20 H4:I38 Q4:Q54 L5:P47 J5:M54 F31:G32 F37:G39 I39:I40 H40:I47 F43:G44 I50 H51:I51 I52:I53 H54:I54">
    <cfRule type="cellIs" dxfId="92" priority="251" operator="between">
      <formula>0.1</formula>
      <formula>0.999</formula>
    </cfRule>
  </conditionalFormatting>
  <conditionalFormatting sqref="L4:M54">
    <cfRule type="cellIs" dxfId="91" priority="232" operator="lessThan">
      <formula>0.1</formula>
    </cfRule>
    <cfRule type="cellIs" dxfId="90" priority="234" operator="between">
      <formula>1</formula>
      <formula>9.999</formula>
    </cfRule>
    <cfRule type="cellIs" dxfId="89" priority="235" operator="between">
      <formula>10</formula>
      <formula>9999.999</formula>
    </cfRule>
    <cfRule type="cellIs" dxfId="88" priority="233" operator="between">
      <formula>0.1</formula>
      <formula>0.999</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6B0BD-3A26-46B1-9811-A8C9CF09E75F}">
  <sheetPr codeName="Sheet13">
    <tabColor rgb="FFFFFF00"/>
  </sheetPr>
  <dimension ref="B1:Q201"/>
  <sheetViews>
    <sheetView workbookViewId="0"/>
  </sheetViews>
  <sheetFormatPr defaultColWidth="8.85546875" defaultRowHeight="12.75"/>
  <cols>
    <col min="1" max="1" width="4.5703125" style="17" customWidth="1"/>
    <col min="2" max="2" width="4.5703125" style="14" bestFit="1" customWidth="1"/>
    <col min="3" max="3" width="50.42578125" style="17" bestFit="1" customWidth="1"/>
    <col min="4" max="4" width="23.5703125" style="14" bestFit="1" customWidth="1"/>
    <col min="5" max="5" width="17.140625" style="17" bestFit="1" customWidth="1"/>
    <col min="6" max="6" width="14.5703125" style="17" bestFit="1" customWidth="1"/>
    <col min="7" max="7" width="13.5703125" style="17" bestFit="1" customWidth="1"/>
    <col min="8" max="8" width="11.42578125" style="17" bestFit="1" customWidth="1"/>
    <col min="9" max="9" width="16" style="17" bestFit="1" customWidth="1"/>
    <col min="10" max="10" width="14.5703125" style="17" bestFit="1" customWidth="1"/>
    <col min="11" max="11" width="13.5703125" style="17" bestFit="1" customWidth="1"/>
    <col min="12" max="12" width="11.42578125" style="17" bestFit="1" customWidth="1"/>
    <col min="13" max="13" width="16" style="17" bestFit="1" customWidth="1"/>
    <col min="14" max="14" width="14.5703125" style="17" bestFit="1" customWidth="1"/>
    <col min="15" max="15" width="12.42578125" style="17" bestFit="1" customWidth="1"/>
    <col min="16" max="17" width="11.42578125" style="17" bestFit="1" customWidth="1"/>
    <col min="18" max="18" width="7.5703125" style="17" bestFit="1" customWidth="1"/>
    <col min="19" max="19" width="17" style="17" customWidth="1"/>
    <col min="20" max="20" width="8.85546875" style="17" customWidth="1"/>
    <col min="21" max="16384" width="8.85546875" style="17"/>
  </cols>
  <sheetData>
    <row r="1" spans="3:17">
      <c r="K1" s="19"/>
      <c r="L1" s="19"/>
      <c r="M1" s="19"/>
      <c r="N1" s="19"/>
    </row>
    <row r="2" spans="3:17" ht="13.5" thickBot="1">
      <c r="K2" s="19"/>
      <c r="L2" s="19"/>
      <c r="M2" s="19"/>
      <c r="N2" s="19"/>
    </row>
    <row r="3" spans="3:17" ht="25.5" customHeight="1" thickBot="1">
      <c r="C3" s="417" t="s">
        <v>181</v>
      </c>
      <c r="D3" s="418" t="s">
        <v>263</v>
      </c>
      <c r="E3" s="418" t="s">
        <v>79</v>
      </c>
      <c r="F3" s="609" t="s">
        <v>264</v>
      </c>
      <c r="G3" s="610"/>
      <c r="H3" s="610"/>
      <c r="I3" s="612"/>
      <c r="J3" s="609" t="s">
        <v>265</v>
      </c>
      <c r="K3" s="610"/>
      <c r="L3" s="610"/>
      <c r="M3" s="612"/>
      <c r="N3" s="609" t="s">
        <v>266</v>
      </c>
      <c r="O3" s="610"/>
      <c r="P3" s="610"/>
      <c r="Q3" s="611"/>
    </row>
    <row r="4" spans="3:17" ht="32.25" customHeight="1" thickBot="1">
      <c r="C4" s="419"/>
      <c r="D4" s="420"/>
      <c r="E4" s="420"/>
      <c r="F4" s="421" t="s">
        <v>85</v>
      </c>
      <c r="G4" s="421" t="s">
        <v>86</v>
      </c>
      <c r="H4" s="421" t="s">
        <v>87</v>
      </c>
      <c r="I4" s="421" t="s">
        <v>88</v>
      </c>
      <c r="J4" s="421" t="s">
        <v>85</v>
      </c>
      <c r="K4" s="421" t="s">
        <v>86</v>
      </c>
      <c r="L4" s="421" t="s">
        <v>87</v>
      </c>
      <c r="M4" s="421" t="s">
        <v>88</v>
      </c>
      <c r="N4" s="421" t="s">
        <v>85</v>
      </c>
      <c r="O4" s="421" t="s">
        <v>86</v>
      </c>
      <c r="P4" s="421" t="s">
        <v>87</v>
      </c>
      <c r="Q4" s="421" t="s">
        <v>88</v>
      </c>
    </row>
    <row r="5" spans="3:17" ht="12.75" customHeight="1">
      <c r="C5" s="313" t="str" cm="1">
        <f t="array" ref="C5">INDEX('List Values'!$B$2:$B$18,(1+ROUNDDOWN((ROW()-ROW($C$5))*1/6,2)))</f>
        <v>Manufacturing</v>
      </c>
      <c r="D5" s="313" t="s">
        <v>74</v>
      </c>
      <c r="E5" s="308" t="s">
        <v>92</v>
      </c>
      <c r="F5" s="210">
        <f>IF(E5="High-End",SUMIFS(Inhalation_Exp[24hr_High-End],Inhalation_Exp[OES],$C5,Inhalation_Exp[Worker Type],$D5),SUMIFS(Inhalation_Exp[24hr_Central Tendency],Inhalation_Exp[OES],$C5,Inhalation_Exp[Worker Type],$D5))</f>
        <v>2.7499999999999998E-3</v>
      </c>
      <c r="G5" s="210">
        <f>IF(E5="High-End",SUMIFS(Inhalation_Exp[Int_High-End],Inhalation_Exp[OES],$C5,Inhalation_Exp[Worker Type],$D5),SUMIFS(Inhalation_Exp[Int_Central Tendency],Inhalation_Exp[OES],$C5,Inhalation_Exp[Worker Type],$D5))</f>
        <v>2.0166666666666666E-3</v>
      </c>
      <c r="H5" s="210">
        <f>IF(E5="High-End",SUMIFS(Inhalation_Exp[ADD_High-End],Inhalation_Exp[OES],$C5,Inhalation_Exp[Worker Type],$D5),SUMIFS(Inhalation_Exp[ADD_Central Tendency],Inhalation_Exp[OES],$C5,Inhalation_Exp[Worker Type],$D5))</f>
        <v>1.8835616438356165E-3</v>
      </c>
      <c r="I5" s="210">
        <f>IF(E5="High-End",SUMIFS(Inhalation_Exp[LADD_High-End],Inhalation_Exp[OES],$C5,Inhalation_Exp[Worker Type],$D5),SUMIFS(Inhalation_Exp[LADD_Central Tendency],Inhalation_Exp[OES],$C5,Inhalation_Exp[Worker Type],$D5))</f>
        <v>9.6592904812082896E-4</v>
      </c>
      <c r="J5" s="282">
        <f>IF($E5="High-End",SUMIFS(Dermal_Exp[High-End AD (mg/kg-day)],Dermal_Exp[Worker Type],$D5,Dermal_Exp[OES],$C5),SUMIFS(Dermal_Exp[Central Tendency AD (mg/kg-day)],Dermal_Exp[Worker Type],$D5,Dermal_Exp[OES],$C5))</f>
        <v>1.3909999999999999E-4</v>
      </c>
      <c r="K5" s="282">
        <f>IF($E5="High-End",SUMIFS(Dermal_Exp[High-End IADD (mg/kg-day)],Dermal_Exp[Worker Type],$D5,Dermal_Exp[OES],$C5),SUMIFS(Dermal_Exp[Central Tendency IADD (mg/kg-day)],Dermal_Exp[Worker Type],$D5,Dermal_Exp[OES],$C5))</f>
        <v>1.0200666666666667E-4</v>
      </c>
      <c r="L5" s="282">
        <f>IF($E5="High-End",SUMIFS(Dermal_Exp[High-End ADD (mg/kg-day)],Dermal_Exp[Worker Type],$D5,Dermal_Exp[OES],$C5),SUMIFS(Dermal_Exp[Central Tendency ADD (mg/kg-day)],Dermal_Exp[Worker Type],$D5,Dermal_Exp[OES],$C5))</f>
        <v>9.5273972602739727E-5</v>
      </c>
      <c r="M5" s="282">
        <f>IF($E5="High-End",SUMIFS(Dermal_Exp[High-End LADD (mg/kg-day)],Dermal_Exp[Worker Type],$D5,Dermal_Exp[OES],$C5),SUMIFS(Dermal_Exp[Central Tendency LADD (mg/kg-day)],Dermal_Exp[Worker Type],$D5,Dermal_Exp[OES],$C5))</f>
        <v>4.8858447488584476E-5</v>
      </c>
      <c r="N5" s="314">
        <f>F5+J5</f>
        <v>2.8890999999999999E-3</v>
      </c>
      <c r="O5" s="314">
        <f t="shared" ref="O5:Q10" si="0">G5+K5</f>
        <v>2.1186733333333333E-3</v>
      </c>
      <c r="P5" s="314">
        <f t="shared" si="0"/>
        <v>1.9788356164383561E-3</v>
      </c>
      <c r="Q5" s="314">
        <f t="shared" si="0"/>
        <v>1.0147874956094134E-3</v>
      </c>
    </row>
    <row r="6" spans="3:17" ht="12.75" customHeight="1">
      <c r="C6" s="313" t="str" cm="1">
        <f t="array" ref="C6">INDEX('List Values'!$B$2:$B$18,(1+ROUNDDOWN((ROW()-ROW($C$5))*1/6,2)))</f>
        <v>Manufacturing</v>
      </c>
      <c r="D6" s="313" t="s">
        <v>74</v>
      </c>
      <c r="E6" s="313" t="s">
        <v>93</v>
      </c>
      <c r="F6" s="210">
        <f>IF(E6="High-End",SUMIFS(Inhalation_Exp[24hr_High-End],Inhalation_Exp[OES],$C6,Inhalation_Exp[Worker Type],$D6),SUMIFS(Inhalation_Exp[24hr_Central Tendency],Inhalation_Exp[OES],$C6,Inhalation_Exp[Worker Type],$D6))</f>
        <v>1.5E-3</v>
      </c>
      <c r="G6" s="210">
        <f>IF(E6="High-End",SUMIFS(Inhalation_Exp[Int_High-End],Inhalation_Exp[OES],$C6,Inhalation_Exp[Worker Type],$D6),SUMIFS(Inhalation_Exp[Int_Central Tendency],Inhalation_Exp[OES],$C6,Inhalation_Exp[Worker Type],$D6))</f>
        <v>1.1000000000000001E-3</v>
      </c>
      <c r="H6" s="210">
        <f>IF(E6="High-End",SUMIFS(Inhalation_Exp[ADD_High-End],Inhalation_Exp[OES],$C6,Inhalation_Exp[Worker Type],$D6),SUMIFS(Inhalation_Exp[ADD_Central Tendency],Inhalation_Exp[OES],$C6,Inhalation_Exp[Worker Type],$D6))</f>
        <v>1.0273972602739725E-3</v>
      </c>
      <c r="I6" s="210">
        <f>IF(E6="High-End",SUMIFS(Inhalation_Exp[LADD_High-End],Inhalation_Exp[OES],$C6,Inhalation_Exp[Worker Type],$D6),SUMIFS(Inhalation_Exp[LADD_Central Tendency],Inhalation_Exp[OES],$C6,Inhalation_Exp[Worker Type],$D6))</f>
        <v>4.0832455216016861E-4</v>
      </c>
      <c r="J6" s="282">
        <f>IF($E6="High-End",SUMIFS(Dermal_Exp[High-End AD (mg/kg-day)],Dermal_Exp[Worker Type],$D6,Dermal_Exp[OES],$C6),SUMIFS(Dermal_Exp[Central Tendency AD (mg/kg-day)],Dermal_Exp[Worker Type],$D6,Dermal_Exp[OES],$C6))</f>
        <v>6.9549999999999996E-5</v>
      </c>
      <c r="K6" s="282">
        <f>IF($E6="High-End",SUMIFS(Dermal_Exp[High-End IADD (mg/kg-day)],Dermal_Exp[Worker Type],$D6,Dermal_Exp[OES],$C6),SUMIFS(Dermal_Exp[Central Tendency IADD (mg/kg-day)],Dermal_Exp[Worker Type],$D6,Dermal_Exp[OES],$C6))</f>
        <v>5.1003333333333333E-5</v>
      </c>
      <c r="L6" s="282">
        <f>IF($E6="High-End",SUMIFS(Dermal_Exp[High-End ADD (mg/kg-day)],Dermal_Exp[Worker Type],$D6,Dermal_Exp[OES],$C6),SUMIFS(Dermal_Exp[Central Tendency ADD (mg/kg-day)],Dermal_Exp[Worker Type],$D6,Dermal_Exp[OES],$C6))</f>
        <v>4.7636986301369864E-5</v>
      </c>
      <c r="M6" s="282">
        <f>IF($E6="High-End",SUMIFS(Dermal_Exp[High-End LADD (mg/kg-day)],Dermal_Exp[Worker Type],$D6,Dermal_Exp[OES],$C6),SUMIFS(Dermal_Exp[Central Tendency LADD (mg/kg-day)],Dermal_Exp[Worker Type],$D6,Dermal_Exp[OES],$C6))</f>
        <v>1.8932648401826484E-5</v>
      </c>
      <c r="N6" s="314">
        <f t="shared" ref="N6:N11" si="1">F6+J6</f>
        <v>1.5695500000000001E-3</v>
      </c>
      <c r="O6" s="314">
        <f t="shared" si="0"/>
        <v>1.1510033333333334E-3</v>
      </c>
      <c r="P6" s="314">
        <f t="shared" si="0"/>
        <v>1.0750342465753423E-3</v>
      </c>
      <c r="Q6" s="314">
        <f t="shared" si="0"/>
        <v>4.2725720056199508E-4</v>
      </c>
    </row>
    <row r="7" spans="3:17" ht="12.75" customHeight="1">
      <c r="C7" s="313" t="str" cm="1">
        <f t="array" ref="C7">INDEX('List Values'!$B$2:$B$18,(1+ROUNDDOWN((ROW()-ROW($C$5))*1/6,2)))</f>
        <v>Manufacturing</v>
      </c>
      <c r="D7" s="313" t="s">
        <v>206</v>
      </c>
      <c r="E7" s="313" t="s">
        <v>92</v>
      </c>
      <c r="F7" s="210">
        <f>IF(E7="High-End",SUMIFS(Inhalation_Exp[24hr_High-End],Inhalation_Exp[OES],$C7,Inhalation_Exp[Worker Type],$D7),SUMIFS(Inhalation_Exp[24hr_Central Tendency],Inhalation_Exp[OES],$C7,Inhalation_Exp[Worker Type],$D7))</f>
        <v>3.0376251294442517E-3</v>
      </c>
      <c r="G7" s="210">
        <f>IF(E7="High-End",SUMIFS(Inhalation_Exp[Int_High-End],Inhalation_Exp[OES],$C7,Inhalation_Exp[Worker Type],$D7),SUMIFS(Inhalation_Exp[Int_Central Tendency],Inhalation_Exp[OES],$C7,Inhalation_Exp[Worker Type],$D7))</f>
        <v>2.2275917615924511E-3</v>
      </c>
      <c r="H7" s="210">
        <f>IF(E7="High-End",SUMIFS(Inhalation_Exp[ADD_High-End],Inhalation_Exp[OES],$C7,Inhalation_Exp[Worker Type],$D7),SUMIFS(Inhalation_Exp[ADD_Central Tendency],Inhalation_Exp[OES],$C7,Inhalation_Exp[Worker Type],$D7))</f>
        <v>2.0805651571535969E-3</v>
      </c>
      <c r="I7" s="210">
        <f>IF(E7="High-End",SUMIFS(Inhalation_Exp[LADD_High-End],Inhalation_Exp[OES],$C7,Inhalation_Exp[Worker Type],$D7),SUMIFS(Inhalation_Exp[LADD_Central Tendency],Inhalation_Exp[OES],$C7,Inhalation_Exp[Worker Type],$D7))</f>
        <v>1.0669564908479985E-3</v>
      </c>
      <c r="J7" s="282">
        <f>IF($E7="High-End",SUMIFS(Dermal_Exp[High-End AD (mg/kg-day)],Dermal_Exp[Worker Type],$D7,Dermal_Exp[OES],$C7),SUMIFS(Dermal_Exp[Central Tendency AD (mg/kg-day)],Dermal_Exp[Worker Type],$D7,Dermal_Exp[OES],$C7))</f>
        <v>1.2780117362789088E-4</v>
      </c>
      <c r="K7" s="282">
        <f>IF($E7="High-End",SUMIFS(Dermal_Exp[High-End IADD (mg/kg-day)],Dermal_Exp[Worker Type],$D7,Dermal_Exp[OES],$C7),SUMIFS(Dermal_Exp[Central Tendency IADD (mg/kg-day)],Dermal_Exp[Worker Type],$D7,Dermal_Exp[OES],$C7))</f>
        <v>9.372086066045331E-5</v>
      </c>
      <c r="L7" s="282">
        <f>IF($E7="High-End",SUMIFS(Dermal_Exp[High-End ADD (mg/kg-day)],Dermal_Exp[Worker Type],$D7,Dermal_Exp[OES],$C7),SUMIFS(Dermal_Exp[Central Tendency ADD (mg/kg-day)],Dermal_Exp[Worker Type],$D7,Dermal_Exp[OES],$C7))</f>
        <v>8.7535050430062247E-5</v>
      </c>
      <c r="M7" s="282">
        <f>IF($E7="High-End",SUMIFS(Dermal_Exp[High-End LADD (mg/kg-day)],Dermal_Exp[Worker Type],$D7,Dermal_Exp[OES],$C7),SUMIFS(Dermal_Exp[Central Tendency LADD (mg/kg-day)],Dermal_Exp[Worker Type],$D7,Dermal_Exp[OES],$C7))</f>
        <v>4.4889769451313967E-5</v>
      </c>
      <c r="N7" s="314">
        <f t="shared" si="1"/>
        <v>3.1654263030721427E-3</v>
      </c>
      <c r="O7" s="314">
        <f t="shared" si="0"/>
        <v>2.3213126222529044E-3</v>
      </c>
      <c r="P7" s="314">
        <f t="shared" si="0"/>
        <v>2.1681002075836591E-3</v>
      </c>
      <c r="Q7" s="314">
        <f t="shared" si="0"/>
        <v>1.1118462602993126E-3</v>
      </c>
    </row>
    <row r="8" spans="3:17" ht="12.75" customHeight="1">
      <c r="C8" s="313" t="str" cm="1">
        <f t="array" ref="C8">INDEX('List Values'!$B$2:$B$18,(1+ROUNDDOWN((ROW()-ROW($C$5))*1/6,2)))</f>
        <v>Manufacturing</v>
      </c>
      <c r="D8" s="313" t="s">
        <v>206</v>
      </c>
      <c r="E8" s="313" t="s">
        <v>93</v>
      </c>
      <c r="F8" s="210">
        <f>IF(E8="High-End",SUMIFS(Inhalation_Exp[24hr_High-End],Inhalation_Exp[OES],$C8,Inhalation_Exp[Worker Type],$D8),SUMIFS(Inhalation_Exp[24hr_Central Tendency],Inhalation_Exp[OES],$C8,Inhalation_Exp[Worker Type],$D8))</f>
        <v>1.6568864342423194E-3</v>
      </c>
      <c r="G8" s="210">
        <f>IF(E8="High-End",SUMIFS(Inhalation_Exp[Int_High-End],Inhalation_Exp[OES],$C8,Inhalation_Exp[Worker Type],$D8),SUMIFS(Inhalation_Exp[Int_Central Tendency],Inhalation_Exp[OES],$C8,Inhalation_Exp[Worker Type],$D8))</f>
        <v>1.2150500517777009E-3</v>
      </c>
      <c r="H8" s="210">
        <f>IF(E8="High-End",SUMIFS(Inhalation_Exp[ADD_High-End],Inhalation_Exp[OES],$C8,Inhalation_Exp[Worker Type],$D8),SUMIFS(Inhalation_Exp[ADD_Central Tendency],Inhalation_Exp[OES],$C8,Inhalation_Exp[Worker Type],$D8))</f>
        <v>1.1348537220837805E-3</v>
      </c>
      <c r="I8" s="210">
        <f>IF(E8="High-End",SUMIFS(Inhalation_Exp[LADD_High-End],Inhalation_Exp[OES],$C8,Inhalation_Exp[Worker Type],$D8),SUMIFS(Inhalation_Exp[LADD_Central Tendency],Inhalation_Exp[OES],$C8,Inhalation_Exp[Worker Type],$D8))</f>
        <v>4.5103160749483581E-4</v>
      </c>
      <c r="J8" s="282">
        <f>IF($E8="High-End",SUMIFS(Dermal_Exp[High-End AD (mg/kg-day)],Dermal_Exp[Worker Type],$D8,Dermal_Exp[OES],$C8),SUMIFS(Dermal_Exp[Central Tendency AD (mg/kg-day)],Dermal_Exp[Worker Type],$D8,Dermal_Exp[OES],$C8))</f>
        <v>6.3900586813945439E-5</v>
      </c>
      <c r="K8" s="282">
        <f>IF($E8="High-End",SUMIFS(Dermal_Exp[High-End IADD (mg/kg-day)],Dermal_Exp[Worker Type],$D8,Dermal_Exp[OES],$C8),SUMIFS(Dermal_Exp[Central Tendency IADD (mg/kg-day)],Dermal_Exp[Worker Type],$D8,Dermal_Exp[OES],$C8))</f>
        <v>4.6860430330226655E-5</v>
      </c>
      <c r="L8" s="282">
        <f>IF($E8="High-End",SUMIFS(Dermal_Exp[High-End ADD (mg/kg-day)],Dermal_Exp[Worker Type],$D8,Dermal_Exp[OES],$C8),SUMIFS(Dermal_Exp[Central Tendency ADD (mg/kg-day)],Dermal_Exp[Worker Type],$D8,Dermal_Exp[OES],$C8))</f>
        <v>4.3767525215031117E-5</v>
      </c>
      <c r="M8" s="282">
        <f>IF($E8="High-End",SUMIFS(Dermal_Exp[High-End LADD (mg/kg-day)],Dermal_Exp[Worker Type],$D8,Dermal_Exp[OES],$C8),SUMIFS(Dermal_Exp[Central Tendency LADD (mg/kg-day)],Dermal_Exp[Worker Type],$D8,Dermal_Exp[OES],$C8))</f>
        <v>1.7394785662384163E-5</v>
      </c>
      <c r="N8" s="314">
        <f t="shared" si="1"/>
        <v>1.7207870210562649E-3</v>
      </c>
      <c r="O8" s="314">
        <f t="shared" si="0"/>
        <v>1.2619104821079276E-3</v>
      </c>
      <c r="P8" s="314">
        <f t="shared" si="0"/>
        <v>1.1786212472988116E-3</v>
      </c>
      <c r="Q8" s="314">
        <f t="shared" si="0"/>
        <v>4.6842639315721997E-4</v>
      </c>
    </row>
    <row r="9" spans="3:17" ht="12.75" customHeight="1">
      <c r="C9" s="313" t="str" cm="1">
        <f t="array" ref="C9">INDEX('List Values'!$B$2:$B$18,(1+ROUNDDOWN((ROW()-ROW($C$5))*1/6,2)))</f>
        <v>Manufacturing</v>
      </c>
      <c r="D9" s="313" t="s">
        <v>94</v>
      </c>
      <c r="E9" s="313" t="s">
        <v>92</v>
      </c>
      <c r="F9" s="210">
        <f>IF(E9="High-End",SUMIFS(Inhalation_Exp[24hr_High-End],Inhalation_Exp[OES],$C9,Inhalation_Exp[Worker Type],$D9),SUMIFS(Inhalation_Exp[24hr_Central Tendency],Inhalation_Exp[OES],$C9,Inhalation_Exp[Worker Type],$D9))</f>
        <v>1.5E-3</v>
      </c>
      <c r="G9" s="210">
        <f>IF(E9="High-End",SUMIFS(Inhalation_Exp[Int_High-End],Inhalation_Exp[OES],$C9,Inhalation_Exp[Worker Type],$D9),SUMIFS(Inhalation_Exp[Int_Central Tendency],Inhalation_Exp[OES],$C9,Inhalation_Exp[Worker Type],$D9))</f>
        <v>1.1000000000000001E-3</v>
      </c>
      <c r="H9" s="210">
        <f>IF(E9="High-End",SUMIFS(Inhalation_Exp[ADD_High-End],Inhalation_Exp[OES],$C9,Inhalation_Exp[Worker Type],$D9),SUMIFS(Inhalation_Exp[ADD_Central Tendency],Inhalation_Exp[OES],$C9,Inhalation_Exp[Worker Type],$D9))</f>
        <v>1.0273972602739725E-3</v>
      </c>
      <c r="I9" s="210">
        <f>IF(E9="High-End",SUMIFS(Inhalation_Exp[LADD_High-End],Inhalation_Exp[OES],$C9,Inhalation_Exp[Worker Type],$D9),SUMIFS(Inhalation_Exp[LADD_Central Tendency],Inhalation_Exp[OES],$C9,Inhalation_Exp[Worker Type],$D9))</f>
        <v>5.2687038988408848E-4</v>
      </c>
      <c r="J9" s="282">
        <f>IF($E9="High-End",SUMIFS(Dermal_Exp[High-End AD (mg/kg-day)],Dermal_Exp[Worker Type],$D9,Dermal_Exp[OES],$C9),SUMIFS(Dermal_Exp[Central Tendency AD (mg/kg-day)],Dermal_Exp[Worker Type],$D9,Dermal_Exp[OES],$C9))</f>
        <v>0</v>
      </c>
      <c r="K9" s="282">
        <f>IF($E9="High-End",SUMIFS(Dermal_Exp[High-End IADD (mg/kg-day)],Dermal_Exp[Worker Type],$D9,Dermal_Exp[OES],$C9),SUMIFS(Dermal_Exp[Central Tendency IADD (mg/kg-day)],Dermal_Exp[Worker Type],$D9,Dermal_Exp[OES],$C9))</f>
        <v>0</v>
      </c>
      <c r="L9" s="282">
        <f>IF($E9="High-End",SUMIFS(Dermal_Exp[High-End ADD (mg/kg-day)],Dermal_Exp[Worker Type],$D9,Dermal_Exp[OES],$C9),SUMIFS(Dermal_Exp[Central Tendency ADD (mg/kg-day)],Dermal_Exp[Worker Type],$D9,Dermal_Exp[OES],$C9))</f>
        <v>0</v>
      </c>
      <c r="M9" s="282">
        <f>IF($E9="High-End",SUMIFS(Dermal_Exp[High-End LADD (mg/kg-day)],Dermal_Exp[Worker Type],$D9,Dermal_Exp[OES],$C9),SUMIFS(Dermal_Exp[Central Tendency LADD (mg/kg-day)],Dermal_Exp[Worker Type],$D9,Dermal_Exp[OES],$C9))</f>
        <v>0</v>
      </c>
      <c r="N9" s="314">
        <f t="shared" si="1"/>
        <v>1.5E-3</v>
      </c>
      <c r="O9" s="314">
        <f t="shared" si="0"/>
        <v>1.1000000000000001E-3</v>
      </c>
      <c r="P9" s="314">
        <f t="shared" si="0"/>
        <v>1.0273972602739725E-3</v>
      </c>
      <c r="Q9" s="314">
        <f t="shared" si="0"/>
        <v>5.2687038988408848E-4</v>
      </c>
    </row>
    <row r="10" spans="3:17" ht="12.75" customHeight="1">
      <c r="C10" s="313" t="str" cm="1">
        <f t="array" ref="C10">INDEX('List Values'!$B$2:$B$18,(1+ROUNDDOWN((ROW()-ROW($C$5))*1/6,2)))</f>
        <v>Manufacturing</v>
      </c>
      <c r="D10" s="313" t="s">
        <v>94</v>
      </c>
      <c r="E10" s="313" t="s">
        <v>93</v>
      </c>
      <c r="F10" s="210">
        <f>IF(E10="High-End",SUMIFS(Inhalation_Exp[24hr_High-End],Inhalation_Exp[OES],$C10,Inhalation_Exp[Worker Type],$D10),SUMIFS(Inhalation_Exp[24hr_Central Tendency],Inhalation_Exp[OES],$C10,Inhalation_Exp[Worker Type],$D10))</f>
        <v>1.5E-3</v>
      </c>
      <c r="G10" s="210">
        <f>IF(E10="High-End",SUMIFS(Inhalation_Exp[Int_High-End],Inhalation_Exp[OES],$C10,Inhalation_Exp[Worker Type],$D10),SUMIFS(Inhalation_Exp[Int_Central Tendency],Inhalation_Exp[OES],$C10,Inhalation_Exp[Worker Type],$D10))</f>
        <v>1.1000000000000001E-3</v>
      </c>
      <c r="H10" s="210">
        <f>IF(E10="High-End",SUMIFS(Inhalation_Exp[ADD_High-End],Inhalation_Exp[OES],$C10,Inhalation_Exp[Worker Type],$D10),SUMIFS(Inhalation_Exp[ADD_Central Tendency],Inhalation_Exp[OES],$C10,Inhalation_Exp[Worker Type],$D10))</f>
        <v>1.0273972602739725E-3</v>
      </c>
      <c r="I10" s="210">
        <f>IF(E10="High-End",SUMIFS(Inhalation_Exp[LADD_High-End],Inhalation_Exp[OES],$C10,Inhalation_Exp[Worker Type],$D10),SUMIFS(Inhalation_Exp[LADD_Central Tendency],Inhalation_Exp[OES],$C10,Inhalation_Exp[Worker Type],$D10))</f>
        <v>4.0832455216016861E-4</v>
      </c>
      <c r="J10" s="282">
        <f>IF($E10="High-End",SUMIFS(Dermal_Exp[High-End AD (mg/kg-day)],Dermal_Exp[Worker Type],$D10,Dermal_Exp[OES],$C10),SUMIFS(Dermal_Exp[Central Tendency AD (mg/kg-day)],Dermal_Exp[Worker Type],$D10,Dermal_Exp[OES],$C10))</f>
        <v>0</v>
      </c>
      <c r="K10" s="282">
        <f>IF($E10="High-End",SUMIFS(Dermal_Exp[High-End IADD (mg/kg-day)],Dermal_Exp[Worker Type],$D10,Dermal_Exp[OES],$C10),SUMIFS(Dermal_Exp[Central Tendency IADD (mg/kg-day)],Dermal_Exp[Worker Type],$D10,Dermal_Exp[OES],$C10))</f>
        <v>0</v>
      </c>
      <c r="L10" s="282">
        <f>IF($E10="High-End",SUMIFS(Dermal_Exp[High-End ADD (mg/kg-day)],Dermal_Exp[Worker Type],$D10,Dermal_Exp[OES],$C10),SUMIFS(Dermal_Exp[Central Tendency ADD (mg/kg-day)],Dermal_Exp[Worker Type],$D10,Dermal_Exp[OES],$C10))</f>
        <v>0</v>
      </c>
      <c r="M10" s="282">
        <f>IF($E10="High-End",SUMIFS(Dermal_Exp[High-End LADD (mg/kg-day)],Dermal_Exp[Worker Type],$D10,Dermal_Exp[OES],$C10),SUMIFS(Dermal_Exp[Central Tendency LADD (mg/kg-day)],Dermal_Exp[Worker Type],$D10,Dermal_Exp[OES],$C10))</f>
        <v>0</v>
      </c>
      <c r="N10" s="314">
        <f t="shared" si="1"/>
        <v>1.5E-3</v>
      </c>
      <c r="O10" s="314">
        <f t="shared" si="0"/>
        <v>1.1000000000000001E-3</v>
      </c>
      <c r="P10" s="314">
        <f t="shared" si="0"/>
        <v>1.0273972602739725E-3</v>
      </c>
      <c r="Q10" s="314">
        <f t="shared" si="0"/>
        <v>4.0832455216016861E-4</v>
      </c>
    </row>
    <row r="11" spans="3:17" ht="12.75" customHeight="1">
      <c r="C11" s="313" t="str" cm="1">
        <f t="array" ref="C11">INDEX('List Values'!$B$2:$B$18,(1+ROUNDDOWN((ROW()-ROW($C$5))*1/6,2)))</f>
        <v>Import and Repackaging</v>
      </c>
      <c r="D11" s="313" t="s">
        <v>74</v>
      </c>
      <c r="E11" s="308" t="s">
        <v>92</v>
      </c>
      <c r="F11" s="210">
        <f>IF(E11="High-End",SUMIFS(Inhalation_Exp[24hr_High-End],Inhalation_Exp[OES],$C11,Inhalation_Exp[Worker Type],$D11),SUMIFS(Inhalation_Exp[24hr_Central Tendency],Inhalation_Exp[OES],$C11,Inhalation_Exp[Worker Type],$D11))</f>
        <v>6.5000000000000002E-2</v>
      </c>
      <c r="G11" s="210">
        <f>IF(E11="High-End",SUMIFS(Inhalation_Exp[Int_High-End],Inhalation_Exp[OES],$C11,Inhalation_Exp[Worker Type],$D11),SUMIFS(Inhalation_Exp[Int_Central Tendency],Inhalation_Exp[OES],$C11,Inhalation_Exp[Worker Type],$D11))</f>
        <v>4.766666666666667E-2</v>
      </c>
      <c r="H11" s="210">
        <f>IF(E11="High-End",SUMIFS(Inhalation_Exp[ADD_High-End],Inhalation_Exp[OES],$C11,Inhalation_Exp[Worker Type],$D11),SUMIFS(Inhalation_Exp[ADD_Central Tendency],Inhalation_Exp[OES],$C11,Inhalation_Exp[Worker Type],$D11))</f>
        <v>4.4520547945205477E-2</v>
      </c>
      <c r="I11" s="210">
        <f>IF(E11="High-End",SUMIFS(Inhalation_Exp[LADD_High-End],Inhalation_Exp[OES],$C11,Inhalation_Exp[Worker Type],$D11),SUMIFS(Inhalation_Exp[LADD_Central Tendency],Inhalation_Exp[OES],$C11,Inhalation_Exp[Worker Type],$D11))</f>
        <v>2.2831050228310501E-2</v>
      </c>
      <c r="J11" s="282">
        <f>IF($E11="High-End",SUMIFS(Dermal_Exp[High-End AD (mg/kg-day)],Dermal_Exp[Worker Type],$D11,Dermal_Exp[OES],$C11),SUMIFS(Dermal_Exp[Central Tendency AD (mg/kg-day)],Dermal_Exp[Worker Type],$D11,Dermal_Exp[OES],$C11))</f>
        <v>1.3909999999999999E-4</v>
      </c>
      <c r="K11" s="282">
        <f>IF($E11="High-End",SUMIFS(Dermal_Exp[High-End IADD (mg/kg-day)],Dermal_Exp[Worker Type],$D11,Dermal_Exp[OES],$C11),SUMIFS(Dermal_Exp[Central Tendency IADD (mg/kg-day)],Dermal_Exp[Worker Type],$D11,Dermal_Exp[OES],$C11))</f>
        <v>1.0200666666666667E-4</v>
      </c>
      <c r="L11" s="282">
        <f>IF($E11="High-End",SUMIFS(Dermal_Exp[High-End ADD (mg/kg-day)],Dermal_Exp[Worker Type],$D11,Dermal_Exp[OES],$C11),SUMIFS(Dermal_Exp[Central Tendency ADD (mg/kg-day)],Dermal_Exp[Worker Type],$D11,Dermal_Exp[OES],$C11))</f>
        <v>9.5273972602739727E-5</v>
      </c>
      <c r="M11" s="282">
        <f>IF($E11="High-End",SUMIFS(Dermal_Exp[High-End LADD (mg/kg-day)],Dermal_Exp[Worker Type],$D11,Dermal_Exp[OES],$C11),SUMIFS(Dermal_Exp[Central Tendency LADD (mg/kg-day)],Dermal_Exp[Worker Type],$D11,Dermal_Exp[OES],$C11))</f>
        <v>4.8858447488584476E-5</v>
      </c>
      <c r="N11" s="314">
        <f t="shared" si="1"/>
        <v>6.5139100000000005E-2</v>
      </c>
      <c r="O11" s="314">
        <f t="shared" ref="O11:O74" si="2">G11+K11</f>
        <v>4.7768673333333338E-2</v>
      </c>
      <c r="P11" s="314">
        <f t="shared" ref="P11:P74" si="3">H11+L11</f>
        <v>4.4615821917808218E-2</v>
      </c>
      <c r="Q11" s="314">
        <f t="shared" ref="Q11:Q74" si="4">I11+M11</f>
        <v>2.2879908675799084E-2</v>
      </c>
    </row>
    <row r="12" spans="3:17" ht="12.75" customHeight="1">
      <c r="C12" s="313" t="str" cm="1">
        <f t="array" ref="C12">INDEX('List Values'!$B$2:$B$18,(1+ROUNDDOWN((ROW()-ROW($C$5))*1/6,2)))</f>
        <v>Import and Repackaging</v>
      </c>
      <c r="D12" s="313" t="s">
        <v>74</v>
      </c>
      <c r="E12" s="313" t="s">
        <v>93</v>
      </c>
      <c r="F12" s="210">
        <f>IF(E12="High-End",SUMIFS(Inhalation_Exp[24hr_High-End],Inhalation_Exp[OES],$C12,Inhalation_Exp[Worker Type],$D12),SUMIFS(Inhalation_Exp[24hr_Central Tendency],Inhalation_Exp[OES],$C12,Inhalation_Exp[Worker Type],$D12))</f>
        <v>1.7500000000000002E-2</v>
      </c>
      <c r="G12" s="210">
        <f>IF(E12="High-End",SUMIFS(Inhalation_Exp[Int_High-End],Inhalation_Exp[OES],$C12,Inhalation_Exp[Worker Type],$D12),SUMIFS(Inhalation_Exp[Int_Central Tendency],Inhalation_Exp[OES],$C12,Inhalation_Exp[Worker Type],$D12))</f>
        <v>1.2833333333333334E-2</v>
      </c>
      <c r="H12" s="210">
        <f>IF(E12="High-End",SUMIFS(Inhalation_Exp[ADD_High-End],Inhalation_Exp[OES],$C12,Inhalation_Exp[Worker Type],$D12),SUMIFS(Inhalation_Exp[ADD_Central Tendency],Inhalation_Exp[OES],$C12,Inhalation_Exp[Worker Type],$D12))</f>
        <v>1.1986301369863013E-2</v>
      </c>
      <c r="I12" s="210">
        <f>IF(E12="High-End",SUMIFS(Inhalation_Exp[LADD_High-End],Inhalation_Exp[OES],$C12,Inhalation_Exp[Worker Type],$D12),SUMIFS(Inhalation_Exp[LADD_Central Tendency],Inhalation_Exp[OES],$C12,Inhalation_Exp[Worker Type],$D12))</f>
        <v>4.7637864418686336E-3</v>
      </c>
      <c r="J12" s="282">
        <f>IF($E12="High-End",SUMIFS(Dermal_Exp[High-End AD (mg/kg-day)],Dermal_Exp[Worker Type],$D12,Dermal_Exp[OES],$C12),SUMIFS(Dermal_Exp[Central Tendency AD (mg/kg-day)],Dermal_Exp[Worker Type],$D12,Dermal_Exp[OES],$C12))</f>
        <v>6.9549999999999996E-5</v>
      </c>
      <c r="K12" s="282">
        <f>IF($E12="High-End",SUMIFS(Dermal_Exp[High-End IADD (mg/kg-day)],Dermal_Exp[Worker Type],$D12,Dermal_Exp[OES],$C12),SUMIFS(Dermal_Exp[Central Tendency IADD (mg/kg-day)],Dermal_Exp[Worker Type],$D12,Dermal_Exp[OES],$C12))</f>
        <v>5.1003333333333333E-5</v>
      </c>
      <c r="L12" s="282">
        <f>IF($E12="High-End",SUMIFS(Dermal_Exp[High-End ADD (mg/kg-day)],Dermal_Exp[Worker Type],$D12,Dermal_Exp[OES],$C12),SUMIFS(Dermal_Exp[Central Tendency ADD (mg/kg-day)],Dermal_Exp[Worker Type],$D12,Dermal_Exp[OES],$C12))</f>
        <v>4.7636986301369864E-5</v>
      </c>
      <c r="M12" s="282">
        <f>IF($E12="High-End",SUMIFS(Dermal_Exp[High-End LADD (mg/kg-day)],Dermal_Exp[Worker Type],$D12,Dermal_Exp[OES],$C12),SUMIFS(Dermal_Exp[Central Tendency LADD (mg/kg-day)],Dermal_Exp[Worker Type],$D12,Dermal_Exp[OES],$C12))</f>
        <v>1.8932648401826484E-5</v>
      </c>
      <c r="N12" s="314">
        <f t="shared" ref="N12:N75" si="5">F12+J12</f>
        <v>1.7569550000000003E-2</v>
      </c>
      <c r="O12" s="314">
        <f t="shared" si="2"/>
        <v>1.2884336666666668E-2</v>
      </c>
      <c r="P12" s="314">
        <f t="shared" si="3"/>
        <v>1.2033938356164384E-2</v>
      </c>
      <c r="Q12" s="314">
        <f t="shared" si="4"/>
        <v>4.7827190902704599E-3</v>
      </c>
    </row>
    <row r="13" spans="3:17" ht="12.75" customHeight="1">
      <c r="C13" s="313" t="str" cm="1">
        <f t="array" ref="C13">INDEX('List Values'!$B$2:$B$18,(1+ROUNDDOWN((ROW()-ROW($C$5))*1/6,2)))</f>
        <v>Import and Repackaging</v>
      </c>
      <c r="D13" s="313" t="s">
        <v>206</v>
      </c>
      <c r="E13" s="313" t="s">
        <v>92</v>
      </c>
      <c r="F13" s="210">
        <f>IF(E13="High-End",SUMIFS(Inhalation_Exp[24hr_High-End],Inhalation_Exp[OES],$C13,Inhalation_Exp[Worker Type],$D13),SUMIFS(Inhalation_Exp[24hr_Central Tendency],Inhalation_Exp[OES],$C13,Inhalation_Exp[Worker Type],$D13))</f>
        <v>7.1798412150500507E-2</v>
      </c>
      <c r="G13" s="210">
        <f>IF(E13="High-End",SUMIFS(Inhalation_Exp[Int_High-End],Inhalation_Exp[OES],$C13,Inhalation_Exp[Worker Type],$D13),SUMIFS(Inhalation_Exp[Int_Central Tendency],Inhalation_Exp[OES],$C13,Inhalation_Exp[Worker Type],$D13))</f>
        <v>5.2652168910367038E-2</v>
      </c>
      <c r="H13" s="210">
        <f>IF(E13="High-End",SUMIFS(Inhalation_Exp[ADD_High-End],Inhalation_Exp[OES],$C13,Inhalation_Exp[Worker Type],$D13),SUMIFS(Inhalation_Exp[ADD_Central Tendency],Inhalation_Exp[OES],$C13,Inhalation_Exp[Worker Type],$D13))</f>
        <v>4.9176994623630482E-2</v>
      </c>
      <c r="I13" s="210">
        <f>IF(E13="High-End",SUMIFS(Inhalation_Exp[LADD_High-End],Inhalation_Exp[OES],$C13,Inhalation_Exp[Worker Type],$D13),SUMIFS(Inhalation_Exp[LADD_Central Tendency],Inhalation_Exp[OES],$C13,Inhalation_Exp[Worker Type],$D13))</f>
        <v>2.5218971601861786E-2</v>
      </c>
      <c r="J13" s="282">
        <f>IF($E13="High-End",SUMIFS(Dermal_Exp[High-End AD (mg/kg-day)],Dermal_Exp[Worker Type],$D13,Dermal_Exp[OES],$C13),SUMIFS(Dermal_Exp[Central Tendency AD (mg/kg-day)],Dermal_Exp[Worker Type],$D13,Dermal_Exp[OES],$C13))</f>
        <v>1.2780117362789088E-4</v>
      </c>
      <c r="K13" s="282">
        <f>IF($E13="High-End",SUMIFS(Dermal_Exp[High-End IADD (mg/kg-day)],Dermal_Exp[Worker Type],$D13,Dermal_Exp[OES],$C13),SUMIFS(Dermal_Exp[Central Tendency IADD (mg/kg-day)],Dermal_Exp[Worker Type],$D13,Dermal_Exp[OES],$C13))</f>
        <v>9.372086066045331E-5</v>
      </c>
      <c r="L13" s="282">
        <f>IF($E13="High-End",SUMIFS(Dermal_Exp[High-End ADD (mg/kg-day)],Dermal_Exp[Worker Type],$D13,Dermal_Exp[OES],$C13),SUMIFS(Dermal_Exp[Central Tendency ADD (mg/kg-day)],Dermal_Exp[Worker Type],$D13,Dermal_Exp[OES],$C13))</f>
        <v>8.7535050430062247E-5</v>
      </c>
      <c r="M13" s="282">
        <f>IF($E13="High-End",SUMIFS(Dermal_Exp[High-End LADD (mg/kg-day)],Dermal_Exp[Worker Type],$D13,Dermal_Exp[OES],$C13),SUMIFS(Dermal_Exp[Central Tendency LADD (mg/kg-day)],Dermal_Exp[Worker Type],$D13,Dermal_Exp[OES],$C13))</f>
        <v>4.4889769451313967E-5</v>
      </c>
      <c r="N13" s="314">
        <f t="shared" si="5"/>
        <v>7.1926213324128394E-2</v>
      </c>
      <c r="O13" s="314">
        <f t="shared" si="2"/>
        <v>5.2745889771027489E-2</v>
      </c>
      <c r="P13" s="314">
        <f t="shared" si="3"/>
        <v>4.9264529674060545E-2</v>
      </c>
      <c r="Q13" s="314">
        <f t="shared" si="4"/>
        <v>2.52638613713131E-2</v>
      </c>
    </row>
    <row r="14" spans="3:17" ht="12.75" customHeight="1">
      <c r="C14" s="313" t="str" cm="1">
        <f t="array" ref="C14">INDEX('List Values'!$B$2:$B$18,(1+ROUNDDOWN((ROW()-ROW($C$5))*1/6,2)))</f>
        <v>Import and Repackaging</v>
      </c>
      <c r="D14" s="313" t="s">
        <v>206</v>
      </c>
      <c r="E14" s="313" t="s">
        <v>93</v>
      </c>
      <c r="F14" s="210">
        <f>IF(E14="High-End",SUMIFS(Inhalation_Exp[24hr_High-End],Inhalation_Exp[OES],$C14,Inhalation_Exp[Worker Type],$D14),SUMIFS(Inhalation_Exp[24hr_Central Tendency],Inhalation_Exp[OES],$C14,Inhalation_Exp[Worker Type],$D14))</f>
        <v>1.933034173282706E-2</v>
      </c>
      <c r="G14" s="210">
        <f>IF(E14="High-End",SUMIFS(Inhalation_Exp[Int_High-End],Inhalation_Exp[OES],$C14,Inhalation_Exp[Worker Type],$D14),SUMIFS(Inhalation_Exp[Int_Central Tendency],Inhalation_Exp[OES],$C14,Inhalation_Exp[Worker Type],$D14))</f>
        <v>1.417558393740651E-2</v>
      </c>
      <c r="H14" s="210">
        <f>IF(E14="High-End",SUMIFS(Inhalation_Exp[ADD_High-End],Inhalation_Exp[OES],$C14,Inhalation_Exp[Worker Type],$D14),SUMIFS(Inhalation_Exp[ADD_Central Tendency],Inhalation_Exp[OES],$C14,Inhalation_Exp[Worker Type],$D14))</f>
        <v>1.3239960090977439E-2</v>
      </c>
      <c r="I14" s="210">
        <f>IF(E14="High-End",SUMIFS(Inhalation_Exp[LADD_High-End],Inhalation_Exp[OES],$C14,Inhalation_Exp[Worker Type],$D14),SUMIFS(Inhalation_Exp[LADD_Central Tendency],Inhalation_Exp[OES],$C14,Inhalation_Exp[Worker Type],$D14))</f>
        <v>5.2620354207730856E-3</v>
      </c>
      <c r="J14" s="282">
        <f>IF($E14="High-End",SUMIFS(Dermal_Exp[High-End AD (mg/kg-day)],Dermal_Exp[Worker Type],$D14,Dermal_Exp[OES],$C14),SUMIFS(Dermal_Exp[Central Tendency AD (mg/kg-day)],Dermal_Exp[Worker Type],$D14,Dermal_Exp[OES],$C14))</f>
        <v>6.3900586813945439E-5</v>
      </c>
      <c r="K14" s="282">
        <f>IF($E14="High-End",SUMIFS(Dermal_Exp[High-End IADD (mg/kg-day)],Dermal_Exp[Worker Type],$D14,Dermal_Exp[OES],$C14),SUMIFS(Dermal_Exp[Central Tendency IADD (mg/kg-day)],Dermal_Exp[Worker Type],$D14,Dermal_Exp[OES],$C14))</f>
        <v>4.6860430330226655E-5</v>
      </c>
      <c r="L14" s="282">
        <f>IF($E14="High-End",SUMIFS(Dermal_Exp[High-End ADD (mg/kg-day)],Dermal_Exp[Worker Type],$D14,Dermal_Exp[OES],$C14),SUMIFS(Dermal_Exp[Central Tendency ADD (mg/kg-day)],Dermal_Exp[Worker Type],$D14,Dermal_Exp[OES],$C14))</f>
        <v>4.3767525215031117E-5</v>
      </c>
      <c r="M14" s="282">
        <f>IF($E14="High-End",SUMIFS(Dermal_Exp[High-End LADD (mg/kg-day)],Dermal_Exp[Worker Type],$D14,Dermal_Exp[OES],$C14),SUMIFS(Dermal_Exp[Central Tendency LADD (mg/kg-day)],Dermal_Exp[Worker Type],$D14,Dermal_Exp[OES],$C14))</f>
        <v>1.7394785662384163E-5</v>
      </c>
      <c r="N14" s="314">
        <f t="shared" si="5"/>
        <v>1.9394242319641007E-2</v>
      </c>
      <c r="O14" s="314">
        <f t="shared" si="2"/>
        <v>1.4222444367736738E-2</v>
      </c>
      <c r="P14" s="314">
        <f t="shared" si="3"/>
        <v>1.3283727616192471E-2</v>
      </c>
      <c r="Q14" s="314">
        <f t="shared" si="4"/>
        <v>5.2794302064354702E-3</v>
      </c>
    </row>
    <row r="15" spans="3:17" ht="12.75" customHeight="1">
      <c r="C15" s="313" t="str" cm="1">
        <f t="array" ref="C15">INDEX('List Values'!$B$2:$B$18,(1+ROUNDDOWN((ROW()-ROW($C$5))*1/6,2)))</f>
        <v>Import and Repackaging</v>
      </c>
      <c r="D15" s="313" t="s">
        <v>94</v>
      </c>
      <c r="E15" s="313" t="s">
        <v>92</v>
      </c>
      <c r="F15" s="210">
        <f>IF(E15="High-End",SUMIFS(Inhalation_Exp[24hr_High-End],Inhalation_Exp[OES],$C15,Inhalation_Exp[Worker Type],$D15),SUMIFS(Inhalation_Exp[24hr_Central Tendency],Inhalation_Exp[OES],$C15,Inhalation_Exp[Worker Type],$D15))</f>
        <v>1.7500000000000002E-2</v>
      </c>
      <c r="G15" s="210">
        <f>IF(E15="High-End",SUMIFS(Inhalation_Exp[Int_High-End],Inhalation_Exp[OES],$C15,Inhalation_Exp[Worker Type],$D15),SUMIFS(Inhalation_Exp[Int_Central Tendency],Inhalation_Exp[OES],$C15,Inhalation_Exp[Worker Type],$D15))</f>
        <v>1.2833333333333334E-2</v>
      </c>
      <c r="H15" s="210">
        <f>IF(E15="High-End",SUMIFS(Inhalation_Exp[ADD_High-End],Inhalation_Exp[OES],$C15,Inhalation_Exp[Worker Type],$D15),SUMIFS(Inhalation_Exp[ADD_Central Tendency],Inhalation_Exp[OES],$C15,Inhalation_Exp[Worker Type],$D15))</f>
        <v>1.1986301369863013E-2</v>
      </c>
      <c r="I15" s="210">
        <f>IF(E15="High-End",SUMIFS(Inhalation_Exp[LADD_High-End],Inhalation_Exp[OES],$C15,Inhalation_Exp[Worker Type],$D15),SUMIFS(Inhalation_Exp[LADD_Central Tendency],Inhalation_Exp[OES],$C15,Inhalation_Exp[Worker Type],$D15))</f>
        <v>6.1468212153143664E-3</v>
      </c>
      <c r="J15" s="282">
        <f>IF($E15="High-End",SUMIFS(Dermal_Exp[High-End AD (mg/kg-day)],Dermal_Exp[Worker Type],$D15,Dermal_Exp[OES],$C15),SUMIFS(Dermal_Exp[Central Tendency AD (mg/kg-day)],Dermal_Exp[Worker Type],$D15,Dermal_Exp[OES],$C15))</f>
        <v>0</v>
      </c>
      <c r="K15" s="282">
        <f>IF($E15="High-End",SUMIFS(Dermal_Exp[High-End IADD (mg/kg-day)],Dermal_Exp[Worker Type],$D15,Dermal_Exp[OES],$C15),SUMIFS(Dermal_Exp[Central Tendency IADD (mg/kg-day)],Dermal_Exp[Worker Type],$D15,Dermal_Exp[OES],$C15))</f>
        <v>0</v>
      </c>
      <c r="L15" s="282">
        <f>IF($E15="High-End",SUMIFS(Dermal_Exp[High-End ADD (mg/kg-day)],Dermal_Exp[Worker Type],$D15,Dermal_Exp[OES],$C15),SUMIFS(Dermal_Exp[Central Tendency ADD (mg/kg-day)],Dermal_Exp[Worker Type],$D15,Dermal_Exp[OES],$C15))</f>
        <v>0</v>
      </c>
      <c r="M15" s="282">
        <f>IF($E15="High-End",SUMIFS(Dermal_Exp[High-End LADD (mg/kg-day)],Dermal_Exp[Worker Type],$D15,Dermal_Exp[OES],$C15),SUMIFS(Dermal_Exp[Central Tendency LADD (mg/kg-day)],Dermal_Exp[Worker Type],$D15,Dermal_Exp[OES],$C15))</f>
        <v>0</v>
      </c>
      <c r="N15" s="314">
        <f t="shared" si="5"/>
        <v>1.7500000000000002E-2</v>
      </c>
      <c r="O15" s="314">
        <f t="shared" si="2"/>
        <v>1.2833333333333334E-2</v>
      </c>
      <c r="P15" s="314">
        <f t="shared" si="3"/>
        <v>1.1986301369863013E-2</v>
      </c>
      <c r="Q15" s="314">
        <f t="shared" si="4"/>
        <v>6.1468212153143664E-3</v>
      </c>
    </row>
    <row r="16" spans="3:17" ht="12.75" customHeight="1">
      <c r="C16" s="313" t="str" cm="1">
        <f t="array" ref="C16">INDEX('List Values'!$B$2:$B$18,(1+ROUNDDOWN((ROW()-ROW($C$5))*1/6,2)))</f>
        <v>Import and Repackaging</v>
      </c>
      <c r="D16" s="313" t="s">
        <v>94</v>
      </c>
      <c r="E16" s="313" t="s">
        <v>93</v>
      </c>
      <c r="F16" s="210">
        <f>IF(E16="High-End",SUMIFS(Inhalation_Exp[24hr_High-End],Inhalation_Exp[OES],$C16,Inhalation_Exp[Worker Type],$D16),SUMIFS(Inhalation_Exp[24hr_Central Tendency],Inhalation_Exp[OES],$C16,Inhalation_Exp[Worker Type],$D16))</f>
        <v>1.7500000000000002E-2</v>
      </c>
      <c r="G16" s="210">
        <f>IF(E16="High-End",SUMIFS(Inhalation_Exp[Int_High-End],Inhalation_Exp[OES],$C16,Inhalation_Exp[Worker Type],$D16),SUMIFS(Inhalation_Exp[Int_Central Tendency],Inhalation_Exp[OES],$C16,Inhalation_Exp[Worker Type],$D16))</f>
        <v>1.2833333333333334E-2</v>
      </c>
      <c r="H16" s="210">
        <f>IF(E16="High-End",SUMIFS(Inhalation_Exp[ADD_High-End],Inhalation_Exp[OES],$C16,Inhalation_Exp[Worker Type],$D16),SUMIFS(Inhalation_Exp[ADD_Central Tendency],Inhalation_Exp[OES],$C16,Inhalation_Exp[Worker Type],$D16))</f>
        <v>1.1986301369863013E-2</v>
      </c>
      <c r="I16" s="210">
        <f>IF(E16="High-End",SUMIFS(Inhalation_Exp[LADD_High-End],Inhalation_Exp[OES],$C16,Inhalation_Exp[Worker Type],$D16),SUMIFS(Inhalation_Exp[LADD_Central Tendency],Inhalation_Exp[OES],$C16,Inhalation_Exp[Worker Type],$D16))</f>
        <v>4.7637864418686336E-3</v>
      </c>
      <c r="J16" s="282">
        <f>IF($E16="High-End",SUMIFS(Dermal_Exp[High-End AD (mg/kg-day)],Dermal_Exp[Worker Type],$D16,Dermal_Exp[OES],$C16),SUMIFS(Dermal_Exp[Central Tendency AD (mg/kg-day)],Dermal_Exp[Worker Type],$D16,Dermal_Exp[OES],$C16))</f>
        <v>0</v>
      </c>
      <c r="K16" s="282">
        <f>IF($E16="High-End",SUMIFS(Dermal_Exp[High-End IADD (mg/kg-day)],Dermal_Exp[Worker Type],$D16,Dermal_Exp[OES],$C16),SUMIFS(Dermal_Exp[Central Tendency IADD (mg/kg-day)],Dermal_Exp[Worker Type],$D16,Dermal_Exp[OES],$C16))</f>
        <v>0</v>
      </c>
      <c r="L16" s="282">
        <f>IF($E16="High-End",SUMIFS(Dermal_Exp[High-End ADD (mg/kg-day)],Dermal_Exp[Worker Type],$D16,Dermal_Exp[OES],$C16),SUMIFS(Dermal_Exp[Central Tendency ADD (mg/kg-day)],Dermal_Exp[Worker Type],$D16,Dermal_Exp[OES],$C16))</f>
        <v>0</v>
      </c>
      <c r="M16" s="282">
        <f>IF($E16="High-End",SUMIFS(Dermal_Exp[High-End LADD (mg/kg-day)],Dermal_Exp[Worker Type],$D16,Dermal_Exp[OES],$C16),SUMIFS(Dermal_Exp[Central Tendency LADD (mg/kg-day)],Dermal_Exp[Worker Type],$D16,Dermal_Exp[OES],$C16))</f>
        <v>0</v>
      </c>
      <c r="N16" s="314">
        <f t="shared" si="5"/>
        <v>1.7500000000000002E-2</v>
      </c>
      <c r="O16" s="314">
        <f t="shared" si="2"/>
        <v>1.2833333333333334E-2</v>
      </c>
      <c r="P16" s="314">
        <f t="shared" si="3"/>
        <v>1.1986301369863013E-2</v>
      </c>
      <c r="Q16" s="314">
        <f t="shared" si="4"/>
        <v>4.7637864418686336E-3</v>
      </c>
    </row>
    <row r="17" spans="3:17" ht="12.75" customHeight="1">
      <c r="C17" s="313" t="str" cm="1">
        <f t="array" ref="C17">INDEX('List Values'!$B$2:$B$18,(1+ROUNDDOWN((ROW()-ROW($C$5))*1/6,2)))</f>
        <v>Incorporation into Formulation, Mixture, or Reaction Product</v>
      </c>
      <c r="D17" s="313" t="s">
        <v>74</v>
      </c>
      <c r="E17" s="308" t="s">
        <v>92</v>
      </c>
      <c r="F17" s="210">
        <f>IF(E17="High-End",SUMIFS(Inhalation_Exp[24hr_High-End],Inhalation_Exp[OES],$C17,Inhalation_Exp[Worker Type],$D17),SUMIFS(Inhalation_Exp[24hr_Central Tendency],Inhalation_Exp[OES],$C17,Inhalation_Exp[Worker Type],$D17))</f>
        <v>2.7499999999999998E-3</v>
      </c>
      <c r="G17" s="210">
        <f>IF(E17="High-End",SUMIFS(Inhalation_Exp[Int_High-End],Inhalation_Exp[OES],$C17,Inhalation_Exp[Worker Type],$D17),SUMIFS(Inhalation_Exp[Int_Central Tendency],Inhalation_Exp[OES],$C17,Inhalation_Exp[Worker Type],$D17))</f>
        <v>2.0166666666666666E-3</v>
      </c>
      <c r="H17" s="210">
        <f>IF(E17="High-End",SUMIFS(Inhalation_Exp[ADD_High-End],Inhalation_Exp[OES],$C17,Inhalation_Exp[Worker Type],$D17),SUMIFS(Inhalation_Exp[ADD_Central Tendency],Inhalation_Exp[OES],$C17,Inhalation_Exp[Worker Type],$D17))</f>
        <v>1.8835616438356165E-3</v>
      </c>
      <c r="I17" s="210">
        <f>IF(E17="High-End",SUMIFS(Inhalation_Exp[LADD_High-End],Inhalation_Exp[OES],$C17,Inhalation_Exp[Worker Type],$D17),SUMIFS(Inhalation_Exp[LADD_Central Tendency],Inhalation_Exp[OES],$C17,Inhalation_Exp[Worker Type],$D17))</f>
        <v>9.6592904812082896E-4</v>
      </c>
      <c r="J17" s="282">
        <f>IF($E17="High-End",SUMIFS(Dermal_Exp[High-End AD (mg/kg-day)],Dermal_Exp[Worker Type],$D17,Dermal_Exp[OES],$C17),SUMIFS(Dermal_Exp[Central Tendency AD (mg/kg-day)],Dermal_Exp[Worker Type],$D17,Dermal_Exp[OES],$C17))</f>
        <v>1.3909999999999999E-4</v>
      </c>
      <c r="K17" s="282">
        <f>IF($E17="High-End",SUMIFS(Dermal_Exp[High-End IADD (mg/kg-day)],Dermal_Exp[Worker Type],$D17,Dermal_Exp[OES],$C17),SUMIFS(Dermal_Exp[Central Tendency IADD (mg/kg-day)],Dermal_Exp[Worker Type],$D17,Dermal_Exp[OES],$C17))</f>
        <v>1.0200666666666667E-4</v>
      </c>
      <c r="L17" s="282">
        <f>IF($E17="High-End",SUMIFS(Dermal_Exp[High-End ADD (mg/kg-day)],Dermal_Exp[Worker Type],$D17,Dermal_Exp[OES],$C17),SUMIFS(Dermal_Exp[Central Tendency ADD (mg/kg-day)],Dermal_Exp[Worker Type],$D17,Dermal_Exp[OES],$C17))</f>
        <v>9.5273972602739727E-5</v>
      </c>
      <c r="M17" s="282">
        <f>IF($E17="High-End",SUMIFS(Dermal_Exp[High-End LADD (mg/kg-day)],Dermal_Exp[Worker Type],$D17,Dermal_Exp[OES],$C17),SUMIFS(Dermal_Exp[Central Tendency LADD (mg/kg-day)],Dermal_Exp[Worker Type],$D17,Dermal_Exp[OES],$C17))</f>
        <v>4.8858447488584476E-5</v>
      </c>
      <c r="N17" s="314">
        <f t="shared" si="5"/>
        <v>2.8890999999999999E-3</v>
      </c>
      <c r="O17" s="314">
        <f t="shared" si="2"/>
        <v>2.1186733333333333E-3</v>
      </c>
      <c r="P17" s="314">
        <f t="shared" si="3"/>
        <v>1.9788356164383561E-3</v>
      </c>
      <c r="Q17" s="314">
        <f t="shared" si="4"/>
        <v>1.0147874956094134E-3</v>
      </c>
    </row>
    <row r="18" spans="3:17" ht="12.75" customHeight="1">
      <c r="C18" s="313" t="str" cm="1">
        <f t="array" ref="C18">INDEX('List Values'!$B$2:$B$18,(1+ROUNDDOWN((ROW()-ROW($C$5))*1/6,2)))</f>
        <v>Incorporation into Formulation, Mixture, or Reaction Product</v>
      </c>
      <c r="D18" s="313" t="s">
        <v>74</v>
      </c>
      <c r="E18" s="313" t="s">
        <v>93</v>
      </c>
      <c r="F18" s="210">
        <f>IF(E18="High-End",SUMIFS(Inhalation_Exp[24hr_High-End],Inhalation_Exp[OES],$C18,Inhalation_Exp[Worker Type],$D18),SUMIFS(Inhalation_Exp[24hr_Central Tendency],Inhalation_Exp[OES],$C18,Inhalation_Exp[Worker Type],$D18))</f>
        <v>1.5E-3</v>
      </c>
      <c r="G18" s="210">
        <f>IF(E18="High-End",SUMIFS(Inhalation_Exp[Int_High-End],Inhalation_Exp[OES],$C18,Inhalation_Exp[Worker Type],$D18),SUMIFS(Inhalation_Exp[Int_Central Tendency],Inhalation_Exp[OES],$C18,Inhalation_Exp[Worker Type],$D18))</f>
        <v>1.1000000000000001E-3</v>
      </c>
      <c r="H18" s="210">
        <f>IF(E18="High-End",SUMIFS(Inhalation_Exp[ADD_High-End],Inhalation_Exp[OES],$C18,Inhalation_Exp[Worker Type],$D18),SUMIFS(Inhalation_Exp[ADD_Central Tendency],Inhalation_Exp[OES],$C18,Inhalation_Exp[Worker Type],$D18))</f>
        <v>1.0273972602739725E-3</v>
      </c>
      <c r="I18" s="210">
        <f>IF(E18="High-End",SUMIFS(Inhalation_Exp[LADD_High-End],Inhalation_Exp[OES],$C18,Inhalation_Exp[Worker Type],$D18),SUMIFS(Inhalation_Exp[LADD_Central Tendency],Inhalation_Exp[OES],$C18,Inhalation_Exp[Worker Type],$D18))</f>
        <v>4.0832455216016861E-4</v>
      </c>
      <c r="J18" s="282">
        <f>IF($E18="High-End",SUMIFS(Dermal_Exp[High-End AD (mg/kg-day)],Dermal_Exp[Worker Type],$D18,Dermal_Exp[OES],$C18),SUMIFS(Dermal_Exp[Central Tendency AD (mg/kg-day)],Dermal_Exp[Worker Type],$D18,Dermal_Exp[OES],$C18))</f>
        <v>6.9549999999999996E-5</v>
      </c>
      <c r="K18" s="282">
        <f>IF($E18="High-End",SUMIFS(Dermal_Exp[High-End IADD (mg/kg-day)],Dermal_Exp[Worker Type],$D18,Dermal_Exp[OES],$C18),SUMIFS(Dermal_Exp[Central Tendency IADD (mg/kg-day)],Dermal_Exp[Worker Type],$D18,Dermal_Exp[OES],$C18))</f>
        <v>5.1003333333333333E-5</v>
      </c>
      <c r="L18" s="282">
        <f>IF($E18="High-End",SUMIFS(Dermal_Exp[High-End ADD (mg/kg-day)],Dermal_Exp[Worker Type],$D18,Dermal_Exp[OES],$C18),SUMIFS(Dermal_Exp[Central Tendency ADD (mg/kg-day)],Dermal_Exp[Worker Type],$D18,Dermal_Exp[OES],$C18))</f>
        <v>4.7636986301369864E-5</v>
      </c>
      <c r="M18" s="282">
        <f>IF($E18="High-End",SUMIFS(Dermal_Exp[High-End LADD (mg/kg-day)],Dermal_Exp[Worker Type],$D18,Dermal_Exp[OES],$C18),SUMIFS(Dermal_Exp[Central Tendency LADD (mg/kg-day)],Dermal_Exp[Worker Type],$D18,Dermal_Exp[OES],$C18))</f>
        <v>1.8932648401826484E-5</v>
      </c>
      <c r="N18" s="314">
        <f t="shared" si="5"/>
        <v>1.5695500000000001E-3</v>
      </c>
      <c r="O18" s="314">
        <f t="shared" si="2"/>
        <v>1.1510033333333334E-3</v>
      </c>
      <c r="P18" s="314">
        <f t="shared" si="3"/>
        <v>1.0750342465753423E-3</v>
      </c>
      <c r="Q18" s="314">
        <f t="shared" si="4"/>
        <v>4.2725720056199508E-4</v>
      </c>
    </row>
    <row r="19" spans="3:17" ht="12.75" customHeight="1">
      <c r="C19" s="313" t="str" cm="1">
        <f t="array" ref="C19">INDEX('List Values'!$B$2:$B$18,(1+ROUNDDOWN((ROW()-ROW($C$5))*1/6,2)))</f>
        <v>Incorporation into Formulation, Mixture, or Reaction Product</v>
      </c>
      <c r="D19" s="313" t="s">
        <v>206</v>
      </c>
      <c r="E19" s="313" t="s">
        <v>92</v>
      </c>
      <c r="F19" s="210">
        <f>IF(E19="High-End",SUMIFS(Inhalation_Exp[24hr_High-End],Inhalation_Exp[OES],$C19,Inhalation_Exp[Worker Type],$D19),SUMIFS(Inhalation_Exp[24hr_Central Tendency],Inhalation_Exp[OES],$C19,Inhalation_Exp[Worker Type],$D19))</f>
        <v>3.0376251294442517E-3</v>
      </c>
      <c r="G19" s="210">
        <f>IF(E19="High-End",SUMIFS(Inhalation_Exp[Int_High-End],Inhalation_Exp[OES],$C19,Inhalation_Exp[Worker Type],$D19),SUMIFS(Inhalation_Exp[Int_Central Tendency],Inhalation_Exp[OES],$C19,Inhalation_Exp[Worker Type],$D19))</f>
        <v>2.2275917615924511E-3</v>
      </c>
      <c r="H19" s="210">
        <f>IF(E19="High-End",SUMIFS(Inhalation_Exp[ADD_High-End],Inhalation_Exp[OES],$C19,Inhalation_Exp[Worker Type],$D19),SUMIFS(Inhalation_Exp[ADD_Central Tendency],Inhalation_Exp[OES],$C19,Inhalation_Exp[Worker Type],$D19))</f>
        <v>2.0805651571535969E-3</v>
      </c>
      <c r="I19" s="210">
        <f>IF(E19="High-End",SUMIFS(Inhalation_Exp[LADD_High-End],Inhalation_Exp[OES],$C19,Inhalation_Exp[Worker Type],$D19),SUMIFS(Inhalation_Exp[LADD_Central Tendency],Inhalation_Exp[OES],$C19,Inhalation_Exp[Worker Type],$D19))</f>
        <v>1.0669564908479985E-3</v>
      </c>
      <c r="J19" s="282">
        <f>IF($E19="High-End",SUMIFS(Dermal_Exp[High-End AD (mg/kg-day)],Dermal_Exp[Worker Type],$D19,Dermal_Exp[OES],$C19),SUMIFS(Dermal_Exp[Central Tendency AD (mg/kg-day)],Dermal_Exp[Worker Type],$D19,Dermal_Exp[OES],$C19))</f>
        <v>1.2780117362789088E-4</v>
      </c>
      <c r="K19" s="282">
        <f>IF($E19="High-End",SUMIFS(Dermal_Exp[High-End IADD (mg/kg-day)],Dermal_Exp[Worker Type],$D19,Dermal_Exp[OES],$C19),SUMIFS(Dermal_Exp[Central Tendency IADD (mg/kg-day)],Dermal_Exp[Worker Type],$D19,Dermal_Exp[OES],$C19))</f>
        <v>9.372086066045331E-5</v>
      </c>
      <c r="L19" s="282">
        <f>IF($E19="High-End",SUMIFS(Dermal_Exp[High-End ADD (mg/kg-day)],Dermal_Exp[Worker Type],$D19,Dermal_Exp[OES],$C19),SUMIFS(Dermal_Exp[Central Tendency ADD (mg/kg-day)],Dermal_Exp[Worker Type],$D19,Dermal_Exp[OES],$C19))</f>
        <v>8.7535050430062247E-5</v>
      </c>
      <c r="M19" s="282">
        <f>IF($E19="High-End",SUMIFS(Dermal_Exp[High-End LADD (mg/kg-day)],Dermal_Exp[Worker Type],$D19,Dermal_Exp[OES],$C19),SUMIFS(Dermal_Exp[Central Tendency LADD (mg/kg-day)],Dermal_Exp[Worker Type],$D19,Dermal_Exp[OES],$C19))</f>
        <v>4.4889769451313967E-5</v>
      </c>
      <c r="N19" s="314">
        <f t="shared" si="5"/>
        <v>3.1654263030721427E-3</v>
      </c>
      <c r="O19" s="314">
        <f t="shared" si="2"/>
        <v>2.3213126222529044E-3</v>
      </c>
      <c r="P19" s="314">
        <f t="shared" si="3"/>
        <v>2.1681002075836591E-3</v>
      </c>
      <c r="Q19" s="314">
        <f t="shared" si="4"/>
        <v>1.1118462602993126E-3</v>
      </c>
    </row>
    <row r="20" spans="3:17" ht="12.75" customHeight="1">
      <c r="C20" s="313" t="str" cm="1">
        <f t="array" ref="C20">INDEX('List Values'!$B$2:$B$18,(1+ROUNDDOWN((ROW()-ROW($C$5))*1/6,2)))</f>
        <v>Incorporation into Formulation, Mixture, or Reaction Product</v>
      </c>
      <c r="D20" s="313" t="s">
        <v>206</v>
      </c>
      <c r="E20" s="313" t="s">
        <v>93</v>
      </c>
      <c r="F20" s="210">
        <f>IF(E20="High-End",SUMIFS(Inhalation_Exp[24hr_High-End],Inhalation_Exp[OES],$C20,Inhalation_Exp[Worker Type],$D20),SUMIFS(Inhalation_Exp[24hr_Central Tendency],Inhalation_Exp[OES],$C20,Inhalation_Exp[Worker Type],$D20))</f>
        <v>1.6568864342423194E-3</v>
      </c>
      <c r="G20" s="210">
        <f>IF(E20="High-End",SUMIFS(Inhalation_Exp[Int_High-End],Inhalation_Exp[OES],$C20,Inhalation_Exp[Worker Type],$D20),SUMIFS(Inhalation_Exp[Int_Central Tendency],Inhalation_Exp[OES],$C20,Inhalation_Exp[Worker Type],$D20))</f>
        <v>1.2150500517777009E-3</v>
      </c>
      <c r="H20" s="210">
        <f>IF(E20="High-End",SUMIFS(Inhalation_Exp[ADD_High-End],Inhalation_Exp[OES],$C20,Inhalation_Exp[Worker Type],$D20),SUMIFS(Inhalation_Exp[ADD_Central Tendency],Inhalation_Exp[OES],$C20,Inhalation_Exp[Worker Type],$D20))</f>
        <v>1.1348537220837805E-3</v>
      </c>
      <c r="I20" s="210">
        <f>IF(E20="High-End",SUMIFS(Inhalation_Exp[LADD_High-End],Inhalation_Exp[OES],$C20,Inhalation_Exp[Worker Type],$D20),SUMIFS(Inhalation_Exp[LADD_Central Tendency],Inhalation_Exp[OES],$C20,Inhalation_Exp[Worker Type],$D20))</f>
        <v>4.5103160749483581E-4</v>
      </c>
      <c r="J20" s="282">
        <f>IF($E20="High-End",SUMIFS(Dermal_Exp[High-End AD (mg/kg-day)],Dermal_Exp[Worker Type],$D20,Dermal_Exp[OES],$C20),SUMIFS(Dermal_Exp[Central Tendency AD (mg/kg-day)],Dermal_Exp[Worker Type],$D20,Dermal_Exp[OES],$C20))</f>
        <v>6.3900586813945439E-5</v>
      </c>
      <c r="K20" s="282">
        <f>IF($E20="High-End",SUMIFS(Dermal_Exp[High-End IADD (mg/kg-day)],Dermal_Exp[Worker Type],$D20,Dermal_Exp[OES],$C20),SUMIFS(Dermal_Exp[Central Tendency IADD (mg/kg-day)],Dermal_Exp[Worker Type],$D20,Dermal_Exp[OES],$C20))</f>
        <v>4.6860430330226655E-5</v>
      </c>
      <c r="L20" s="282">
        <f>IF($E20="High-End",SUMIFS(Dermal_Exp[High-End ADD (mg/kg-day)],Dermal_Exp[Worker Type],$D20,Dermal_Exp[OES],$C20),SUMIFS(Dermal_Exp[Central Tendency ADD (mg/kg-day)],Dermal_Exp[Worker Type],$D20,Dermal_Exp[OES],$C20))</f>
        <v>4.3767525215031117E-5</v>
      </c>
      <c r="M20" s="282">
        <f>IF($E20="High-End",SUMIFS(Dermal_Exp[High-End LADD (mg/kg-day)],Dermal_Exp[Worker Type],$D20,Dermal_Exp[OES],$C20),SUMIFS(Dermal_Exp[Central Tendency LADD (mg/kg-day)],Dermal_Exp[Worker Type],$D20,Dermal_Exp[OES],$C20))</f>
        <v>1.7394785662384163E-5</v>
      </c>
      <c r="N20" s="314">
        <f t="shared" si="5"/>
        <v>1.7207870210562649E-3</v>
      </c>
      <c r="O20" s="314">
        <f t="shared" si="2"/>
        <v>1.2619104821079276E-3</v>
      </c>
      <c r="P20" s="314">
        <f t="shared" si="3"/>
        <v>1.1786212472988116E-3</v>
      </c>
      <c r="Q20" s="314">
        <f t="shared" si="4"/>
        <v>4.6842639315721997E-4</v>
      </c>
    </row>
    <row r="21" spans="3:17" ht="12.75" customHeight="1">
      <c r="C21" s="313" t="str" cm="1">
        <f t="array" ref="C21">INDEX('List Values'!$B$2:$B$18,(1+ROUNDDOWN((ROW()-ROW($C$5))*1/6,2)))</f>
        <v>Incorporation into Formulation, Mixture, or Reaction Product</v>
      </c>
      <c r="D21" s="313" t="s">
        <v>94</v>
      </c>
      <c r="E21" s="313" t="s">
        <v>92</v>
      </c>
      <c r="F21" s="210">
        <f>IF(E21="High-End",SUMIFS(Inhalation_Exp[24hr_High-End],Inhalation_Exp[OES],$C21,Inhalation_Exp[Worker Type],$D21),SUMIFS(Inhalation_Exp[24hr_Central Tendency],Inhalation_Exp[OES],$C21,Inhalation_Exp[Worker Type],$D21))</f>
        <v>1.5E-3</v>
      </c>
      <c r="G21" s="210">
        <f>IF(E21="High-End",SUMIFS(Inhalation_Exp[Int_High-End],Inhalation_Exp[OES],$C21,Inhalation_Exp[Worker Type],$D21),SUMIFS(Inhalation_Exp[Int_Central Tendency],Inhalation_Exp[OES],$C21,Inhalation_Exp[Worker Type],$D21))</f>
        <v>1.1000000000000001E-3</v>
      </c>
      <c r="H21" s="210">
        <f>IF(E21="High-End",SUMIFS(Inhalation_Exp[ADD_High-End],Inhalation_Exp[OES],$C21,Inhalation_Exp[Worker Type],$D21),SUMIFS(Inhalation_Exp[ADD_Central Tendency],Inhalation_Exp[OES],$C21,Inhalation_Exp[Worker Type],$D21))</f>
        <v>1.0273972602739725E-3</v>
      </c>
      <c r="I21" s="210">
        <f>IF(E21="High-End",SUMIFS(Inhalation_Exp[LADD_High-End],Inhalation_Exp[OES],$C21,Inhalation_Exp[Worker Type],$D21),SUMIFS(Inhalation_Exp[LADD_Central Tendency],Inhalation_Exp[OES],$C21,Inhalation_Exp[Worker Type],$D21))</f>
        <v>5.2687038988408848E-4</v>
      </c>
      <c r="J21" s="282">
        <f>IF($E21="High-End",SUMIFS(Dermal_Exp[High-End AD (mg/kg-day)],Dermal_Exp[Worker Type],$D21,Dermal_Exp[OES],$C21),SUMIFS(Dermal_Exp[Central Tendency AD (mg/kg-day)],Dermal_Exp[Worker Type],$D21,Dermal_Exp[OES],$C21))</f>
        <v>0</v>
      </c>
      <c r="K21" s="282">
        <f>IF($E21="High-End",SUMIFS(Dermal_Exp[High-End IADD (mg/kg-day)],Dermal_Exp[Worker Type],$D21,Dermal_Exp[OES],$C21),SUMIFS(Dermal_Exp[Central Tendency IADD (mg/kg-day)],Dermal_Exp[Worker Type],$D21,Dermal_Exp[OES],$C21))</f>
        <v>0</v>
      </c>
      <c r="L21" s="282">
        <f>IF($E21="High-End",SUMIFS(Dermal_Exp[High-End ADD (mg/kg-day)],Dermal_Exp[Worker Type],$D21,Dermal_Exp[OES],$C21),SUMIFS(Dermal_Exp[Central Tendency ADD (mg/kg-day)],Dermal_Exp[Worker Type],$D21,Dermal_Exp[OES],$C21))</f>
        <v>0</v>
      </c>
      <c r="M21" s="282">
        <f>IF($E21="High-End",SUMIFS(Dermal_Exp[High-End LADD (mg/kg-day)],Dermal_Exp[Worker Type],$D21,Dermal_Exp[OES],$C21),SUMIFS(Dermal_Exp[Central Tendency LADD (mg/kg-day)],Dermal_Exp[Worker Type],$D21,Dermal_Exp[OES],$C21))</f>
        <v>0</v>
      </c>
      <c r="N21" s="314">
        <f t="shared" si="5"/>
        <v>1.5E-3</v>
      </c>
      <c r="O21" s="314">
        <f t="shared" si="2"/>
        <v>1.1000000000000001E-3</v>
      </c>
      <c r="P21" s="314">
        <f t="shared" si="3"/>
        <v>1.0273972602739725E-3</v>
      </c>
      <c r="Q21" s="314">
        <f t="shared" si="4"/>
        <v>5.2687038988408848E-4</v>
      </c>
    </row>
    <row r="22" spans="3:17" ht="12.75" customHeight="1">
      <c r="C22" s="313" t="str" cm="1">
        <f t="array" ref="C22">INDEX('List Values'!$B$2:$B$18,(1+ROUNDDOWN((ROW()-ROW($C$5))*1/6,2)))</f>
        <v>Incorporation into Formulation, Mixture, or Reaction Product</v>
      </c>
      <c r="D22" s="313" t="s">
        <v>94</v>
      </c>
      <c r="E22" s="313" t="s">
        <v>93</v>
      </c>
      <c r="F22" s="210">
        <f>IF(E22="High-End",SUMIFS(Inhalation_Exp[24hr_High-End],Inhalation_Exp[OES],$C22,Inhalation_Exp[Worker Type],$D22),SUMIFS(Inhalation_Exp[24hr_Central Tendency],Inhalation_Exp[OES],$C22,Inhalation_Exp[Worker Type],$D22))</f>
        <v>1.5E-3</v>
      </c>
      <c r="G22" s="210">
        <f>IF(E22="High-End",SUMIFS(Inhalation_Exp[Int_High-End],Inhalation_Exp[OES],$C22,Inhalation_Exp[Worker Type],$D22),SUMIFS(Inhalation_Exp[Int_Central Tendency],Inhalation_Exp[OES],$C22,Inhalation_Exp[Worker Type],$D22))</f>
        <v>1.1000000000000001E-3</v>
      </c>
      <c r="H22" s="210">
        <f>IF(E22="High-End",SUMIFS(Inhalation_Exp[ADD_High-End],Inhalation_Exp[OES],$C22,Inhalation_Exp[Worker Type],$D22),SUMIFS(Inhalation_Exp[ADD_Central Tendency],Inhalation_Exp[OES],$C22,Inhalation_Exp[Worker Type],$D22))</f>
        <v>1.0273972602739725E-3</v>
      </c>
      <c r="I22" s="210">
        <f>IF(E22="High-End",SUMIFS(Inhalation_Exp[LADD_High-End],Inhalation_Exp[OES],$C22,Inhalation_Exp[Worker Type],$D22),SUMIFS(Inhalation_Exp[LADD_Central Tendency],Inhalation_Exp[OES],$C22,Inhalation_Exp[Worker Type],$D22))</f>
        <v>4.0832455216016861E-4</v>
      </c>
      <c r="J22" s="282">
        <f>IF($E22="High-End",SUMIFS(Dermal_Exp[High-End AD (mg/kg-day)],Dermal_Exp[Worker Type],$D22,Dermal_Exp[OES],$C22),SUMIFS(Dermal_Exp[Central Tendency AD (mg/kg-day)],Dermal_Exp[Worker Type],$D22,Dermal_Exp[OES],$C22))</f>
        <v>0</v>
      </c>
      <c r="K22" s="282">
        <f>IF($E22="High-End",SUMIFS(Dermal_Exp[High-End IADD (mg/kg-day)],Dermal_Exp[Worker Type],$D22,Dermal_Exp[OES],$C22),SUMIFS(Dermal_Exp[Central Tendency IADD (mg/kg-day)],Dermal_Exp[Worker Type],$D22,Dermal_Exp[OES],$C22))</f>
        <v>0</v>
      </c>
      <c r="L22" s="282">
        <f>IF($E22="High-End",SUMIFS(Dermal_Exp[High-End ADD (mg/kg-day)],Dermal_Exp[Worker Type],$D22,Dermal_Exp[OES],$C22),SUMIFS(Dermal_Exp[Central Tendency ADD (mg/kg-day)],Dermal_Exp[Worker Type],$D22,Dermal_Exp[OES],$C22))</f>
        <v>0</v>
      </c>
      <c r="M22" s="282">
        <f>IF($E22="High-End",SUMIFS(Dermal_Exp[High-End LADD (mg/kg-day)],Dermal_Exp[Worker Type],$D22,Dermal_Exp[OES],$C22),SUMIFS(Dermal_Exp[Central Tendency LADD (mg/kg-day)],Dermal_Exp[Worker Type],$D22,Dermal_Exp[OES],$C22))</f>
        <v>0</v>
      </c>
      <c r="N22" s="314">
        <f t="shared" si="5"/>
        <v>1.5E-3</v>
      </c>
      <c r="O22" s="314">
        <f t="shared" si="2"/>
        <v>1.1000000000000001E-3</v>
      </c>
      <c r="P22" s="314">
        <f t="shared" si="3"/>
        <v>1.0273972602739725E-3</v>
      </c>
      <c r="Q22" s="314">
        <f t="shared" si="4"/>
        <v>4.0832455216016861E-4</v>
      </c>
    </row>
    <row r="23" spans="3:17" ht="12.75" customHeight="1">
      <c r="C23" s="313" t="str" cm="1">
        <f t="array" ref="C23">INDEX('List Values'!$B$2:$B$18,(1+ROUNDDOWN((ROW()-ROW($C$5))*1/6,2)))</f>
        <v>Plastic Compounding</v>
      </c>
      <c r="D23" s="313" t="s">
        <v>74</v>
      </c>
      <c r="E23" s="308" t="s">
        <v>92</v>
      </c>
      <c r="F23" s="210">
        <f>IF(E23="High-End",SUMIFS(Inhalation_Exp[24hr_High-End],Inhalation_Exp[OES],$C23,Inhalation_Exp[Worker Type],$D23),SUMIFS(Inhalation_Exp[24hr_Central Tendency],Inhalation_Exp[OES],$C23,Inhalation_Exp[Worker Type],$D23))</f>
        <v>1.0625000000000001E-2</v>
      </c>
      <c r="G23" s="210">
        <f>IF(E23="High-End",SUMIFS(Inhalation_Exp[Int_High-End],Inhalation_Exp[OES],$C23,Inhalation_Exp[Worker Type],$D23),SUMIFS(Inhalation_Exp[Int_Central Tendency],Inhalation_Exp[OES],$C23,Inhalation_Exp[Worker Type],$D23))</f>
        <v>7.7916666666666672E-3</v>
      </c>
      <c r="H23" s="210">
        <f>IF(E23="High-End",SUMIFS(Inhalation_Exp[ADD_High-End],Inhalation_Exp[OES],$C23,Inhalation_Exp[Worker Type],$D23),SUMIFS(Inhalation_Exp[ADD_Central Tendency],Inhalation_Exp[OES],$C23,Inhalation_Exp[Worker Type],$D23))</f>
        <v>7.2773972602739722E-3</v>
      </c>
      <c r="I23" s="210">
        <f>IF(E23="High-End",SUMIFS(Inhalation_Exp[LADD_High-End],Inhalation_Exp[OES],$C23,Inhalation_Exp[Worker Type],$D23),SUMIFS(Inhalation_Exp[LADD_Central Tendency],Inhalation_Exp[OES],$C23,Inhalation_Exp[Worker Type],$D23))</f>
        <v>3.7319985950122936E-3</v>
      </c>
      <c r="J23" s="282">
        <f>IF($E23="High-End",SUMIFS(Dermal_Exp[High-End AD (mg/kg-day)],Dermal_Exp[Worker Type],$D23,Dermal_Exp[OES],$C23),SUMIFS(Dermal_Exp[Central Tendency AD (mg/kg-day)],Dermal_Exp[Worker Type],$D23,Dermal_Exp[OES],$C23))</f>
        <v>5.1359999999999999E-3</v>
      </c>
      <c r="K23" s="282">
        <f>IF($E23="High-End",SUMIFS(Dermal_Exp[High-End IADD (mg/kg-day)],Dermal_Exp[Worker Type],$D23,Dermal_Exp[OES],$C23),SUMIFS(Dermal_Exp[Central Tendency IADD (mg/kg-day)],Dermal_Exp[Worker Type],$D23,Dermal_Exp[OES],$C23))</f>
        <v>3.7664E-3</v>
      </c>
      <c r="L23" s="282">
        <f>IF($E23="High-End",SUMIFS(Dermal_Exp[High-End ADD (mg/kg-day)],Dermal_Exp[Worker Type],$D23,Dermal_Exp[OES],$C23),SUMIFS(Dermal_Exp[Central Tendency ADD (mg/kg-day)],Dermal_Exp[Worker Type],$D23,Dermal_Exp[OES],$C23))</f>
        <v>3.5178082191780822E-3</v>
      </c>
      <c r="M23" s="282">
        <f>IF($E23="High-End",SUMIFS(Dermal_Exp[High-End LADD (mg/kg-day)],Dermal_Exp[Worker Type],$D23,Dermal_Exp[OES],$C23),SUMIFS(Dermal_Exp[Central Tendency LADD (mg/kg-day)],Dermal_Exp[Worker Type],$D23,Dermal_Exp[OES],$C23))</f>
        <v>1.804004214963119E-3</v>
      </c>
      <c r="N23" s="314">
        <f t="shared" si="5"/>
        <v>1.5761000000000001E-2</v>
      </c>
      <c r="O23" s="314">
        <f t="shared" si="2"/>
        <v>1.1558066666666667E-2</v>
      </c>
      <c r="P23" s="314">
        <f t="shared" si="3"/>
        <v>1.0795205479452055E-2</v>
      </c>
      <c r="Q23" s="314">
        <f t="shared" si="4"/>
        <v>5.5360028099754131E-3</v>
      </c>
    </row>
    <row r="24" spans="3:17" ht="12.75" customHeight="1">
      <c r="C24" s="313" t="str" cm="1">
        <f t="array" ref="C24">INDEX('List Values'!$B$2:$B$18,(1+ROUNDDOWN((ROW()-ROW($C$5))*1/6,2)))</f>
        <v>Plastic Compounding</v>
      </c>
      <c r="D24" s="313" t="s">
        <v>74</v>
      </c>
      <c r="E24" s="313" t="s">
        <v>93</v>
      </c>
      <c r="F24" s="210">
        <f>IF(E24="High-End",SUMIFS(Inhalation_Exp[24hr_High-End],Inhalation_Exp[OES],$C24,Inhalation_Exp[Worker Type],$D24),SUMIFS(Inhalation_Exp[24hr_Central Tendency],Inhalation_Exp[OES],$C24,Inhalation_Exp[Worker Type],$D24))</f>
        <v>1.0625000000000001E-2</v>
      </c>
      <c r="G24" s="210">
        <f>IF(E24="High-End",SUMIFS(Inhalation_Exp[Int_High-End],Inhalation_Exp[OES],$C24,Inhalation_Exp[Worker Type],$D24),SUMIFS(Inhalation_Exp[Int_Central Tendency],Inhalation_Exp[OES],$C24,Inhalation_Exp[Worker Type],$D24))</f>
        <v>7.7916666666666672E-3</v>
      </c>
      <c r="H24" s="210">
        <f>IF(E24="High-End",SUMIFS(Inhalation_Exp[ADD_High-End],Inhalation_Exp[OES],$C24,Inhalation_Exp[Worker Type],$D24),SUMIFS(Inhalation_Exp[ADD_Central Tendency],Inhalation_Exp[OES],$C24,Inhalation_Exp[Worker Type],$D24))</f>
        <v>7.2773972602739722E-3</v>
      </c>
      <c r="I24" s="210">
        <f>IF(E24="High-End",SUMIFS(Inhalation_Exp[LADD_High-End],Inhalation_Exp[OES],$C24,Inhalation_Exp[Worker Type],$D24),SUMIFS(Inhalation_Exp[LADD_Central Tendency],Inhalation_Exp[OES],$C24,Inhalation_Exp[Worker Type],$D24))</f>
        <v>2.8922989111345274E-3</v>
      </c>
      <c r="J24" s="282">
        <f>IF($E24="High-End",SUMIFS(Dermal_Exp[High-End AD (mg/kg-day)],Dermal_Exp[Worker Type],$D24,Dermal_Exp[OES],$C24),SUMIFS(Dermal_Exp[Central Tendency AD (mg/kg-day)],Dermal_Exp[Worker Type],$D24,Dermal_Exp[OES],$C24))</f>
        <v>2.568E-3</v>
      </c>
      <c r="K24" s="282">
        <f>IF($E24="High-End",SUMIFS(Dermal_Exp[High-End IADD (mg/kg-day)],Dermal_Exp[Worker Type],$D24,Dermal_Exp[OES],$C24),SUMIFS(Dermal_Exp[Central Tendency IADD (mg/kg-day)],Dermal_Exp[Worker Type],$D24,Dermal_Exp[OES],$C24))</f>
        <v>1.8832E-3</v>
      </c>
      <c r="L24" s="282">
        <f>IF($E24="High-End",SUMIFS(Dermal_Exp[High-End ADD (mg/kg-day)],Dermal_Exp[Worker Type],$D24,Dermal_Exp[OES],$C24),SUMIFS(Dermal_Exp[Central Tendency ADD (mg/kg-day)],Dermal_Exp[Worker Type],$D24,Dermal_Exp[OES],$C24))</f>
        <v>1.7589041095890411E-3</v>
      </c>
      <c r="M24" s="282">
        <f>IF($E24="High-End",SUMIFS(Dermal_Exp[High-End LADD (mg/kg-day)],Dermal_Exp[Worker Type],$D24,Dermal_Exp[OES],$C24),SUMIFS(Dermal_Exp[Central Tendency LADD (mg/kg-day)],Dermal_Exp[Worker Type],$D24,Dermal_Exp[OES],$C24))</f>
        <v>6.990516332982087E-4</v>
      </c>
      <c r="N24" s="314">
        <f t="shared" si="5"/>
        <v>1.3193E-2</v>
      </c>
      <c r="O24" s="314">
        <f t="shared" si="2"/>
        <v>9.674866666666667E-3</v>
      </c>
      <c r="P24" s="314">
        <f t="shared" si="3"/>
        <v>9.0363013698630135E-3</v>
      </c>
      <c r="Q24" s="314">
        <f t="shared" si="4"/>
        <v>3.591350544432736E-3</v>
      </c>
    </row>
    <row r="25" spans="3:17" ht="12.75" customHeight="1">
      <c r="C25" s="313" t="str" cm="1">
        <f t="array" ref="C25">INDEX('List Values'!$B$2:$B$18,(1+ROUNDDOWN((ROW()-ROW($C$5))*1/6,2)))</f>
        <v>Plastic Compounding</v>
      </c>
      <c r="D25" s="313" t="s">
        <v>206</v>
      </c>
      <c r="E25" s="313" t="s">
        <v>92</v>
      </c>
      <c r="F25" s="210">
        <f>IF(E25="High-End",SUMIFS(Inhalation_Exp[24hr_High-End],Inhalation_Exp[OES],$C25,Inhalation_Exp[Worker Type],$D25),SUMIFS(Inhalation_Exp[24hr_Central Tendency],Inhalation_Exp[OES],$C25,Inhalation_Exp[Worker Type],$D25))</f>
        <v>1.1736278909216431E-2</v>
      </c>
      <c r="G25" s="210">
        <f>IF(E25="High-End",SUMIFS(Inhalation_Exp[Int_High-End],Inhalation_Exp[OES],$C25,Inhalation_Exp[Worker Type],$D25),SUMIFS(Inhalation_Exp[Int_Central Tendency],Inhalation_Exp[OES],$C25,Inhalation_Exp[Worker Type],$D25))</f>
        <v>8.6066045334253823E-3</v>
      </c>
      <c r="H25" s="210">
        <f>IF(E25="High-End",SUMIFS(Inhalation_Exp[ADD_High-End],Inhalation_Exp[OES],$C25,Inhalation_Exp[Worker Type],$D25),SUMIFS(Inhalation_Exp[ADD_Central Tendency],Inhalation_Exp[OES],$C25,Inhalation_Exp[Worker Type],$D25))</f>
        <v>8.0385471980934462E-3</v>
      </c>
      <c r="I25" s="210">
        <f>IF(E25="High-End",SUMIFS(Inhalation_Exp[LADD_High-End],Inhalation_Exp[OES],$C25,Inhalation_Exp[Worker Type],$D25),SUMIFS(Inhalation_Exp[LADD_Central Tendency],Inhalation_Exp[OES],$C25,Inhalation_Exp[Worker Type],$D25))</f>
        <v>4.1223318964581776E-3</v>
      </c>
      <c r="J25" s="282">
        <f>IF($E25="High-End",SUMIFS(Dermal_Exp[High-End AD (mg/kg-day)],Dermal_Exp[Worker Type],$D25,Dermal_Exp[OES],$C25),SUMIFS(Dermal_Exp[Central Tendency AD (mg/kg-day)],Dermal_Exp[Worker Type],$D25,Dermal_Exp[OES],$C25))</f>
        <v>4.718812564722126E-3</v>
      </c>
      <c r="K25" s="282">
        <f>IF($E25="High-End",SUMIFS(Dermal_Exp[High-End IADD (mg/kg-day)],Dermal_Exp[Worker Type],$D25,Dermal_Exp[OES],$C25),SUMIFS(Dermal_Exp[Central Tendency IADD (mg/kg-day)],Dermal_Exp[Worker Type],$D25,Dermal_Exp[OES],$C25))</f>
        <v>3.4604625474628924E-3</v>
      </c>
      <c r="L25" s="282">
        <f>IF($E25="High-End",SUMIFS(Dermal_Exp[High-End ADD (mg/kg-day)],Dermal_Exp[Worker Type],$D25,Dermal_Exp[OES],$C25),SUMIFS(Dermal_Exp[Central Tendency ADD (mg/kg-day)],Dermal_Exp[Worker Type],$D25,Dermal_Exp[OES],$C25))</f>
        <v>3.2320634004946065E-3</v>
      </c>
      <c r="M25" s="282">
        <f>IF($E25="High-End",SUMIFS(Dermal_Exp[High-End LADD (mg/kg-day)],Dermal_Exp[Worker Type],$D25,Dermal_Exp[OES],$C25),SUMIFS(Dermal_Exp[Central Tendency LADD (mg/kg-day)],Dermal_Exp[Worker Type],$D25,Dermal_Exp[OES],$C25))</f>
        <v>1.6574684105100546E-3</v>
      </c>
      <c r="N25" s="314">
        <f t="shared" si="5"/>
        <v>1.6455091473938557E-2</v>
      </c>
      <c r="O25" s="314">
        <f t="shared" si="2"/>
        <v>1.2067067080888274E-2</v>
      </c>
      <c r="P25" s="314">
        <f t="shared" si="3"/>
        <v>1.1270610598588053E-2</v>
      </c>
      <c r="Q25" s="314">
        <f t="shared" si="4"/>
        <v>5.779800306968232E-3</v>
      </c>
    </row>
    <row r="26" spans="3:17" ht="12.75" customHeight="1">
      <c r="C26" s="313" t="str" cm="1">
        <f t="array" ref="C26">INDEX('List Values'!$B$2:$B$18,(1+ROUNDDOWN((ROW()-ROW($C$5))*1/6,2)))</f>
        <v>Plastic Compounding</v>
      </c>
      <c r="D26" s="313" t="s">
        <v>206</v>
      </c>
      <c r="E26" s="313" t="s">
        <v>93</v>
      </c>
      <c r="F26" s="210">
        <f>IF(E26="High-End",SUMIFS(Inhalation_Exp[24hr_High-End],Inhalation_Exp[OES],$C26,Inhalation_Exp[Worker Type],$D26),SUMIFS(Inhalation_Exp[24hr_Central Tendency],Inhalation_Exp[OES],$C26,Inhalation_Exp[Worker Type],$D26))</f>
        <v>1.1736278909216431E-2</v>
      </c>
      <c r="G26" s="210">
        <f>IF(E26="High-End",SUMIFS(Inhalation_Exp[Int_High-End],Inhalation_Exp[OES],$C26,Inhalation_Exp[Worker Type],$D26),SUMIFS(Inhalation_Exp[Int_Central Tendency],Inhalation_Exp[OES],$C26,Inhalation_Exp[Worker Type],$D26))</f>
        <v>8.6066045334253823E-3</v>
      </c>
      <c r="H26" s="210">
        <f>IF(E26="High-End",SUMIFS(Inhalation_Exp[ADD_High-End],Inhalation_Exp[OES],$C26,Inhalation_Exp[Worker Type],$D26),SUMIFS(Inhalation_Exp[ADD_Central Tendency],Inhalation_Exp[OES],$C26,Inhalation_Exp[Worker Type],$D26))</f>
        <v>8.0385471980934462E-3</v>
      </c>
      <c r="I26" s="210">
        <f>IF(E26="High-End",SUMIFS(Inhalation_Exp[LADD_High-End],Inhalation_Exp[OES],$C26,Inhalation_Exp[Worker Type],$D26),SUMIFS(Inhalation_Exp[LADD_Central Tendency],Inhalation_Exp[OES],$C26,Inhalation_Exp[Worker Type],$D26))</f>
        <v>3.1948072197550874E-3</v>
      </c>
      <c r="J26" s="282">
        <f>IF($E26="High-End",SUMIFS(Dermal_Exp[High-End AD (mg/kg-day)],Dermal_Exp[Worker Type],$D26,Dermal_Exp[OES],$C26),SUMIFS(Dermal_Exp[Central Tendency AD (mg/kg-day)],Dermal_Exp[Worker Type],$D26,Dermal_Exp[OES],$C26))</f>
        <v>2.359406282361063E-3</v>
      </c>
      <c r="K26" s="282">
        <f>IF($E26="High-End",SUMIFS(Dermal_Exp[High-End IADD (mg/kg-day)],Dermal_Exp[Worker Type],$D26,Dermal_Exp[OES],$C26),SUMIFS(Dermal_Exp[Central Tendency IADD (mg/kg-day)],Dermal_Exp[Worker Type],$D26,Dermal_Exp[OES],$C26))</f>
        <v>1.7302312737314462E-3</v>
      </c>
      <c r="L26" s="282">
        <f>IF($E26="High-End",SUMIFS(Dermal_Exp[High-End ADD (mg/kg-day)],Dermal_Exp[Worker Type],$D26,Dermal_Exp[OES],$C26),SUMIFS(Dermal_Exp[Central Tendency ADD (mg/kg-day)],Dermal_Exp[Worker Type],$D26,Dermal_Exp[OES],$C26))</f>
        <v>1.6160317002473033E-3</v>
      </c>
      <c r="M26" s="282">
        <f>IF($E26="High-End",SUMIFS(Dermal_Exp[High-End LADD (mg/kg-day)],Dermal_Exp[Worker Type],$D26,Dermal_Exp[OES],$C26),SUMIFS(Dermal_Exp[Central Tendency LADD (mg/kg-day)],Dermal_Exp[Worker Type],$D26,Dermal_Exp[OES],$C26))</f>
        <v>6.4226900907264617E-4</v>
      </c>
      <c r="N26" s="314">
        <f t="shared" si="5"/>
        <v>1.4095685191577494E-2</v>
      </c>
      <c r="O26" s="314">
        <f t="shared" si="2"/>
        <v>1.0336835807156828E-2</v>
      </c>
      <c r="P26" s="314">
        <f t="shared" si="3"/>
        <v>9.6545788983407495E-3</v>
      </c>
      <c r="Q26" s="314">
        <f t="shared" si="4"/>
        <v>3.8370762288277337E-3</v>
      </c>
    </row>
    <row r="27" spans="3:17" ht="12.75" customHeight="1">
      <c r="C27" s="313" t="str" cm="1">
        <f t="array" ref="C27">INDEX('List Values'!$B$2:$B$18,(1+ROUNDDOWN((ROW()-ROW($C$5))*1/6,2)))</f>
        <v>Plastic Compounding</v>
      </c>
      <c r="D27" s="313" t="s">
        <v>94</v>
      </c>
      <c r="E27" s="313" t="s">
        <v>92</v>
      </c>
      <c r="F27" s="210">
        <f>IF(E27="High-End",SUMIFS(Inhalation_Exp[24hr_High-End],Inhalation_Exp[OES],$C27,Inhalation_Exp[Worker Type],$D27),SUMIFS(Inhalation_Exp[24hr_Central Tendency],Inhalation_Exp[OES],$C27,Inhalation_Exp[Worker Type],$D27))</f>
        <v>1.0625000000000001E-2</v>
      </c>
      <c r="G27" s="210">
        <f>IF(E27="High-End",SUMIFS(Inhalation_Exp[Int_High-End],Inhalation_Exp[OES],$C27,Inhalation_Exp[Worker Type],$D27),SUMIFS(Inhalation_Exp[Int_Central Tendency],Inhalation_Exp[OES],$C27,Inhalation_Exp[Worker Type],$D27))</f>
        <v>7.7916666666666672E-3</v>
      </c>
      <c r="H27" s="210">
        <f>IF(E27="High-End",SUMIFS(Inhalation_Exp[ADD_High-End],Inhalation_Exp[OES],$C27,Inhalation_Exp[Worker Type],$D27),SUMIFS(Inhalation_Exp[ADD_Central Tendency],Inhalation_Exp[OES],$C27,Inhalation_Exp[Worker Type],$D27))</f>
        <v>7.2773972602739722E-3</v>
      </c>
      <c r="I27" s="210">
        <f>IF(E27="High-End",SUMIFS(Inhalation_Exp[LADD_High-End],Inhalation_Exp[OES],$C27,Inhalation_Exp[Worker Type],$D27),SUMIFS(Inhalation_Exp[LADD_Central Tendency],Inhalation_Exp[OES],$C27,Inhalation_Exp[Worker Type],$D27))</f>
        <v>3.7319985950122936E-3</v>
      </c>
      <c r="J27" s="282">
        <f>IF($E27="High-End",SUMIFS(Dermal_Exp[High-End AD (mg/kg-day)],Dermal_Exp[Worker Type],$D27,Dermal_Exp[OES],$C27),SUMIFS(Dermal_Exp[Central Tendency AD (mg/kg-day)],Dermal_Exp[Worker Type],$D27,Dermal_Exp[OES],$C27))</f>
        <v>2.568E-3</v>
      </c>
      <c r="K27" s="282">
        <f>IF($E27="High-End",SUMIFS(Dermal_Exp[High-End IADD (mg/kg-day)],Dermal_Exp[Worker Type],$D27,Dermal_Exp[OES],$C27),SUMIFS(Dermal_Exp[Central Tendency IADD (mg/kg-day)],Dermal_Exp[Worker Type],$D27,Dermal_Exp[OES],$C27))</f>
        <v>1.8832E-3</v>
      </c>
      <c r="L27" s="282">
        <f>IF($E27="High-End",SUMIFS(Dermal_Exp[High-End ADD (mg/kg-day)],Dermal_Exp[Worker Type],$D27,Dermal_Exp[OES],$C27),SUMIFS(Dermal_Exp[Central Tendency ADD (mg/kg-day)],Dermal_Exp[Worker Type],$D27,Dermal_Exp[OES],$C27))</f>
        <v>1.7589041095890411E-3</v>
      </c>
      <c r="M27" s="282">
        <f>IF($E27="High-End",SUMIFS(Dermal_Exp[High-End LADD (mg/kg-day)],Dermal_Exp[Worker Type],$D27,Dermal_Exp[OES],$C27),SUMIFS(Dermal_Exp[Central Tendency LADD (mg/kg-day)],Dermal_Exp[Worker Type],$D27,Dermal_Exp[OES],$C27))</f>
        <v>9.0200210748155952E-4</v>
      </c>
      <c r="N27" s="314">
        <f t="shared" si="5"/>
        <v>1.3193E-2</v>
      </c>
      <c r="O27" s="314">
        <f t="shared" si="2"/>
        <v>9.674866666666667E-3</v>
      </c>
      <c r="P27" s="314">
        <f t="shared" si="3"/>
        <v>9.0363013698630135E-3</v>
      </c>
      <c r="Q27" s="314">
        <f t="shared" si="4"/>
        <v>4.6340007024938531E-3</v>
      </c>
    </row>
    <row r="28" spans="3:17" ht="12.75" customHeight="1">
      <c r="C28" s="313" t="str" cm="1">
        <f t="array" ref="C28">INDEX('List Values'!$B$2:$B$18,(1+ROUNDDOWN((ROW()-ROW($C$5))*1/6,2)))</f>
        <v>Plastic Compounding</v>
      </c>
      <c r="D28" s="313" t="s">
        <v>94</v>
      </c>
      <c r="E28" s="313" t="s">
        <v>93</v>
      </c>
      <c r="F28" s="210">
        <f>IF(E28="High-End",SUMIFS(Inhalation_Exp[24hr_High-End],Inhalation_Exp[OES],$C28,Inhalation_Exp[Worker Type],$D28),SUMIFS(Inhalation_Exp[24hr_Central Tendency],Inhalation_Exp[OES],$C28,Inhalation_Exp[Worker Type],$D28))</f>
        <v>1.0625000000000001E-2</v>
      </c>
      <c r="G28" s="210">
        <f>IF(E28="High-End",SUMIFS(Inhalation_Exp[Int_High-End],Inhalation_Exp[OES],$C28,Inhalation_Exp[Worker Type],$D28),SUMIFS(Inhalation_Exp[Int_Central Tendency],Inhalation_Exp[OES],$C28,Inhalation_Exp[Worker Type],$D28))</f>
        <v>7.7916666666666672E-3</v>
      </c>
      <c r="H28" s="210">
        <f>IF(E28="High-End",SUMIFS(Inhalation_Exp[ADD_High-End],Inhalation_Exp[OES],$C28,Inhalation_Exp[Worker Type],$D28),SUMIFS(Inhalation_Exp[ADD_Central Tendency],Inhalation_Exp[OES],$C28,Inhalation_Exp[Worker Type],$D28))</f>
        <v>7.2773972602739722E-3</v>
      </c>
      <c r="I28" s="210">
        <f>IF(E28="High-End",SUMIFS(Inhalation_Exp[LADD_High-End],Inhalation_Exp[OES],$C28,Inhalation_Exp[Worker Type],$D28),SUMIFS(Inhalation_Exp[LADD_Central Tendency],Inhalation_Exp[OES],$C28,Inhalation_Exp[Worker Type],$D28))</f>
        <v>2.8922989111345274E-3</v>
      </c>
      <c r="J28" s="282">
        <f>IF($E28="High-End",SUMIFS(Dermal_Exp[High-End AD (mg/kg-day)],Dermal_Exp[Worker Type],$D28,Dermal_Exp[OES],$C28),SUMIFS(Dermal_Exp[Central Tendency AD (mg/kg-day)],Dermal_Exp[Worker Type],$D28,Dermal_Exp[OES],$C28))</f>
        <v>2.568E-3</v>
      </c>
      <c r="K28" s="282">
        <f>IF($E28="High-End",SUMIFS(Dermal_Exp[High-End IADD (mg/kg-day)],Dermal_Exp[Worker Type],$D28,Dermal_Exp[OES],$C28),SUMIFS(Dermal_Exp[Central Tendency IADD (mg/kg-day)],Dermal_Exp[Worker Type],$D28,Dermal_Exp[OES],$C28))</f>
        <v>1.8832E-3</v>
      </c>
      <c r="L28" s="282">
        <f>IF($E28="High-End",SUMIFS(Dermal_Exp[High-End ADD (mg/kg-day)],Dermal_Exp[Worker Type],$D28,Dermal_Exp[OES],$C28),SUMIFS(Dermal_Exp[Central Tendency ADD (mg/kg-day)],Dermal_Exp[Worker Type],$D28,Dermal_Exp[OES],$C28))</f>
        <v>1.7589041095890411E-3</v>
      </c>
      <c r="M28" s="282">
        <f>IF($E28="High-End",SUMIFS(Dermal_Exp[High-End LADD (mg/kg-day)],Dermal_Exp[Worker Type],$D28,Dermal_Exp[OES],$C28),SUMIFS(Dermal_Exp[Central Tendency LADD (mg/kg-day)],Dermal_Exp[Worker Type],$D28,Dermal_Exp[OES],$C28))</f>
        <v>6.990516332982087E-4</v>
      </c>
      <c r="N28" s="314">
        <f t="shared" si="5"/>
        <v>1.3193E-2</v>
      </c>
      <c r="O28" s="314">
        <f t="shared" si="2"/>
        <v>9.674866666666667E-3</v>
      </c>
      <c r="P28" s="314">
        <f t="shared" si="3"/>
        <v>9.0363013698630135E-3</v>
      </c>
      <c r="Q28" s="314">
        <f t="shared" si="4"/>
        <v>3.591350544432736E-3</v>
      </c>
    </row>
    <row r="29" spans="3:17" ht="12.75" customHeight="1">
      <c r="C29" s="313" t="str" cm="1">
        <f t="array" ref="C29">INDEX('List Values'!$B$2:$B$18,(1+ROUNDDOWN((ROW()-ROW($C$5))*1/6,2)))</f>
        <v>Plastic Converting</v>
      </c>
      <c r="D29" s="313" t="s">
        <v>74</v>
      </c>
      <c r="E29" s="308" t="s">
        <v>92</v>
      </c>
      <c r="F29" s="210">
        <f>IF(E29="High-End",SUMIFS(Inhalation_Exp[24hr_High-End],Inhalation_Exp[OES],$C29,Inhalation_Exp[Worker Type],$D29),SUMIFS(Inhalation_Exp[24hr_Central Tendency],Inhalation_Exp[OES],$C29,Inhalation_Exp[Worker Type],$D29))</f>
        <v>6.3750000000000005E-3</v>
      </c>
      <c r="G29" s="210">
        <f>IF(E29="High-End",SUMIFS(Inhalation_Exp[Int_High-End],Inhalation_Exp[OES],$C29,Inhalation_Exp[Worker Type],$D29),SUMIFS(Inhalation_Exp[Int_Central Tendency],Inhalation_Exp[OES],$C29,Inhalation_Exp[Worker Type],$D29))</f>
        <v>4.6750000000000003E-3</v>
      </c>
      <c r="H29" s="210">
        <f>IF(E29="High-End",SUMIFS(Inhalation_Exp[ADD_High-End],Inhalation_Exp[OES],$C29,Inhalation_Exp[Worker Type],$D29),SUMIFS(Inhalation_Exp[ADD_Central Tendency],Inhalation_Exp[OES],$C29,Inhalation_Exp[Worker Type],$D29))</f>
        <v>4.3664383561643838E-3</v>
      </c>
      <c r="I29" s="210">
        <f>IF(E29="High-End",SUMIFS(Inhalation_Exp[LADD_High-End],Inhalation_Exp[OES],$C29,Inhalation_Exp[Worker Type],$D29),SUMIFS(Inhalation_Exp[LADD_Central Tendency],Inhalation_Exp[OES],$C29,Inhalation_Exp[Worker Type],$D29))</f>
        <v>2.2391991570073766E-3</v>
      </c>
      <c r="J29" s="282">
        <f>IF($E29="High-End",SUMIFS(Dermal_Exp[High-End AD (mg/kg-day)],Dermal_Exp[Worker Type],$D29,Dermal_Exp[OES],$C29),SUMIFS(Dermal_Exp[Central Tendency AD (mg/kg-day)],Dermal_Exp[Worker Type],$D29,Dermal_Exp[OES],$C29))</f>
        <v>5.1359999999999999E-3</v>
      </c>
      <c r="K29" s="282">
        <f>IF($E29="High-End",SUMIFS(Dermal_Exp[High-End IADD (mg/kg-day)],Dermal_Exp[Worker Type],$D29,Dermal_Exp[OES],$C29),SUMIFS(Dermal_Exp[Central Tendency IADD (mg/kg-day)],Dermal_Exp[Worker Type],$D29,Dermal_Exp[OES],$C29))</f>
        <v>3.7664E-3</v>
      </c>
      <c r="L29" s="282">
        <f>IF($E29="High-End",SUMIFS(Dermal_Exp[High-End ADD (mg/kg-day)],Dermal_Exp[Worker Type],$D29,Dermal_Exp[OES],$C29),SUMIFS(Dermal_Exp[Central Tendency ADD (mg/kg-day)],Dermal_Exp[Worker Type],$D29,Dermal_Exp[OES],$C29))</f>
        <v>3.5178082191780822E-3</v>
      </c>
      <c r="M29" s="282">
        <f>IF($E29="High-End",SUMIFS(Dermal_Exp[High-End LADD (mg/kg-day)],Dermal_Exp[Worker Type],$D29,Dermal_Exp[OES],$C29),SUMIFS(Dermal_Exp[Central Tendency LADD (mg/kg-day)],Dermal_Exp[Worker Type],$D29,Dermal_Exp[OES],$C29))</f>
        <v>1.804004214963119E-3</v>
      </c>
      <c r="N29" s="314">
        <f t="shared" si="5"/>
        <v>1.1511E-2</v>
      </c>
      <c r="O29" s="314">
        <f t="shared" si="2"/>
        <v>8.4413999999999999E-3</v>
      </c>
      <c r="P29" s="314">
        <f t="shared" si="3"/>
        <v>7.8842465753424656E-3</v>
      </c>
      <c r="Q29" s="314">
        <f t="shared" si="4"/>
        <v>4.0432033719704956E-3</v>
      </c>
    </row>
    <row r="30" spans="3:17" ht="12.75" customHeight="1">
      <c r="C30" s="313" t="str" cm="1">
        <f t="array" ref="C30">INDEX('List Values'!$B$2:$B$18,(1+ROUNDDOWN((ROW()-ROW($C$5))*1/6,2)))</f>
        <v>Plastic Converting</v>
      </c>
      <c r="D30" s="313" t="s">
        <v>74</v>
      </c>
      <c r="E30" s="313" t="s">
        <v>93</v>
      </c>
      <c r="F30" s="210">
        <f>IF(E30="High-End",SUMIFS(Inhalation_Exp[24hr_High-End],Inhalation_Exp[OES],$C30,Inhalation_Exp[Worker Type],$D30),SUMIFS(Inhalation_Exp[24hr_Central Tendency],Inhalation_Exp[OES],$C30,Inhalation_Exp[Worker Type],$D30))</f>
        <v>6.3750000000000005E-3</v>
      </c>
      <c r="G30" s="210">
        <f>IF(E30="High-End",SUMIFS(Inhalation_Exp[Int_High-End],Inhalation_Exp[OES],$C30,Inhalation_Exp[Worker Type],$D30),SUMIFS(Inhalation_Exp[Int_Central Tendency],Inhalation_Exp[OES],$C30,Inhalation_Exp[Worker Type],$D30))</f>
        <v>4.6750000000000003E-3</v>
      </c>
      <c r="H30" s="210">
        <f>IF(E30="High-End",SUMIFS(Inhalation_Exp[ADD_High-End],Inhalation_Exp[OES],$C30,Inhalation_Exp[Worker Type],$D30),SUMIFS(Inhalation_Exp[ADD_Central Tendency],Inhalation_Exp[OES],$C30,Inhalation_Exp[Worker Type],$D30))</f>
        <v>4.3664383561643838E-3</v>
      </c>
      <c r="I30" s="210">
        <f>IF(E30="High-End",SUMIFS(Inhalation_Exp[LADD_High-End],Inhalation_Exp[OES],$C30,Inhalation_Exp[Worker Type],$D30),SUMIFS(Inhalation_Exp[LADD_Central Tendency],Inhalation_Exp[OES],$C30,Inhalation_Exp[Worker Type],$D30))</f>
        <v>1.7353793466807167E-3</v>
      </c>
      <c r="J30" s="282">
        <f>IF($E30="High-End",SUMIFS(Dermal_Exp[High-End AD (mg/kg-day)],Dermal_Exp[Worker Type],$D30,Dermal_Exp[OES],$C30),SUMIFS(Dermal_Exp[Central Tendency AD (mg/kg-day)],Dermal_Exp[Worker Type],$D30,Dermal_Exp[OES],$C30))</f>
        <v>2.568E-3</v>
      </c>
      <c r="K30" s="282">
        <f>IF($E30="High-End",SUMIFS(Dermal_Exp[High-End IADD (mg/kg-day)],Dermal_Exp[Worker Type],$D30,Dermal_Exp[OES],$C30),SUMIFS(Dermal_Exp[Central Tendency IADD (mg/kg-day)],Dermal_Exp[Worker Type],$D30,Dermal_Exp[OES],$C30))</f>
        <v>1.8832E-3</v>
      </c>
      <c r="L30" s="282">
        <f>IF($E30="High-End",SUMIFS(Dermal_Exp[High-End ADD (mg/kg-day)],Dermal_Exp[Worker Type],$D30,Dermal_Exp[OES],$C30),SUMIFS(Dermal_Exp[Central Tendency ADD (mg/kg-day)],Dermal_Exp[Worker Type],$D30,Dermal_Exp[OES],$C30))</f>
        <v>1.7589041095890411E-3</v>
      </c>
      <c r="M30" s="282">
        <f>IF($E30="High-End",SUMIFS(Dermal_Exp[High-End LADD (mg/kg-day)],Dermal_Exp[Worker Type],$D30,Dermal_Exp[OES],$C30),SUMIFS(Dermal_Exp[Central Tendency LADD (mg/kg-day)],Dermal_Exp[Worker Type],$D30,Dermal_Exp[OES],$C30))</f>
        <v>6.990516332982087E-4</v>
      </c>
      <c r="N30" s="314">
        <f t="shared" si="5"/>
        <v>8.9429999999999996E-3</v>
      </c>
      <c r="O30" s="314">
        <f t="shared" si="2"/>
        <v>6.5582000000000001E-3</v>
      </c>
      <c r="P30" s="314">
        <f t="shared" si="3"/>
        <v>6.1253424657534252E-3</v>
      </c>
      <c r="Q30" s="314">
        <f t="shared" si="4"/>
        <v>2.4344309799789253E-3</v>
      </c>
    </row>
    <row r="31" spans="3:17" ht="12.75" customHeight="1">
      <c r="C31" s="313" t="str" cm="1">
        <f t="array" ref="C31">INDEX('List Values'!$B$2:$B$18,(1+ROUNDDOWN((ROW()-ROW($C$5))*1/6,2)))</f>
        <v>Plastic Converting</v>
      </c>
      <c r="D31" s="313" t="s">
        <v>206</v>
      </c>
      <c r="E31" s="313" t="s">
        <v>92</v>
      </c>
      <c r="F31" s="210">
        <f>IF(E31="High-End",SUMIFS(Inhalation_Exp[24hr_High-End],Inhalation_Exp[OES],$C31,Inhalation_Exp[Worker Type],$D31),SUMIFS(Inhalation_Exp[24hr_Central Tendency],Inhalation_Exp[OES],$C31,Inhalation_Exp[Worker Type],$D31))</f>
        <v>7.0417673455298573E-3</v>
      </c>
      <c r="G31" s="210">
        <f>IF(E31="High-End",SUMIFS(Inhalation_Exp[Int_High-End],Inhalation_Exp[OES],$C31,Inhalation_Exp[Worker Type],$D31),SUMIFS(Inhalation_Exp[Int_Central Tendency],Inhalation_Exp[OES],$C31,Inhalation_Exp[Worker Type],$D31))</f>
        <v>5.1639627200552292E-3</v>
      </c>
      <c r="H31" s="210">
        <f>IF(E31="High-End",SUMIFS(Inhalation_Exp[ADD_High-End],Inhalation_Exp[OES],$C31,Inhalation_Exp[Worker Type],$D31),SUMIFS(Inhalation_Exp[ADD_Central Tendency],Inhalation_Exp[OES],$C31,Inhalation_Exp[Worker Type],$D31))</f>
        <v>4.823128318856066E-3</v>
      </c>
      <c r="I31" s="210">
        <f>IF(E31="High-End",SUMIFS(Inhalation_Exp[LADD_High-End],Inhalation_Exp[OES],$C31,Inhalation_Exp[Worker Type],$D31),SUMIFS(Inhalation_Exp[LADD_Central Tendency],Inhalation_Exp[OES],$C31,Inhalation_Exp[Worker Type],$D31))</f>
        <v>2.4733991378749058E-3</v>
      </c>
      <c r="J31" s="282">
        <f>IF($E31="High-End",SUMIFS(Dermal_Exp[High-End AD (mg/kg-day)],Dermal_Exp[Worker Type],$D31,Dermal_Exp[OES],$C31),SUMIFS(Dermal_Exp[Central Tendency AD (mg/kg-day)],Dermal_Exp[Worker Type],$D31,Dermal_Exp[OES],$C31))</f>
        <v>4.718812564722126E-3</v>
      </c>
      <c r="K31" s="282">
        <f>IF($E31="High-End",SUMIFS(Dermal_Exp[High-End IADD (mg/kg-day)],Dermal_Exp[Worker Type],$D31,Dermal_Exp[OES],$C31),SUMIFS(Dermal_Exp[Central Tendency IADD (mg/kg-day)],Dermal_Exp[Worker Type],$D31,Dermal_Exp[OES],$C31))</f>
        <v>3.4604625474628924E-3</v>
      </c>
      <c r="L31" s="282">
        <f>IF($E31="High-End",SUMIFS(Dermal_Exp[High-End ADD (mg/kg-day)],Dermal_Exp[Worker Type],$D31,Dermal_Exp[OES],$C31),SUMIFS(Dermal_Exp[Central Tendency ADD (mg/kg-day)],Dermal_Exp[Worker Type],$D31,Dermal_Exp[OES],$C31))</f>
        <v>3.2320634004946065E-3</v>
      </c>
      <c r="M31" s="282">
        <f>IF($E31="High-End",SUMIFS(Dermal_Exp[High-End LADD (mg/kg-day)],Dermal_Exp[Worker Type],$D31,Dermal_Exp[OES],$C31),SUMIFS(Dermal_Exp[Central Tendency LADD (mg/kg-day)],Dermal_Exp[Worker Type],$D31,Dermal_Exp[OES],$C31))</f>
        <v>1.6574684105100546E-3</v>
      </c>
      <c r="N31" s="314">
        <f t="shared" si="5"/>
        <v>1.1760579910251983E-2</v>
      </c>
      <c r="O31" s="314">
        <f t="shared" si="2"/>
        <v>8.624425267518122E-3</v>
      </c>
      <c r="P31" s="314">
        <f t="shared" si="3"/>
        <v>8.0551917193506725E-3</v>
      </c>
      <c r="Q31" s="314">
        <f t="shared" si="4"/>
        <v>4.1308675483849606E-3</v>
      </c>
    </row>
    <row r="32" spans="3:17" ht="12.75" customHeight="1">
      <c r="C32" s="313" t="str" cm="1">
        <f t="array" ref="C32">INDEX('List Values'!$B$2:$B$18,(1+ROUNDDOWN((ROW()-ROW($C$5))*1/6,2)))</f>
        <v>Plastic Converting</v>
      </c>
      <c r="D32" s="313" t="s">
        <v>206</v>
      </c>
      <c r="E32" s="313" t="s">
        <v>93</v>
      </c>
      <c r="F32" s="210">
        <f>IF(E32="High-End",SUMIFS(Inhalation_Exp[24hr_High-End],Inhalation_Exp[OES],$C32,Inhalation_Exp[Worker Type],$D32),SUMIFS(Inhalation_Exp[24hr_Central Tendency],Inhalation_Exp[OES],$C32,Inhalation_Exp[Worker Type],$D32))</f>
        <v>7.0417673455298573E-3</v>
      </c>
      <c r="G32" s="210">
        <f>IF(E32="High-End",SUMIFS(Inhalation_Exp[Int_High-End],Inhalation_Exp[OES],$C32,Inhalation_Exp[Worker Type],$D32),SUMIFS(Inhalation_Exp[Int_Central Tendency],Inhalation_Exp[OES],$C32,Inhalation_Exp[Worker Type],$D32))</f>
        <v>5.1639627200552292E-3</v>
      </c>
      <c r="H32" s="210">
        <f>IF(E32="High-End",SUMIFS(Inhalation_Exp[ADD_High-End],Inhalation_Exp[OES],$C32,Inhalation_Exp[Worker Type],$D32),SUMIFS(Inhalation_Exp[ADD_Central Tendency],Inhalation_Exp[OES],$C32,Inhalation_Exp[Worker Type],$D32))</f>
        <v>4.8231283188560669E-3</v>
      </c>
      <c r="I32" s="210">
        <f>IF(E32="High-End",SUMIFS(Inhalation_Exp[LADD_High-End],Inhalation_Exp[OES],$C32,Inhalation_Exp[Worker Type],$D32),SUMIFS(Inhalation_Exp[LADD_Central Tendency],Inhalation_Exp[OES],$C32,Inhalation_Exp[Worker Type],$D32))</f>
        <v>1.9168843318530522E-3</v>
      </c>
      <c r="J32" s="282">
        <f>IF($E32="High-End",SUMIFS(Dermal_Exp[High-End AD (mg/kg-day)],Dermal_Exp[Worker Type],$D32,Dermal_Exp[OES],$C32),SUMIFS(Dermal_Exp[Central Tendency AD (mg/kg-day)],Dermal_Exp[Worker Type],$D32,Dermal_Exp[OES],$C32))</f>
        <v>2.359406282361063E-3</v>
      </c>
      <c r="K32" s="282">
        <f>IF($E32="High-End",SUMIFS(Dermal_Exp[High-End IADD (mg/kg-day)],Dermal_Exp[Worker Type],$D32,Dermal_Exp[OES],$C32),SUMIFS(Dermal_Exp[Central Tendency IADD (mg/kg-day)],Dermal_Exp[Worker Type],$D32,Dermal_Exp[OES],$C32))</f>
        <v>1.7302312737314462E-3</v>
      </c>
      <c r="L32" s="282">
        <f>IF($E32="High-End",SUMIFS(Dermal_Exp[High-End ADD (mg/kg-day)],Dermal_Exp[Worker Type],$D32,Dermal_Exp[OES],$C32),SUMIFS(Dermal_Exp[Central Tendency ADD (mg/kg-day)],Dermal_Exp[Worker Type],$D32,Dermal_Exp[OES],$C32))</f>
        <v>1.6160317002473033E-3</v>
      </c>
      <c r="M32" s="282">
        <f>IF($E32="High-End",SUMIFS(Dermal_Exp[High-End LADD (mg/kg-day)],Dermal_Exp[Worker Type],$D32,Dermal_Exp[OES],$C32),SUMIFS(Dermal_Exp[Central Tendency LADD (mg/kg-day)],Dermal_Exp[Worker Type],$D32,Dermal_Exp[OES],$C32))</f>
        <v>6.4226900907264617E-4</v>
      </c>
      <c r="N32" s="314">
        <f t="shared" si="5"/>
        <v>9.4011736278909203E-3</v>
      </c>
      <c r="O32" s="314">
        <f t="shared" si="2"/>
        <v>6.8941939937866752E-3</v>
      </c>
      <c r="P32" s="314">
        <f t="shared" si="3"/>
        <v>6.4391600191033701E-3</v>
      </c>
      <c r="Q32" s="314">
        <f t="shared" si="4"/>
        <v>2.5591533409256985E-3</v>
      </c>
    </row>
    <row r="33" spans="3:17" ht="12.75" customHeight="1">
      <c r="C33" s="313" t="str" cm="1">
        <f t="array" ref="C33">INDEX('List Values'!$B$2:$B$18,(1+ROUNDDOWN((ROW()-ROW($C$5))*1/6,2)))</f>
        <v>Plastic Converting</v>
      </c>
      <c r="D33" s="313" t="s">
        <v>94</v>
      </c>
      <c r="E33" s="313" t="s">
        <v>92</v>
      </c>
      <c r="F33" s="210">
        <f>IF(E33="High-End",SUMIFS(Inhalation_Exp[24hr_High-End],Inhalation_Exp[OES],$C33,Inhalation_Exp[Worker Type],$D33),SUMIFS(Inhalation_Exp[24hr_Central Tendency],Inhalation_Exp[OES],$C33,Inhalation_Exp[Worker Type],$D33))</f>
        <v>6.3750000000000005E-3</v>
      </c>
      <c r="G33" s="210">
        <f>IF(E33="High-End",SUMIFS(Inhalation_Exp[Int_High-End],Inhalation_Exp[OES],$C33,Inhalation_Exp[Worker Type],$D33),SUMIFS(Inhalation_Exp[Int_Central Tendency],Inhalation_Exp[OES],$C33,Inhalation_Exp[Worker Type],$D33))</f>
        <v>4.6750000000000003E-3</v>
      </c>
      <c r="H33" s="210">
        <f>IF(E33="High-End",SUMIFS(Inhalation_Exp[ADD_High-End],Inhalation_Exp[OES],$C33,Inhalation_Exp[Worker Type],$D33),SUMIFS(Inhalation_Exp[ADD_Central Tendency],Inhalation_Exp[OES],$C33,Inhalation_Exp[Worker Type],$D33))</f>
        <v>4.3664383561643838E-3</v>
      </c>
      <c r="I33" s="210">
        <f>IF(E33="High-End",SUMIFS(Inhalation_Exp[LADD_High-End],Inhalation_Exp[OES],$C33,Inhalation_Exp[Worker Type],$D33),SUMIFS(Inhalation_Exp[LADD_Central Tendency],Inhalation_Exp[OES],$C33,Inhalation_Exp[Worker Type],$D33))</f>
        <v>2.2391991570073766E-3</v>
      </c>
      <c r="J33" s="282">
        <f>IF($E33="High-End",SUMIFS(Dermal_Exp[High-End AD (mg/kg-day)],Dermal_Exp[Worker Type],$D33,Dermal_Exp[OES],$C33),SUMIFS(Dermal_Exp[Central Tendency AD (mg/kg-day)],Dermal_Exp[Worker Type],$D33,Dermal_Exp[OES],$C33))</f>
        <v>2.568E-3</v>
      </c>
      <c r="K33" s="282">
        <f>IF($E33="High-End",SUMIFS(Dermal_Exp[High-End IADD (mg/kg-day)],Dermal_Exp[Worker Type],$D33,Dermal_Exp[OES],$C33),SUMIFS(Dermal_Exp[Central Tendency IADD (mg/kg-day)],Dermal_Exp[Worker Type],$D33,Dermal_Exp[OES],$C33))</f>
        <v>1.8832E-3</v>
      </c>
      <c r="L33" s="282">
        <f>IF($E33="High-End",SUMIFS(Dermal_Exp[High-End ADD (mg/kg-day)],Dermal_Exp[Worker Type],$D33,Dermal_Exp[OES],$C33),SUMIFS(Dermal_Exp[Central Tendency ADD (mg/kg-day)],Dermal_Exp[Worker Type],$D33,Dermal_Exp[OES],$C33))</f>
        <v>1.7589041095890411E-3</v>
      </c>
      <c r="M33" s="282">
        <f>IF($E33="High-End",SUMIFS(Dermal_Exp[High-End LADD (mg/kg-day)],Dermal_Exp[Worker Type],$D33,Dermal_Exp[OES],$C33),SUMIFS(Dermal_Exp[Central Tendency LADD (mg/kg-day)],Dermal_Exp[Worker Type],$D33,Dermal_Exp[OES],$C33))</f>
        <v>9.0200210748155952E-4</v>
      </c>
      <c r="N33" s="314">
        <f t="shared" si="5"/>
        <v>8.9429999999999996E-3</v>
      </c>
      <c r="O33" s="314">
        <f t="shared" si="2"/>
        <v>6.5582000000000001E-3</v>
      </c>
      <c r="P33" s="314">
        <f t="shared" si="3"/>
        <v>6.1253424657534252E-3</v>
      </c>
      <c r="Q33" s="314">
        <f t="shared" si="4"/>
        <v>3.1412012644889361E-3</v>
      </c>
    </row>
    <row r="34" spans="3:17" ht="12.75" customHeight="1">
      <c r="C34" s="313" t="str" cm="1">
        <f t="array" ref="C34">INDEX('List Values'!$B$2:$B$18,(1+ROUNDDOWN((ROW()-ROW($C$5))*1/6,2)))</f>
        <v>Plastic Converting</v>
      </c>
      <c r="D34" s="313" t="s">
        <v>94</v>
      </c>
      <c r="E34" s="313" t="s">
        <v>93</v>
      </c>
      <c r="F34" s="210">
        <f>IF(E34="High-End",SUMIFS(Inhalation_Exp[24hr_High-End],Inhalation_Exp[OES],$C34,Inhalation_Exp[Worker Type],$D34),SUMIFS(Inhalation_Exp[24hr_Central Tendency],Inhalation_Exp[OES],$C34,Inhalation_Exp[Worker Type],$D34))</f>
        <v>6.3750000000000005E-3</v>
      </c>
      <c r="G34" s="210">
        <f>IF(E34="High-End",SUMIFS(Inhalation_Exp[Int_High-End],Inhalation_Exp[OES],$C34,Inhalation_Exp[Worker Type],$D34),SUMIFS(Inhalation_Exp[Int_Central Tendency],Inhalation_Exp[OES],$C34,Inhalation_Exp[Worker Type],$D34))</f>
        <v>4.6750000000000003E-3</v>
      </c>
      <c r="H34" s="210">
        <f>IF(E34="High-End",SUMIFS(Inhalation_Exp[ADD_High-End],Inhalation_Exp[OES],$C34,Inhalation_Exp[Worker Type],$D34),SUMIFS(Inhalation_Exp[ADD_Central Tendency],Inhalation_Exp[OES],$C34,Inhalation_Exp[Worker Type],$D34))</f>
        <v>4.3664383561643838E-3</v>
      </c>
      <c r="I34" s="210">
        <f>IF(E34="High-End",SUMIFS(Inhalation_Exp[LADD_High-End],Inhalation_Exp[OES],$C34,Inhalation_Exp[Worker Type],$D34),SUMIFS(Inhalation_Exp[LADD_Central Tendency],Inhalation_Exp[OES],$C34,Inhalation_Exp[Worker Type],$D34))</f>
        <v>1.7353793466807167E-3</v>
      </c>
      <c r="J34" s="282">
        <f>IF($E34="High-End",SUMIFS(Dermal_Exp[High-End AD (mg/kg-day)],Dermal_Exp[Worker Type],$D34,Dermal_Exp[OES],$C34),SUMIFS(Dermal_Exp[Central Tendency AD (mg/kg-day)],Dermal_Exp[Worker Type],$D34,Dermal_Exp[OES],$C34))</f>
        <v>2.568E-3</v>
      </c>
      <c r="K34" s="282">
        <f>IF($E34="High-End",SUMIFS(Dermal_Exp[High-End IADD (mg/kg-day)],Dermal_Exp[Worker Type],$D34,Dermal_Exp[OES],$C34),SUMIFS(Dermal_Exp[Central Tendency IADD (mg/kg-day)],Dermal_Exp[Worker Type],$D34,Dermal_Exp[OES],$C34))</f>
        <v>1.8832E-3</v>
      </c>
      <c r="L34" s="282">
        <f>IF($E34="High-End",SUMIFS(Dermal_Exp[High-End ADD (mg/kg-day)],Dermal_Exp[Worker Type],$D34,Dermal_Exp[OES],$C34),SUMIFS(Dermal_Exp[Central Tendency ADD (mg/kg-day)],Dermal_Exp[Worker Type],$D34,Dermal_Exp[OES],$C34))</f>
        <v>1.7589041095890411E-3</v>
      </c>
      <c r="M34" s="282">
        <f>IF($E34="High-End",SUMIFS(Dermal_Exp[High-End LADD (mg/kg-day)],Dermal_Exp[Worker Type],$D34,Dermal_Exp[OES],$C34),SUMIFS(Dermal_Exp[Central Tendency LADD (mg/kg-day)],Dermal_Exp[Worker Type],$D34,Dermal_Exp[OES],$C34))</f>
        <v>6.990516332982087E-4</v>
      </c>
      <c r="N34" s="314">
        <f t="shared" si="5"/>
        <v>8.9429999999999996E-3</v>
      </c>
      <c r="O34" s="314">
        <f t="shared" si="2"/>
        <v>6.5582000000000001E-3</v>
      </c>
      <c r="P34" s="314">
        <f t="shared" si="3"/>
        <v>6.1253424657534252E-3</v>
      </c>
      <c r="Q34" s="314">
        <f t="shared" si="4"/>
        <v>2.4344309799789253E-3</v>
      </c>
    </row>
    <row r="35" spans="3:17" ht="12.75" customHeight="1">
      <c r="C35" s="313" t="str" cm="1">
        <f t="array" ref="C35">INDEX('List Values'!$B$2:$B$18,(1+ROUNDDOWN((ROW()-ROW($C$5))*1/6,2)))</f>
        <v>Rubber Product Manufacturing</v>
      </c>
      <c r="D35" s="313" t="s">
        <v>74</v>
      </c>
      <c r="E35" s="308" t="s">
        <v>92</v>
      </c>
      <c r="F35" s="210">
        <f>IF(E35="High-End",SUMIFS(Inhalation_Exp[24hr_High-End],Inhalation_Exp[OES],$C35,Inhalation_Exp[Worker Type],$D35),SUMIFS(Inhalation_Exp[24hr_Central Tendency],Inhalation_Exp[OES],$C35,Inhalation_Exp[Worker Type],$D35))</f>
        <v>1.25125</v>
      </c>
      <c r="G35" s="210">
        <f>IF(E35="High-End",SUMIFS(Inhalation_Exp[Int_High-End],Inhalation_Exp[OES],$C35,Inhalation_Exp[Worker Type],$D35),SUMIFS(Inhalation_Exp[Int_Central Tendency],Inhalation_Exp[OES],$C35,Inhalation_Exp[Worker Type],$D35))</f>
        <v>0.91758333333333331</v>
      </c>
      <c r="H35" s="210">
        <f>IF(E35="High-End",SUMIFS(Inhalation_Exp[ADD_High-End],Inhalation_Exp[OES],$C35,Inhalation_Exp[Worker Type],$D35),SUMIFS(Inhalation_Exp[ADD_Central Tendency],Inhalation_Exp[OES],$C35,Inhalation_Exp[Worker Type],$D35))</f>
        <v>0.85702054794520544</v>
      </c>
      <c r="I35" s="210">
        <f>IF(E35="High-End",SUMIFS(Inhalation_Exp[LADD_High-End],Inhalation_Exp[OES],$C35,Inhalation_Exp[Worker Type],$D35),SUMIFS(Inhalation_Exp[LADD_Central Tendency],Inhalation_Exp[OES],$C35,Inhalation_Exp[Worker Type],$D35))</f>
        <v>0.43949771689497719</v>
      </c>
      <c r="J35" s="282">
        <f>IF($E35="High-End",SUMIFS(Dermal_Exp[High-End AD (mg/kg-day)],Dermal_Exp[Worker Type],$D35,Dermal_Exp[OES],$C35),SUMIFS(Dermal_Exp[Central Tendency AD (mg/kg-day)],Dermal_Exp[Worker Type],$D35,Dermal_Exp[OES],$C35))</f>
        <v>5.1359999999999999E-3</v>
      </c>
      <c r="K35" s="282">
        <f>IF($E35="High-End",SUMIFS(Dermal_Exp[High-End IADD (mg/kg-day)],Dermal_Exp[Worker Type],$D35,Dermal_Exp[OES],$C35),SUMIFS(Dermal_Exp[Central Tendency IADD (mg/kg-day)],Dermal_Exp[Worker Type],$D35,Dermal_Exp[OES],$C35))</f>
        <v>3.7664E-3</v>
      </c>
      <c r="L35" s="282">
        <f>IF($E35="High-End",SUMIFS(Dermal_Exp[High-End ADD (mg/kg-day)],Dermal_Exp[Worker Type],$D35,Dermal_Exp[OES],$C35),SUMIFS(Dermal_Exp[Central Tendency ADD (mg/kg-day)],Dermal_Exp[Worker Type],$D35,Dermal_Exp[OES],$C35))</f>
        <v>3.5178082191780822E-3</v>
      </c>
      <c r="M35" s="282">
        <f>IF($E35="High-End",SUMIFS(Dermal_Exp[High-End LADD (mg/kg-day)],Dermal_Exp[Worker Type],$D35,Dermal_Exp[OES],$C35),SUMIFS(Dermal_Exp[Central Tendency LADD (mg/kg-day)],Dermal_Exp[Worker Type],$D35,Dermal_Exp[OES],$C35))</f>
        <v>1.804004214963119E-3</v>
      </c>
      <c r="N35" s="314">
        <f t="shared" si="5"/>
        <v>1.256386</v>
      </c>
      <c r="O35" s="314">
        <f t="shared" si="2"/>
        <v>0.92134973333333325</v>
      </c>
      <c r="P35" s="314">
        <f t="shared" si="3"/>
        <v>0.86053835616438357</v>
      </c>
      <c r="Q35" s="314">
        <f t="shared" si="4"/>
        <v>0.44130172110994031</v>
      </c>
    </row>
    <row r="36" spans="3:17" ht="12.75" customHeight="1">
      <c r="C36" s="313" t="str" cm="1">
        <f t="array" ref="C36">INDEX('List Values'!$B$2:$B$18,(1+ROUNDDOWN((ROW()-ROW($C$5))*1/6,2)))</f>
        <v>Rubber Product Manufacturing</v>
      </c>
      <c r="D36" s="313" t="s">
        <v>74</v>
      </c>
      <c r="E36" s="313" t="s">
        <v>93</v>
      </c>
      <c r="F36" s="210">
        <f>IF(E36="High-End",SUMIFS(Inhalation_Exp[24hr_High-End],Inhalation_Exp[OES],$C36,Inhalation_Exp[Worker Type],$D36),SUMIFS(Inhalation_Exp[24hr_Central Tendency],Inhalation_Exp[OES],$C36,Inhalation_Exp[Worker Type],$D36))</f>
        <v>0.20874999999999999</v>
      </c>
      <c r="G36" s="210">
        <f>IF(E36="High-End",SUMIFS(Inhalation_Exp[Int_High-End],Inhalation_Exp[OES],$C36,Inhalation_Exp[Worker Type],$D36),SUMIFS(Inhalation_Exp[Int_Central Tendency],Inhalation_Exp[OES],$C36,Inhalation_Exp[Worker Type],$D36))</f>
        <v>0.15308333333333332</v>
      </c>
      <c r="H36" s="210">
        <f>IF(E36="High-End",SUMIFS(Inhalation_Exp[ADD_High-End],Inhalation_Exp[OES],$C36,Inhalation_Exp[Worker Type],$D36),SUMIFS(Inhalation_Exp[ADD_Central Tendency],Inhalation_Exp[OES],$C36,Inhalation_Exp[Worker Type],$D36))</f>
        <v>0.14297945205479451</v>
      </c>
      <c r="I36" s="210">
        <f>IF(E36="High-End",SUMIFS(Inhalation_Exp[LADD_High-End],Inhalation_Exp[OES],$C36,Inhalation_Exp[Worker Type],$D36),SUMIFS(Inhalation_Exp[LADD_Central Tendency],Inhalation_Exp[OES],$C36,Inhalation_Exp[Worker Type],$D36))</f>
        <v>5.682516684229013E-2</v>
      </c>
      <c r="J36" s="282">
        <f>IF($E36="High-End",SUMIFS(Dermal_Exp[High-End AD (mg/kg-day)],Dermal_Exp[Worker Type],$D36,Dermal_Exp[OES],$C36),SUMIFS(Dermal_Exp[Central Tendency AD (mg/kg-day)],Dermal_Exp[Worker Type],$D36,Dermal_Exp[OES],$C36))</f>
        <v>2.568E-3</v>
      </c>
      <c r="K36" s="282">
        <f>IF($E36="High-End",SUMIFS(Dermal_Exp[High-End IADD (mg/kg-day)],Dermal_Exp[Worker Type],$D36,Dermal_Exp[OES],$C36),SUMIFS(Dermal_Exp[Central Tendency IADD (mg/kg-day)],Dermal_Exp[Worker Type],$D36,Dermal_Exp[OES],$C36))</f>
        <v>1.8832E-3</v>
      </c>
      <c r="L36" s="282">
        <f>IF($E36="High-End",SUMIFS(Dermal_Exp[High-End ADD (mg/kg-day)],Dermal_Exp[Worker Type],$D36,Dermal_Exp[OES],$C36),SUMIFS(Dermal_Exp[Central Tendency ADD (mg/kg-day)],Dermal_Exp[Worker Type],$D36,Dermal_Exp[OES],$C36))</f>
        <v>1.7589041095890411E-3</v>
      </c>
      <c r="M36" s="282">
        <f>IF($E36="High-End",SUMIFS(Dermal_Exp[High-End LADD (mg/kg-day)],Dermal_Exp[Worker Type],$D36,Dermal_Exp[OES],$C36),SUMIFS(Dermal_Exp[Central Tendency LADD (mg/kg-day)],Dermal_Exp[Worker Type],$D36,Dermal_Exp[OES],$C36))</f>
        <v>6.990516332982087E-4</v>
      </c>
      <c r="N36" s="314">
        <f t="shared" si="5"/>
        <v>0.21131799999999998</v>
      </c>
      <c r="O36" s="314">
        <f t="shared" si="2"/>
        <v>0.15496653333333332</v>
      </c>
      <c r="P36" s="314">
        <f t="shared" si="3"/>
        <v>0.14473835616438355</v>
      </c>
      <c r="Q36" s="314">
        <f t="shared" si="4"/>
        <v>5.7524218475588342E-2</v>
      </c>
    </row>
    <row r="37" spans="3:17" ht="12.75" customHeight="1">
      <c r="C37" s="313" t="str" cm="1">
        <f t="array" ref="C37">INDEX('List Values'!$B$2:$B$18,(1+ROUNDDOWN((ROW()-ROW($C$5))*1/6,2)))</f>
        <v>Rubber Product Manufacturing</v>
      </c>
      <c r="D37" s="313" t="s">
        <v>206</v>
      </c>
      <c r="E37" s="313" t="s">
        <v>92</v>
      </c>
      <c r="F37" s="210">
        <f>IF(E37="High-End",SUMIFS(Inhalation_Exp[24hr_High-End],Inhalation_Exp[OES],$C37,Inhalation_Exp[Worker Type],$D37),SUMIFS(Inhalation_Exp[24hr_Central Tendency],Inhalation_Exp[OES],$C37,Inhalation_Exp[Worker Type],$D37))</f>
        <v>1.3821194338971348</v>
      </c>
      <c r="G37" s="210">
        <f>IF(E37="High-End",SUMIFS(Inhalation_Exp[Int_High-End],Inhalation_Exp[OES],$C37,Inhalation_Exp[Worker Type],$D37),SUMIFS(Inhalation_Exp[Int_Central Tendency],Inhalation_Exp[OES],$C37,Inhalation_Exp[Worker Type],$D37))</f>
        <v>1.0135542515245655</v>
      </c>
      <c r="H37" s="210">
        <f>IF(E37="High-End",SUMIFS(Inhalation_Exp[ADD_High-End],Inhalation_Exp[OES],$C37,Inhalation_Exp[Worker Type],$D37),SUMIFS(Inhalation_Exp[ADD_Central Tendency],Inhalation_Exp[OES],$C37,Inhalation_Exp[Worker Type],$D37))</f>
        <v>0.94665714650488675</v>
      </c>
      <c r="I37" s="210">
        <f>IF(E37="High-End",SUMIFS(Inhalation_Exp[LADD_High-End],Inhalation_Exp[OES],$C37,Inhalation_Exp[Worker Type],$D37),SUMIFS(Inhalation_Exp[LADD_Central Tendency],Inhalation_Exp[OES],$C37,Inhalation_Exp[Worker Type],$D37))</f>
        <v>0.48546520333583937</v>
      </c>
      <c r="J37" s="282">
        <f>IF($E37="High-End",SUMIFS(Dermal_Exp[High-End AD (mg/kg-day)],Dermal_Exp[Worker Type],$D37,Dermal_Exp[OES],$C37),SUMIFS(Dermal_Exp[Central Tendency AD (mg/kg-day)],Dermal_Exp[Worker Type],$D37,Dermal_Exp[OES],$C37))</f>
        <v>4.718812564722126E-3</v>
      </c>
      <c r="K37" s="282">
        <f>IF($E37="High-End",SUMIFS(Dermal_Exp[High-End IADD (mg/kg-day)],Dermal_Exp[Worker Type],$D37,Dermal_Exp[OES],$C37),SUMIFS(Dermal_Exp[Central Tendency IADD (mg/kg-day)],Dermal_Exp[Worker Type],$D37,Dermal_Exp[OES],$C37))</f>
        <v>3.4604625474628924E-3</v>
      </c>
      <c r="L37" s="282">
        <f>IF($E37="High-End",SUMIFS(Dermal_Exp[High-End ADD (mg/kg-day)],Dermal_Exp[Worker Type],$D37,Dermal_Exp[OES],$C37),SUMIFS(Dermal_Exp[Central Tendency ADD (mg/kg-day)],Dermal_Exp[Worker Type],$D37,Dermal_Exp[OES],$C37))</f>
        <v>3.2320634004946065E-3</v>
      </c>
      <c r="M37" s="282">
        <f>IF($E37="High-End",SUMIFS(Dermal_Exp[High-End LADD (mg/kg-day)],Dermal_Exp[Worker Type],$D37,Dermal_Exp[OES],$C37),SUMIFS(Dermal_Exp[Central Tendency LADD (mg/kg-day)],Dermal_Exp[Worker Type],$D37,Dermal_Exp[OES],$C37))</f>
        <v>1.6574684105100546E-3</v>
      </c>
      <c r="N37" s="314">
        <f t="shared" si="5"/>
        <v>1.3868382464618569</v>
      </c>
      <c r="O37" s="314">
        <f t="shared" si="2"/>
        <v>1.0170147140720283</v>
      </c>
      <c r="P37" s="314">
        <f t="shared" si="3"/>
        <v>0.94988920990538139</v>
      </c>
      <c r="Q37" s="314">
        <f t="shared" si="4"/>
        <v>0.48712267174634943</v>
      </c>
    </row>
    <row r="38" spans="3:17" ht="12.75" customHeight="1">
      <c r="C38" s="313" t="str" cm="1">
        <f t="array" ref="C38">INDEX('List Values'!$B$2:$B$18,(1+ROUNDDOWN((ROW()-ROW($C$5))*1/6,2)))</f>
        <v>Rubber Product Manufacturing</v>
      </c>
      <c r="D38" s="313" t="s">
        <v>206</v>
      </c>
      <c r="E38" s="313" t="s">
        <v>93</v>
      </c>
      <c r="F38" s="210">
        <f>IF(E38="High-End",SUMIFS(Inhalation_Exp[24hr_High-End],Inhalation_Exp[OES],$C38,Inhalation_Exp[Worker Type],$D38),SUMIFS(Inhalation_Exp[24hr_Central Tendency],Inhalation_Exp[OES],$C38,Inhalation_Exp[Worker Type],$D38))</f>
        <v>0.23058336209872277</v>
      </c>
      <c r="G38" s="210">
        <f>IF(E38="High-End",SUMIFS(Inhalation_Exp[Int_High-End],Inhalation_Exp[OES],$C38,Inhalation_Exp[Worker Type],$D38),SUMIFS(Inhalation_Exp[Int_Central Tendency],Inhalation_Exp[OES],$C38,Inhalation_Exp[Worker Type],$D38))</f>
        <v>0.16909446553906335</v>
      </c>
      <c r="H38" s="210">
        <f>IF(E38="High-End",SUMIFS(Inhalation_Exp[ADD_High-End],Inhalation_Exp[OES],$C38,Inhalation_Exp[Worker Type],$D38),SUMIFS(Inhalation_Exp[ADD_Central Tendency],Inhalation_Exp[OES],$C38,Inhalation_Exp[Worker Type],$D38))</f>
        <v>0.15793380965665943</v>
      </c>
      <c r="I38" s="210">
        <f>IF(E38="High-End",SUMIFS(Inhalation_Exp[LADD_High-End],Inhalation_Exp[OES],$C38,Inhalation_Exp[Worker Type],$D38),SUMIFS(Inhalation_Exp[LADD_Central Tendency],Inhalation_Exp[OES],$C38,Inhalation_Exp[Worker Type],$D38))</f>
        <v>6.2768565376364646E-2</v>
      </c>
      <c r="J38" s="282">
        <f>IF($E38="High-End",SUMIFS(Dermal_Exp[High-End AD (mg/kg-day)],Dermal_Exp[Worker Type],$D38,Dermal_Exp[OES],$C38),SUMIFS(Dermal_Exp[Central Tendency AD (mg/kg-day)],Dermal_Exp[Worker Type],$D38,Dermal_Exp[OES],$C38))</f>
        <v>2.359406282361063E-3</v>
      </c>
      <c r="K38" s="282">
        <f>IF($E38="High-End",SUMIFS(Dermal_Exp[High-End IADD (mg/kg-day)],Dermal_Exp[Worker Type],$D38,Dermal_Exp[OES],$C38),SUMIFS(Dermal_Exp[Central Tendency IADD (mg/kg-day)],Dermal_Exp[Worker Type],$D38,Dermal_Exp[OES],$C38))</f>
        <v>1.7302312737314462E-3</v>
      </c>
      <c r="L38" s="282">
        <f>IF($E38="High-End",SUMIFS(Dermal_Exp[High-End ADD (mg/kg-day)],Dermal_Exp[Worker Type],$D38,Dermal_Exp[OES],$C38),SUMIFS(Dermal_Exp[Central Tendency ADD (mg/kg-day)],Dermal_Exp[Worker Type],$D38,Dermal_Exp[OES],$C38))</f>
        <v>1.6160317002473033E-3</v>
      </c>
      <c r="M38" s="282">
        <f>IF($E38="High-End",SUMIFS(Dermal_Exp[High-End LADD (mg/kg-day)],Dermal_Exp[Worker Type],$D38,Dermal_Exp[OES],$C38),SUMIFS(Dermal_Exp[Central Tendency LADD (mg/kg-day)],Dermal_Exp[Worker Type],$D38,Dermal_Exp[OES],$C38))</f>
        <v>6.4226900907264617E-4</v>
      </c>
      <c r="N38" s="314">
        <f t="shared" si="5"/>
        <v>0.23294276838108383</v>
      </c>
      <c r="O38" s="314">
        <f t="shared" si="2"/>
        <v>0.1708246968127948</v>
      </c>
      <c r="P38" s="314">
        <f t="shared" si="3"/>
        <v>0.15954984135690672</v>
      </c>
      <c r="Q38" s="314">
        <f t="shared" si="4"/>
        <v>6.3410834385437292E-2</v>
      </c>
    </row>
    <row r="39" spans="3:17" ht="12.75" customHeight="1">
      <c r="C39" s="313" t="str" cm="1">
        <f t="array" ref="C39">INDEX('List Values'!$B$2:$B$18,(1+ROUNDDOWN((ROW()-ROW($C$5))*1/6,2)))</f>
        <v>Rubber Product Manufacturing</v>
      </c>
      <c r="D39" s="313" t="s">
        <v>94</v>
      </c>
      <c r="E39" s="313" t="s">
        <v>92</v>
      </c>
      <c r="F39" s="210">
        <f>IF(E39="High-End",SUMIFS(Inhalation_Exp[24hr_High-End],Inhalation_Exp[OES],$C39,Inhalation_Exp[Worker Type],$D39),SUMIFS(Inhalation_Exp[24hr_Central Tendency],Inhalation_Exp[OES],$C39,Inhalation_Exp[Worker Type],$D39))</f>
        <v>0.20874999999999999</v>
      </c>
      <c r="G39" s="210">
        <f>IF(E39="High-End",SUMIFS(Inhalation_Exp[Int_High-End],Inhalation_Exp[OES],$C39,Inhalation_Exp[Worker Type],$D39),SUMIFS(Inhalation_Exp[Int_Central Tendency],Inhalation_Exp[OES],$C39,Inhalation_Exp[Worker Type],$D39))</f>
        <v>0.15308333333333332</v>
      </c>
      <c r="H39" s="210">
        <f>IF(E39="High-End",SUMIFS(Inhalation_Exp[ADD_High-End],Inhalation_Exp[OES],$C39,Inhalation_Exp[Worker Type],$D39),SUMIFS(Inhalation_Exp[ADD_Central Tendency],Inhalation_Exp[OES],$C39,Inhalation_Exp[Worker Type],$D39))</f>
        <v>0.14297945205479451</v>
      </c>
      <c r="I39" s="210">
        <f>IF(E39="High-End",SUMIFS(Inhalation_Exp[LADD_High-End],Inhalation_Exp[OES],$C39,Inhalation_Exp[Worker Type],$D39),SUMIFS(Inhalation_Exp[LADD_Central Tendency],Inhalation_Exp[OES],$C39,Inhalation_Exp[Worker Type],$D39))</f>
        <v>7.3322795925535658E-2</v>
      </c>
      <c r="J39" s="282">
        <f>IF($E39="High-End",SUMIFS(Dermal_Exp[High-End AD (mg/kg-day)],Dermal_Exp[Worker Type],$D39,Dermal_Exp[OES],$C39),SUMIFS(Dermal_Exp[Central Tendency AD (mg/kg-day)],Dermal_Exp[Worker Type],$D39,Dermal_Exp[OES],$C39))</f>
        <v>2.568E-3</v>
      </c>
      <c r="K39" s="282">
        <f>IF($E39="High-End",SUMIFS(Dermal_Exp[High-End IADD (mg/kg-day)],Dermal_Exp[Worker Type],$D39,Dermal_Exp[OES],$C39),SUMIFS(Dermal_Exp[Central Tendency IADD (mg/kg-day)],Dermal_Exp[Worker Type],$D39,Dermal_Exp[OES],$C39))</f>
        <v>1.8832E-3</v>
      </c>
      <c r="L39" s="282">
        <f>IF($E39="High-End",SUMIFS(Dermal_Exp[High-End ADD (mg/kg-day)],Dermal_Exp[Worker Type],$D39,Dermal_Exp[OES],$C39),SUMIFS(Dermal_Exp[Central Tendency ADD (mg/kg-day)],Dermal_Exp[Worker Type],$D39,Dermal_Exp[OES],$C39))</f>
        <v>1.7589041095890411E-3</v>
      </c>
      <c r="M39" s="282">
        <f>IF($E39="High-End",SUMIFS(Dermal_Exp[High-End LADD (mg/kg-day)],Dermal_Exp[Worker Type],$D39,Dermal_Exp[OES],$C39),SUMIFS(Dermal_Exp[Central Tendency LADD (mg/kg-day)],Dermal_Exp[Worker Type],$D39,Dermal_Exp[OES],$C39))</f>
        <v>9.0200210748155952E-4</v>
      </c>
      <c r="N39" s="314">
        <f t="shared" si="5"/>
        <v>0.21131799999999998</v>
      </c>
      <c r="O39" s="314">
        <f t="shared" si="2"/>
        <v>0.15496653333333332</v>
      </c>
      <c r="P39" s="314">
        <f t="shared" si="3"/>
        <v>0.14473835616438355</v>
      </c>
      <c r="Q39" s="314">
        <f t="shared" si="4"/>
        <v>7.4224798033017222E-2</v>
      </c>
    </row>
    <row r="40" spans="3:17" ht="12.75" customHeight="1">
      <c r="C40" s="313" t="str" cm="1">
        <f t="array" ref="C40">INDEX('List Values'!$B$2:$B$18,(1+ROUNDDOWN((ROW()-ROW($C$5))*1/6,2)))</f>
        <v>Rubber Product Manufacturing</v>
      </c>
      <c r="D40" s="313" t="s">
        <v>94</v>
      </c>
      <c r="E40" s="313" t="s">
        <v>93</v>
      </c>
      <c r="F40" s="210">
        <f>IF(E40="High-End",SUMIFS(Inhalation_Exp[24hr_High-End],Inhalation_Exp[OES],$C40,Inhalation_Exp[Worker Type],$D40),SUMIFS(Inhalation_Exp[24hr_Central Tendency],Inhalation_Exp[OES],$C40,Inhalation_Exp[Worker Type],$D40))</f>
        <v>0.20874999999999999</v>
      </c>
      <c r="G40" s="210">
        <f>IF(E40="High-End",SUMIFS(Inhalation_Exp[Int_High-End],Inhalation_Exp[OES],$C40,Inhalation_Exp[Worker Type],$D40),SUMIFS(Inhalation_Exp[Int_Central Tendency],Inhalation_Exp[OES],$C40,Inhalation_Exp[Worker Type],$D40))</f>
        <v>0.15308333333333332</v>
      </c>
      <c r="H40" s="210">
        <f>IF(E40="High-End",SUMIFS(Inhalation_Exp[ADD_High-End],Inhalation_Exp[OES],$C40,Inhalation_Exp[Worker Type],$D40),SUMIFS(Inhalation_Exp[ADD_Central Tendency],Inhalation_Exp[OES],$C40,Inhalation_Exp[Worker Type],$D40))</f>
        <v>0.14297945205479451</v>
      </c>
      <c r="I40" s="210">
        <f>IF(E40="High-End",SUMIFS(Inhalation_Exp[LADD_High-End],Inhalation_Exp[OES],$C40,Inhalation_Exp[Worker Type],$D40),SUMIFS(Inhalation_Exp[LADD_Central Tendency],Inhalation_Exp[OES],$C40,Inhalation_Exp[Worker Type],$D40))</f>
        <v>5.682516684229013E-2</v>
      </c>
      <c r="J40" s="282">
        <f>IF($E40="High-End",SUMIFS(Dermal_Exp[High-End AD (mg/kg-day)],Dermal_Exp[Worker Type],$D40,Dermal_Exp[OES],$C40),SUMIFS(Dermal_Exp[Central Tendency AD (mg/kg-day)],Dermal_Exp[Worker Type],$D40,Dermal_Exp[OES],$C40))</f>
        <v>2.568E-3</v>
      </c>
      <c r="K40" s="282">
        <f>IF($E40="High-End",SUMIFS(Dermal_Exp[High-End IADD (mg/kg-day)],Dermal_Exp[Worker Type],$D40,Dermal_Exp[OES],$C40),SUMIFS(Dermal_Exp[Central Tendency IADD (mg/kg-day)],Dermal_Exp[Worker Type],$D40,Dermal_Exp[OES],$C40))</f>
        <v>1.8832E-3</v>
      </c>
      <c r="L40" s="282">
        <f>IF($E40="High-End",SUMIFS(Dermal_Exp[High-End ADD (mg/kg-day)],Dermal_Exp[Worker Type],$D40,Dermal_Exp[OES],$C40),SUMIFS(Dermal_Exp[Central Tendency ADD (mg/kg-day)],Dermal_Exp[Worker Type],$D40,Dermal_Exp[OES],$C40))</f>
        <v>1.7589041095890411E-3</v>
      </c>
      <c r="M40" s="282">
        <f>IF($E40="High-End",SUMIFS(Dermal_Exp[High-End LADD (mg/kg-day)],Dermal_Exp[Worker Type],$D40,Dermal_Exp[OES],$C40),SUMIFS(Dermal_Exp[Central Tendency LADD (mg/kg-day)],Dermal_Exp[Worker Type],$D40,Dermal_Exp[OES],$C40))</f>
        <v>6.990516332982087E-4</v>
      </c>
      <c r="N40" s="314">
        <f t="shared" si="5"/>
        <v>0.21131799999999998</v>
      </c>
      <c r="O40" s="314">
        <f t="shared" si="2"/>
        <v>0.15496653333333332</v>
      </c>
      <c r="P40" s="314">
        <f t="shared" si="3"/>
        <v>0.14473835616438355</v>
      </c>
      <c r="Q40" s="314">
        <f t="shared" si="4"/>
        <v>5.7524218475588342E-2</v>
      </c>
    </row>
    <row r="41" spans="3:17" ht="12.75" customHeight="1">
      <c r="C41" s="313" t="str" cm="1">
        <f t="array" ref="C41">INDEX('List Values'!$B$2:$B$18,(1+ROUNDDOWN((ROW()-ROW($C$5))*1/6,2)))</f>
        <v>Spray Application of Paints, Coatings, Adhesives, and Sealants</v>
      </c>
      <c r="D41" s="313" t="s">
        <v>74</v>
      </c>
      <c r="E41" s="308" t="s">
        <v>92</v>
      </c>
      <c r="F41" s="210">
        <f>IF(E41="High-End",SUMIFS(Inhalation_Exp[24hr_High-End],Inhalation_Exp[OES],$C41,Inhalation_Exp[Worker Type],$D41),SUMIFS(Inhalation_Exp[24hr_Central Tendency],Inhalation_Exp[OES],$C41,Inhalation_Exp[Worker Type],$D41))</f>
        <v>2.7628124999999937</v>
      </c>
      <c r="G41" s="210">
        <f>IF(E41="High-End",SUMIFS(Inhalation_Exp[Int_High-End],Inhalation_Exp[OES],$C41,Inhalation_Exp[Worker Type],$D41),SUMIFS(Inhalation_Exp[Int_Central Tendency],Inhalation_Exp[OES],$C41,Inhalation_Exp[Worker Type],$D41))</f>
        <v>2.0260624999999952</v>
      </c>
      <c r="H41" s="210">
        <f>IF(E41="High-End",SUMIFS(Inhalation_Exp[ADD_High-End],Inhalation_Exp[OES],$C41,Inhalation_Exp[Worker Type],$D41),SUMIFS(Inhalation_Exp[ADD_Central Tendency],Inhalation_Exp[OES],$C41,Inhalation_Exp[Worker Type],$D41))</f>
        <v>1.8923373287671188</v>
      </c>
      <c r="I41" s="210">
        <f>IF(E41="High-End",SUMIFS(Inhalation_Exp[LADD_High-End],Inhalation_Exp[OES],$C41,Inhalation_Exp[Worker Type],$D41),SUMIFS(Inhalation_Exp[LADD_Central Tendency],Inhalation_Exp[OES],$C41,Inhalation_Exp[Worker Type],$D41))</f>
        <v>0.97042939936775319</v>
      </c>
      <c r="J41" s="282">
        <f>IF($E41="High-End",SUMIFS(Dermal_Exp[High-End AD (mg/kg-day)],Dermal_Exp[Worker Type],$D41,Dermal_Exp[OES],$C41),SUMIFS(Dermal_Exp[Central Tendency AD (mg/kg-day)],Dermal_Exp[Worker Type],$D41,Dermal_Exp[OES],$C41))</f>
        <v>2.6750000000000003E-3</v>
      </c>
      <c r="K41" s="282">
        <f>IF($E41="High-End",SUMIFS(Dermal_Exp[High-End IADD (mg/kg-day)],Dermal_Exp[Worker Type],$D41,Dermal_Exp[OES],$C41),SUMIFS(Dermal_Exp[Central Tendency IADD (mg/kg-day)],Dermal_Exp[Worker Type],$D41,Dermal_Exp[OES],$C41))</f>
        <v>1.9616666666666667E-3</v>
      </c>
      <c r="L41" s="282">
        <f>IF($E41="High-End",SUMIFS(Dermal_Exp[High-End ADD (mg/kg-day)],Dermal_Exp[Worker Type],$D41,Dermal_Exp[OES],$C41),SUMIFS(Dermal_Exp[Central Tendency ADD (mg/kg-day)],Dermal_Exp[Worker Type],$D41,Dermal_Exp[OES],$C41))</f>
        <v>1.8321917808219181E-3</v>
      </c>
      <c r="M41" s="282">
        <f>IF($E41="High-End",SUMIFS(Dermal_Exp[High-End LADD (mg/kg-day)],Dermal_Exp[Worker Type],$D41,Dermal_Exp[OES],$C41),SUMIFS(Dermal_Exp[Central Tendency LADD (mg/kg-day)],Dermal_Exp[Worker Type],$D41,Dermal_Exp[OES],$C41))</f>
        <v>9.3958552862662462E-4</v>
      </c>
      <c r="N41" s="314">
        <f t="shared" si="5"/>
        <v>2.7654874999999937</v>
      </c>
      <c r="O41" s="314">
        <f t="shared" si="2"/>
        <v>2.0280241666666621</v>
      </c>
      <c r="P41" s="314">
        <f t="shared" si="3"/>
        <v>1.8941695205479407</v>
      </c>
      <c r="Q41" s="314">
        <f t="shared" si="4"/>
        <v>0.97136898489637979</v>
      </c>
    </row>
    <row r="42" spans="3:17" ht="12.75" customHeight="1">
      <c r="C42" s="313" t="str" cm="1">
        <f t="array" ref="C42">INDEX('List Values'!$B$2:$B$18,(1+ROUNDDOWN((ROW()-ROW($C$5))*1/6,2)))</f>
        <v>Spray Application of Paints, Coatings, Adhesives, and Sealants</v>
      </c>
      <c r="D42" s="313" t="s">
        <v>74</v>
      </c>
      <c r="E42" s="313" t="s">
        <v>93</v>
      </c>
      <c r="F42" s="210">
        <f>IF(E42="High-End",SUMIFS(Inhalation_Exp[24hr_High-End],Inhalation_Exp[OES],$C42,Inhalation_Exp[Worker Type],$D42),SUMIFS(Inhalation_Exp[24hr_Central Tendency],Inhalation_Exp[OES],$C42,Inhalation_Exp[Worker Type],$D42))</f>
        <v>3.7968749999999996E-2</v>
      </c>
      <c r="G42" s="210">
        <f>IF(E42="High-End",SUMIFS(Inhalation_Exp[Int_High-End],Inhalation_Exp[OES],$C42,Inhalation_Exp[Worker Type],$D42),SUMIFS(Inhalation_Exp[Int_Central Tendency],Inhalation_Exp[OES],$C42,Inhalation_Exp[Worker Type],$D42))</f>
        <v>2.7843749999999997E-2</v>
      </c>
      <c r="H42" s="210">
        <f>IF(E42="High-End",SUMIFS(Inhalation_Exp[ADD_High-End],Inhalation_Exp[OES],$C42,Inhalation_Exp[Worker Type],$D42),SUMIFS(Inhalation_Exp[ADD_Central Tendency],Inhalation_Exp[OES],$C42,Inhalation_Exp[Worker Type],$D42))</f>
        <v>2.6005993150684928E-2</v>
      </c>
      <c r="I42" s="210">
        <f>IF(E42="High-End",SUMIFS(Inhalation_Exp[LADD_High-End],Inhalation_Exp[OES],$C42,Inhalation_Exp[Worker Type],$D42),SUMIFS(Inhalation_Exp[LADD_Central Tendency],Inhalation_Exp[OES],$C42,Inhalation_Exp[Worker Type],$D42))</f>
        <v>1.0335715226554265E-2</v>
      </c>
      <c r="J42" s="282">
        <f>IF($E42="High-End",SUMIFS(Dermal_Exp[High-End AD (mg/kg-day)],Dermal_Exp[Worker Type],$D42,Dermal_Exp[OES],$C42),SUMIFS(Dermal_Exp[Central Tendency AD (mg/kg-day)],Dermal_Exp[Worker Type],$D42,Dermal_Exp[OES],$C42))</f>
        <v>1.3375000000000001E-3</v>
      </c>
      <c r="K42" s="282">
        <f>IF($E42="High-End",SUMIFS(Dermal_Exp[High-End IADD (mg/kg-day)],Dermal_Exp[Worker Type],$D42,Dermal_Exp[OES],$C42),SUMIFS(Dermal_Exp[Central Tendency IADD (mg/kg-day)],Dermal_Exp[Worker Type],$D42,Dermal_Exp[OES],$C42))</f>
        <v>9.8083333333333334E-4</v>
      </c>
      <c r="L42" s="282">
        <f>IF($E42="High-End",SUMIFS(Dermal_Exp[High-End ADD (mg/kg-day)],Dermal_Exp[Worker Type],$D42,Dermal_Exp[OES],$C42),SUMIFS(Dermal_Exp[Central Tendency ADD (mg/kg-day)],Dermal_Exp[Worker Type],$D42,Dermal_Exp[OES],$C42))</f>
        <v>9.1609589041095907E-4</v>
      </c>
      <c r="M42" s="282">
        <f>IF($E42="High-End",SUMIFS(Dermal_Exp[High-End LADD (mg/kg-day)],Dermal_Exp[Worker Type],$D42,Dermal_Exp[OES],$C42),SUMIFS(Dermal_Exp[Central Tendency LADD (mg/kg-day)],Dermal_Exp[Worker Type],$D42,Dermal_Exp[OES],$C42))</f>
        <v>3.6408939234281704E-4</v>
      </c>
      <c r="N42" s="314">
        <f t="shared" si="5"/>
        <v>3.9306249999999994E-2</v>
      </c>
      <c r="O42" s="314">
        <f t="shared" si="2"/>
        <v>2.8824583333333331E-2</v>
      </c>
      <c r="P42" s="314">
        <f t="shared" si="3"/>
        <v>2.6922089041095887E-2</v>
      </c>
      <c r="Q42" s="314">
        <f t="shared" si="4"/>
        <v>1.0699804618897083E-2</v>
      </c>
    </row>
    <row r="43" spans="3:17" ht="12.75" customHeight="1">
      <c r="C43" s="313" t="str" cm="1">
        <f t="array" ref="C43">INDEX('List Values'!$B$2:$B$18,(1+ROUNDDOWN((ROW()-ROW($C$5))*1/6,2)))</f>
        <v>Spray Application of Paints, Coatings, Adhesives, and Sealants</v>
      </c>
      <c r="D43" s="313" t="s">
        <v>206</v>
      </c>
      <c r="E43" s="313" t="s">
        <v>92</v>
      </c>
      <c r="F43" s="210">
        <f>IF(E43="High-End",SUMIFS(Inhalation_Exp[24hr_High-End],Inhalation_Exp[OES],$C43,Inhalation_Exp[Worker Type],$D43),SUMIFS(Inhalation_Exp[24hr_Central Tendency],Inhalation_Exp[OES],$C43,Inhalation_Exp[Worker Type],$D43))</f>
        <v>3.0517777010700651</v>
      </c>
      <c r="G43" s="210">
        <f>IF(E43="High-End",SUMIFS(Inhalation_Exp[Int_High-End],Inhalation_Exp[OES],$C43,Inhalation_Exp[Worker Type],$D43),SUMIFS(Inhalation_Exp[Int_Central Tendency],Inhalation_Exp[OES],$C43,Inhalation_Exp[Worker Type],$D43))</f>
        <v>2.2379703141180474</v>
      </c>
      <c r="H43" s="210">
        <f>IF(E43="High-End",SUMIFS(Inhalation_Exp[ADD_High-End],Inhalation_Exp[OES],$C43,Inhalation_Exp[Worker Type],$D43),SUMIFS(Inhalation_Exp[ADD_Central Tendency],Inhalation_Exp[OES],$C43,Inhalation_Exp[Worker Type],$D43))</f>
        <v>2.0902586993630581</v>
      </c>
      <c r="I43" s="210">
        <f>IF(E43="High-End",SUMIFS(Inhalation_Exp[LADD_High-End],Inhalation_Exp[OES],$C43,Inhalation_Exp[Worker Type],$D43),SUMIFS(Inhalation_Exp[LADD_Central Tendency],Inhalation_Exp[OES],$C43,Inhalation_Exp[Worker Type],$D43))</f>
        <v>1.0719275381349016</v>
      </c>
      <c r="J43" s="282">
        <f>IF($E43="High-End",SUMIFS(Dermal_Exp[High-End AD (mg/kg-day)],Dermal_Exp[Worker Type],$D43,Dermal_Exp[OES],$C43),SUMIFS(Dermal_Exp[Central Tendency AD (mg/kg-day)],Dermal_Exp[Worker Type],$D43,Dermal_Exp[OES],$C43))</f>
        <v>2.4577148774594408E-3</v>
      </c>
      <c r="K43" s="282">
        <f>IF($E43="High-End",SUMIFS(Dermal_Exp[High-End IADD (mg/kg-day)],Dermal_Exp[Worker Type],$D43,Dermal_Exp[OES],$C43),SUMIFS(Dermal_Exp[Central Tendency IADD (mg/kg-day)],Dermal_Exp[Worker Type],$D43,Dermal_Exp[OES],$C43))</f>
        <v>1.8023242434702564E-3</v>
      </c>
      <c r="L43" s="282">
        <f>IF($E43="High-End",SUMIFS(Dermal_Exp[High-End ADD (mg/kg-day)],Dermal_Exp[Worker Type],$D43,Dermal_Exp[OES],$C43),SUMIFS(Dermal_Exp[Central Tendency ADD (mg/kg-day)],Dermal_Exp[Worker Type],$D43,Dermal_Exp[OES],$C43))</f>
        <v>1.6833663544242746E-3</v>
      </c>
      <c r="M43" s="282">
        <f>IF($E43="High-End",SUMIFS(Dermal_Exp[High-End LADD (mg/kg-day)],Dermal_Exp[Worker Type],$D43,Dermal_Exp[OES],$C43),SUMIFS(Dermal_Exp[Central Tendency LADD (mg/kg-day)],Dermal_Exp[Worker Type],$D43,Dermal_Exp[OES],$C43))</f>
        <v>8.632647971406536E-4</v>
      </c>
      <c r="N43" s="314">
        <f t="shared" si="5"/>
        <v>3.0542354159475247</v>
      </c>
      <c r="O43" s="314">
        <f t="shared" si="2"/>
        <v>2.2397726383615177</v>
      </c>
      <c r="P43" s="314">
        <f t="shared" si="3"/>
        <v>2.0919420657174825</v>
      </c>
      <c r="Q43" s="314">
        <f t="shared" si="4"/>
        <v>1.0727908029320423</v>
      </c>
    </row>
    <row r="44" spans="3:17" ht="12.75" customHeight="1">
      <c r="C44" s="313" t="str" cm="1">
        <f t="array" ref="C44">INDEX('List Values'!$B$2:$B$18,(1+ROUNDDOWN((ROW()-ROW($C$5))*1/6,2)))</f>
        <v>Spray Application of Paints, Coatings, Adhesives, and Sealants</v>
      </c>
      <c r="D44" s="313" t="s">
        <v>206</v>
      </c>
      <c r="E44" s="313" t="s">
        <v>93</v>
      </c>
      <c r="F44" s="210">
        <f>IF(E44="High-End",SUMIFS(Inhalation_Exp[24hr_High-End],Inhalation_Exp[OES],$C44,Inhalation_Exp[Worker Type],$D44),SUMIFS(Inhalation_Exp[24hr_Central Tendency],Inhalation_Exp[OES],$C44,Inhalation_Exp[Worker Type],$D44))</f>
        <v>4.1939937866758703E-2</v>
      </c>
      <c r="G44" s="210">
        <f>IF(E44="High-End",SUMIFS(Inhalation_Exp[Int_High-End],Inhalation_Exp[OES],$C44,Inhalation_Exp[Worker Type],$D44),SUMIFS(Inhalation_Exp[Int_Central Tendency],Inhalation_Exp[OES],$C44,Inhalation_Exp[Worker Type],$D44))</f>
        <v>3.075595443562305E-2</v>
      </c>
      <c r="H44" s="210">
        <f>IF(E44="High-End",SUMIFS(Inhalation_Exp[ADD_High-End],Inhalation_Exp[OES],$C44,Inhalation_Exp[Worker Type],$D44),SUMIFS(Inhalation_Exp[ADD_Central Tendency],Inhalation_Exp[OES],$C44,Inhalation_Exp[Worker Type],$D44))</f>
        <v>2.8725984840245685E-2</v>
      </c>
      <c r="I44" s="210">
        <f>IF(E44="High-End",SUMIFS(Inhalation_Exp[LADD_High-End],Inhalation_Exp[OES],$C44,Inhalation_Exp[Worker Type],$D44),SUMIFS(Inhalation_Exp[LADD_Central Tendency],Inhalation_Exp[OES],$C44,Inhalation_Exp[Worker Type],$D44))</f>
        <v>1.141673756471303E-2</v>
      </c>
      <c r="J44" s="282">
        <f>IF($E44="High-End",SUMIFS(Dermal_Exp[High-End AD (mg/kg-day)],Dermal_Exp[Worker Type],$D44,Dermal_Exp[OES],$C44),SUMIFS(Dermal_Exp[Central Tendency AD (mg/kg-day)],Dermal_Exp[Worker Type],$D44,Dermal_Exp[OES],$C44))</f>
        <v>1.2288574387297204E-3</v>
      </c>
      <c r="K44" s="282">
        <f>IF($E44="High-End",SUMIFS(Dermal_Exp[High-End IADD (mg/kg-day)],Dermal_Exp[Worker Type],$D44,Dermal_Exp[OES],$C44),SUMIFS(Dermal_Exp[Central Tendency IADD (mg/kg-day)],Dermal_Exp[Worker Type],$D44,Dermal_Exp[OES],$C44))</f>
        <v>9.0116212173512822E-4</v>
      </c>
      <c r="L44" s="282">
        <f>IF($E44="High-End",SUMIFS(Dermal_Exp[High-End ADD (mg/kg-day)],Dermal_Exp[Worker Type],$D44,Dermal_Exp[OES],$C44),SUMIFS(Dermal_Exp[Central Tendency ADD (mg/kg-day)],Dermal_Exp[Worker Type],$D44,Dermal_Exp[OES],$C44))</f>
        <v>8.416831772121373E-4</v>
      </c>
      <c r="M44" s="282">
        <f>IF($E44="High-End",SUMIFS(Dermal_Exp[High-End LADD (mg/kg-day)],Dermal_Exp[Worker Type],$D44,Dermal_Exp[OES],$C44),SUMIFS(Dermal_Exp[Central Tendency LADD (mg/kg-day)],Dermal_Exp[Worker Type],$D44,Dermal_Exp[OES],$C44))</f>
        <v>3.3451510889200329E-4</v>
      </c>
      <c r="N44" s="314">
        <f t="shared" si="5"/>
        <v>4.3168795305488422E-2</v>
      </c>
      <c r="O44" s="314">
        <f t="shared" si="2"/>
        <v>3.1657116557358179E-2</v>
      </c>
      <c r="P44" s="314">
        <f t="shared" si="3"/>
        <v>2.9567668017457822E-2</v>
      </c>
      <c r="Q44" s="314">
        <f t="shared" si="4"/>
        <v>1.1751252673605033E-2</v>
      </c>
    </row>
    <row r="45" spans="3:17" ht="12.75" customHeight="1">
      <c r="C45" s="313" t="str" cm="1">
        <f t="array" ref="C45">INDEX('List Values'!$B$2:$B$18,(1+ROUNDDOWN((ROW()-ROW($C$5))*1/6,2)))</f>
        <v>Spray Application of Paints, Coatings, Adhesives, and Sealants</v>
      </c>
      <c r="D45" s="313" t="s">
        <v>94</v>
      </c>
      <c r="E45" s="313" t="s">
        <v>92</v>
      </c>
      <c r="F45" s="210">
        <f>IF(E45="High-End",SUMIFS(Inhalation_Exp[24hr_High-End],Inhalation_Exp[OES],$C45,Inhalation_Exp[Worker Type],$D45),SUMIFS(Inhalation_Exp[24hr_Central Tendency],Inhalation_Exp[OES],$C45,Inhalation_Exp[Worker Type],$D45))</f>
        <v>3.7968749999999996E-2</v>
      </c>
      <c r="G45" s="210">
        <f>IF(E45="High-End",SUMIFS(Inhalation_Exp[Int_High-End],Inhalation_Exp[OES],$C45,Inhalation_Exp[Worker Type],$D45),SUMIFS(Inhalation_Exp[Int_Central Tendency],Inhalation_Exp[OES],$C45,Inhalation_Exp[Worker Type],$D45))</f>
        <v>2.7843749999999997E-2</v>
      </c>
      <c r="H45" s="210">
        <f>IF(E45="High-End",SUMIFS(Inhalation_Exp[ADD_High-End],Inhalation_Exp[OES],$C45,Inhalation_Exp[Worker Type],$D45),SUMIFS(Inhalation_Exp[ADD_Central Tendency],Inhalation_Exp[OES],$C45,Inhalation_Exp[Worker Type],$D45))</f>
        <v>2.6005993150684928E-2</v>
      </c>
      <c r="I45" s="210">
        <f>IF(E45="High-End",SUMIFS(Inhalation_Exp[LADD_High-End],Inhalation_Exp[OES],$C45,Inhalation_Exp[Worker Type],$D45),SUMIFS(Inhalation_Exp[LADD_Central Tendency],Inhalation_Exp[OES],$C45,Inhalation_Exp[Worker Type],$D45))</f>
        <v>1.3336406743940989E-2</v>
      </c>
      <c r="J45" s="282">
        <f>IF($E45="High-End",SUMIFS(Dermal_Exp[High-End AD (mg/kg-day)],Dermal_Exp[Worker Type],$D45,Dermal_Exp[OES],$C45),SUMIFS(Dermal_Exp[Central Tendency AD (mg/kg-day)],Dermal_Exp[Worker Type],$D45,Dermal_Exp[OES],$C45))</f>
        <v>1.3375000000000001E-3</v>
      </c>
      <c r="K45" s="282">
        <f>IF($E45="High-End",SUMIFS(Dermal_Exp[High-End IADD (mg/kg-day)],Dermal_Exp[Worker Type],$D45,Dermal_Exp[OES],$C45),SUMIFS(Dermal_Exp[Central Tendency IADD (mg/kg-day)],Dermal_Exp[Worker Type],$D45,Dermal_Exp[OES],$C45))</f>
        <v>9.8083333333333334E-4</v>
      </c>
      <c r="L45" s="282">
        <f>IF($E45="High-End",SUMIFS(Dermal_Exp[High-End ADD (mg/kg-day)],Dermal_Exp[Worker Type],$D45,Dermal_Exp[OES],$C45),SUMIFS(Dermal_Exp[Central Tendency ADD (mg/kg-day)],Dermal_Exp[Worker Type],$D45,Dermal_Exp[OES],$C45))</f>
        <v>9.1609589041095907E-4</v>
      </c>
      <c r="M45" s="282">
        <f>IF($E45="High-End",SUMIFS(Dermal_Exp[High-End LADD (mg/kg-day)],Dermal_Exp[Worker Type],$D45,Dermal_Exp[OES],$C45),SUMIFS(Dermal_Exp[Central Tendency LADD (mg/kg-day)],Dermal_Exp[Worker Type],$D45,Dermal_Exp[OES],$C45))</f>
        <v>4.6979276431331231E-4</v>
      </c>
      <c r="N45" s="429">
        <f t="shared" si="5"/>
        <v>3.9306249999999994E-2</v>
      </c>
      <c r="O45" s="429">
        <f t="shared" si="2"/>
        <v>2.8824583333333331E-2</v>
      </c>
      <c r="P45" s="429">
        <f t="shared" si="3"/>
        <v>2.6922089041095887E-2</v>
      </c>
      <c r="Q45" s="429">
        <f t="shared" si="4"/>
        <v>1.3806199508254301E-2</v>
      </c>
    </row>
    <row r="46" spans="3:17" ht="12.75" customHeight="1">
      <c r="C46" s="313" t="str" cm="1">
        <f t="array" ref="C46">INDEX('List Values'!$B$2:$B$18,(1+ROUNDDOWN((ROW()-ROW($C$5))*1/6,2)))</f>
        <v>Spray Application of Paints, Coatings, Adhesives, and Sealants</v>
      </c>
      <c r="D46" s="313" t="s">
        <v>94</v>
      </c>
      <c r="E46" s="313" t="s">
        <v>93</v>
      </c>
      <c r="F46" s="210">
        <f>IF(E46="High-End",SUMIFS(Inhalation_Exp[24hr_High-End],Inhalation_Exp[OES],$C46,Inhalation_Exp[Worker Type],$D46),SUMIFS(Inhalation_Exp[24hr_Central Tendency],Inhalation_Exp[OES],$C46,Inhalation_Exp[Worker Type],$D46))</f>
        <v>3.7968749999999996E-2</v>
      </c>
      <c r="G46" s="210">
        <f>IF(E46="High-End",SUMIFS(Inhalation_Exp[Int_High-End],Inhalation_Exp[OES],$C46,Inhalation_Exp[Worker Type],$D46),SUMIFS(Inhalation_Exp[Int_Central Tendency],Inhalation_Exp[OES],$C46,Inhalation_Exp[Worker Type],$D46))</f>
        <v>2.7843749999999997E-2</v>
      </c>
      <c r="H46" s="210">
        <f>IF(E46="High-End",SUMIFS(Inhalation_Exp[ADD_High-End],Inhalation_Exp[OES],$C46,Inhalation_Exp[Worker Type],$D46),SUMIFS(Inhalation_Exp[ADD_Central Tendency],Inhalation_Exp[OES],$C46,Inhalation_Exp[Worker Type],$D46))</f>
        <v>2.6005993150684928E-2</v>
      </c>
      <c r="I46" s="210">
        <f>IF(E46="High-End",SUMIFS(Inhalation_Exp[LADD_High-End],Inhalation_Exp[OES],$C46,Inhalation_Exp[Worker Type],$D46),SUMIFS(Inhalation_Exp[LADD_Central Tendency],Inhalation_Exp[OES],$C46,Inhalation_Exp[Worker Type],$D46))</f>
        <v>1.0335715226554265E-2</v>
      </c>
      <c r="J46" s="282">
        <f>IF($E46="High-End",SUMIFS(Dermal_Exp[High-End AD (mg/kg-day)],Dermal_Exp[Worker Type],$D46,Dermal_Exp[OES],$C46),SUMIFS(Dermal_Exp[Central Tendency AD (mg/kg-day)],Dermal_Exp[Worker Type],$D46,Dermal_Exp[OES],$C46))</f>
        <v>1.3375000000000001E-3</v>
      </c>
      <c r="K46" s="282">
        <f>IF($E46="High-End",SUMIFS(Dermal_Exp[High-End IADD (mg/kg-day)],Dermal_Exp[Worker Type],$D46,Dermal_Exp[OES],$C46),SUMIFS(Dermal_Exp[Central Tendency IADD (mg/kg-day)],Dermal_Exp[Worker Type],$D46,Dermal_Exp[OES],$C46))</f>
        <v>9.8083333333333334E-4</v>
      </c>
      <c r="L46" s="282">
        <f>IF($E46="High-End",SUMIFS(Dermal_Exp[High-End ADD (mg/kg-day)],Dermal_Exp[Worker Type],$D46,Dermal_Exp[OES],$C46),SUMIFS(Dermal_Exp[Central Tendency ADD (mg/kg-day)],Dermal_Exp[Worker Type],$D46,Dermal_Exp[OES],$C46))</f>
        <v>9.1609589041095907E-4</v>
      </c>
      <c r="M46" s="282">
        <f>IF($E46="High-End",SUMIFS(Dermal_Exp[High-End LADD (mg/kg-day)],Dermal_Exp[Worker Type],$D46,Dermal_Exp[OES],$C46),SUMIFS(Dermal_Exp[Central Tendency LADD (mg/kg-day)],Dermal_Exp[Worker Type],$D46,Dermal_Exp[OES],$C46))</f>
        <v>3.6408939234281704E-4</v>
      </c>
      <c r="N46" s="429">
        <f t="shared" si="5"/>
        <v>3.9306249999999994E-2</v>
      </c>
      <c r="O46" s="429">
        <f t="shared" si="2"/>
        <v>2.8824583333333331E-2</v>
      </c>
      <c r="P46" s="429">
        <f t="shared" si="3"/>
        <v>2.6922089041095887E-2</v>
      </c>
      <c r="Q46" s="429">
        <f t="shared" si="4"/>
        <v>1.0699804618897083E-2</v>
      </c>
    </row>
    <row r="47" spans="3:17" ht="12.75" customHeight="1">
      <c r="C47" s="313" t="str" cm="1">
        <f t="array" ref="C47">INDEX('List Values'!$B$2:$B$18,(1+ROUNDDOWN((ROW()-ROW($C$5))*1/6,2)))</f>
        <v>Non-Spray Application of Paints, Coatings, Adhesives, and Sealants</v>
      </c>
      <c r="D47" s="313" t="s">
        <v>74</v>
      </c>
      <c r="E47" s="308" t="s">
        <v>92</v>
      </c>
      <c r="F47" s="210">
        <f>IF(E47="High-End",SUMIFS(Inhalation_Exp[24hr_High-End],Inhalation_Exp[OES],$C47,Inhalation_Exp[Worker Type],$D47),SUMIFS(Inhalation_Exp[24hr_Central Tendency],Inhalation_Exp[OES],$C47,Inhalation_Exp[Worker Type],$D47))</f>
        <v>1.25125</v>
      </c>
      <c r="G47" s="210">
        <f>IF(E47="High-End",SUMIFS(Inhalation_Exp[Int_High-End],Inhalation_Exp[OES],$C47,Inhalation_Exp[Worker Type],$D47),SUMIFS(Inhalation_Exp[Int_Central Tendency],Inhalation_Exp[OES],$C47,Inhalation_Exp[Worker Type],$D47))</f>
        <v>0.91758333333333331</v>
      </c>
      <c r="H47" s="210">
        <f>IF(E47="High-End",SUMIFS(Inhalation_Exp[ADD_High-End],Inhalation_Exp[OES],$C47,Inhalation_Exp[Worker Type],$D47),SUMIFS(Inhalation_Exp[ADD_Central Tendency],Inhalation_Exp[OES],$C47,Inhalation_Exp[Worker Type],$D47))</f>
        <v>0.85702054794520544</v>
      </c>
      <c r="I47" s="210">
        <f>IF(E47="High-End",SUMIFS(Inhalation_Exp[LADD_High-End],Inhalation_Exp[OES],$C47,Inhalation_Exp[Worker Type],$D47),SUMIFS(Inhalation_Exp[LADD_Central Tendency],Inhalation_Exp[OES],$C47,Inhalation_Exp[Worker Type],$D47))</f>
        <v>0.43949771689497719</v>
      </c>
      <c r="J47" s="282">
        <f>IF($E47="High-End",SUMIFS(Dermal_Exp[High-End AD (mg/kg-day)],Dermal_Exp[Worker Type],$D47,Dermal_Exp[OES],$C47),SUMIFS(Dermal_Exp[Central Tendency AD (mg/kg-day)],Dermal_Exp[Worker Type],$D47,Dermal_Exp[OES],$C47))</f>
        <v>2.6750000000000003E-3</v>
      </c>
      <c r="K47" s="282">
        <f>IF($E47="High-End",SUMIFS(Dermal_Exp[High-End IADD (mg/kg-day)],Dermal_Exp[Worker Type],$D47,Dermal_Exp[OES],$C47),SUMIFS(Dermal_Exp[Central Tendency IADD (mg/kg-day)],Dermal_Exp[Worker Type],$D47,Dermal_Exp[OES],$C47))</f>
        <v>1.9616666666666667E-3</v>
      </c>
      <c r="L47" s="282">
        <f>IF($E47="High-End",SUMIFS(Dermal_Exp[High-End ADD (mg/kg-day)],Dermal_Exp[Worker Type],$D47,Dermal_Exp[OES],$C47),SUMIFS(Dermal_Exp[Central Tendency ADD (mg/kg-day)],Dermal_Exp[Worker Type],$D47,Dermal_Exp[OES],$C47))</f>
        <v>1.8321917808219181E-3</v>
      </c>
      <c r="M47" s="282">
        <f>IF($E47="High-End",SUMIFS(Dermal_Exp[High-End LADD (mg/kg-day)],Dermal_Exp[Worker Type],$D47,Dermal_Exp[OES],$C47),SUMIFS(Dermal_Exp[Central Tendency LADD (mg/kg-day)],Dermal_Exp[Worker Type],$D47,Dermal_Exp[OES],$C47))</f>
        <v>9.3958552862662462E-4</v>
      </c>
      <c r="N47" s="429">
        <f t="shared" si="5"/>
        <v>1.253925</v>
      </c>
      <c r="O47" s="429">
        <f t="shared" si="2"/>
        <v>0.91954499999999995</v>
      </c>
      <c r="P47" s="429">
        <f t="shared" si="3"/>
        <v>0.85885273972602738</v>
      </c>
      <c r="Q47" s="429">
        <f t="shared" si="4"/>
        <v>0.44043730242360379</v>
      </c>
    </row>
    <row r="48" spans="3:17" ht="12.75" customHeight="1">
      <c r="C48" s="313" t="str" cm="1">
        <f t="array" ref="C48">INDEX('List Values'!$B$2:$B$18,(1+ROUNDDOWN((ROW()-ROW($C$5))*1/6,2)))</f>
        <v>Non-Spray Application of Paints, Coatings, Adhesives, and Sealants</v>
      </c>
      <c r="D48" s="313" t="s">
        <v>74</v>
      </c>
      <c r="E48" s="313" t="s">
        <v>93</v>
      </c>
      <c r="F48" s="210">
        <f>IF(E48="High-End",SUMIFS(Inhalation_Exp[24hr_High-End],Inhalation_Exp[OES],$C48,Inhalation_Exp[Worker Type],$D48),SUMIFS(Inhalation_Exp[24hr_Central Tendency],Inhalation_Exp[OES],$C48,Inhalation_Exp[Worker Type],$D48))</f>
        <v>0.20874999999999999</v>
      </c>
      <c r="G48" s="210">
        <f>IF(E48="High-End",SUMIFS(Inhalation_Exp[Int_High-End],Inhalation_Exp[OES],$C48,Inhalation_Exp[Worker Type],$D48),SUMIFS(Inhalation_Exp[Int_Central Tendency],Inhalation_Exp[OES],$C48,Inhalation_Exp[Worker Type],$D48))</f>
        <v>0.15308333333333332</v>
      </c>
      <c r="H48" s="210">
        <f>IF(E48="High-End",SUMIFS(Inhalation_Exp[ADD_High-End],Inhalation_Exp[OES],$C48,Inhalation_Exp[Worker Type],$D48),SUMIFS(Inhalation_Exp[ADD_Central Tendency],Inhalation_Exp[OES],$C48,Inhalation_Exp[Worker Type],$D48))</f>
        <v>0.14297945205479451</v>
      </c>
      <c r="I48" s="210">
        <f>IF(E48="High-End",SUMIFS(Inhalation_Exp[LADD_High-End],Inhalation_Exp[OES],$C48,Inhalation_Exp[Worker Type],$D48),SUMIFS(Inhalation_Exp[LADD_Central Tendency],Inhalation_Exp[OES],$C48,Inhalation_Exp[Worker Type],$D48))</f>
        <v>5.682516684229013E-2</v>
      </c>
      <c r="J48" s="282">
        <f>IF($E48="High-End",SUMIFS(Dermal_Exp[High-End AD (mg/kg-day)],Dermal_Exp[Worker Type],$D48,Dermal_Exp[OES],$C48),SUMIFS(Dermal_Exp[Central Tendency AD (mg/kg-day)],Dermal_Exp[Worker Type],$D48,Dermal_Exp[OES],$C48))</f>
        <v>1.3375000000000001E-3</v>
      </c>
      <c r="K48" s="282">
        <f>IF($E48="High-End",SUMIFS(Dermal_Exp[High-End IADD (mg/kg-day)],Dermal_Exp[Worker Type],$D48,Dermal_Exp[OES],$C48),SUMIFS(Dermal_Exp[Central Tendency IADD (mg/kg-day)],Dermal_Exp[Worker Type],$D48,Dermal_Exp[OES],$C48))</f>
        <v>9.8083333333333334E-4</v>
      </c>
      <c r="L48" s="282">
        <f>IF($E48="High-End",SUMIFS(Dermal_Exp[High-End ADD (mg/kg-day)],Dermal_Exp[Worker Type],$D48,Dermal_Exp[OES],$C48),SUMIFS(Dermal_Exp[Central Tendency ADD (mg/kg-day)],Dermal_Exp[Worker Type],$D48,Dermal_Exp[OES],$C48))</f>
        <v>9.1609589041095907E-4</v>
      </c>
      <c r="M48" s="282">
        <f>IF($E48="High-End",SUMIFS(Dermal_Exp[High-End LADD (mg/kg-day)],Dermal_Exp[Worker Type],$D48,Dermal_Exp[OES],$C48),SUMIFS(Dermal_Exp[Central Tendency LADD (mg/kg-day)],Dermal_Exp[Worker Type],$D48,Dermal_Exp[OES],$C48))</f>
        <v>3.6408939234281704E-4</v>
      </c>
      <c r="N48" s="429">
        <f t="shared" si="5"/>
        <v>0.21008749999999998</v>
      </c>
      <c r="O48" s="429">
        <f t="shared" si="2"/>
        <v>0.15406416666666664</v>
      </c>
      <c r="P48" s="429">
        <f t="shared" si="3"/>
        <v>0.14389554794520548</v>
      </c>
      <c r="Q48" s="429">
        <f t="shared" si="4"/>
        <v>5.7189256234632946E-2</v>
      </c>
    </row>
    <row r="49" spans="3:17">
      <c r="C49" s="313" t="str" cm="1">
        <f t="array" ref="C49">INDEX('List Values'!$B$2:$B$18,(1+ROUNDDOWN((ROW()-ROW($C$5))*1/6,2)))</f>
        <v>Non-Spray Application of Paints, Coatings, Adhesives, and Sealants</v>
      </c>
      <c r="D49" s="313" t="s">
        <v>206</v>
      </c>
      <c r="E49" s="313" t="s">
        <v>92</v>
      </c>
      <c r="F49" s="210">
        <f>IF(E49="High-End",SUMIFS(Inhalation_Exp[24hr_High-End],Inhalation_Exp[OES],$C49,Inhalation_Exp[Worker Type],$D49),SUMIFS(Inhalation_Exp[24hr_Central Tendency],Inhalation_Exp[OES],$C49,Inhalation_Exp[Worker Type],$D49))</f>
        <v>1.3821194338971348</v>
      </c>
      <c r="G49" s="210">
        <f>IF(E49="High-End",SUMIFS(Inhalation_Exp[Int_High-End],Inhalation_Exp[OES],$C49,Inhalation_Exp[Worker Type],$D49),SUMIFS(Inhalation_Exp[Int_Central Tendency],Inhalation_Exp[OES],$C49,Inhalation_Exp[Worker Type],$D49))</f>
        <v>1.0135542515245655</v>
      </c>
      <c r="H49" s="210">
        <f>IF(E49="High-End",SUMIFS(Inhalation_Exp[ADD_High-End],Inhalation_Exp[OES],$C49,Inhalation_Exp[Worker Type],$D49),SUMIFS(Inhalation_Exp[ADD_Central Tendency],Inhalation_Exp[OES],$C49,Inhalation_Exp[Worker Type],$D49))</f>
        <v>0.94665714650488675</v>
      </c>
      <c r="I49" s="210">
        <f>IF(E49="High-End",SUMIFS(Inhalation_Exp[LADD_High-End],Inhalation_Exp[OES],$C49,Inhalation_Exp[Worker Type],$D49),SUMIFS(Inhalation_Exp[LADD_Central Tendency],Inhalation_Exp[OES],$C49,Inhalation_Exp[Worker Type],$D49))</f>
        <v>0.48546520333583937</v>
      </c>
      <c r="J49" s="282">
        <f>IF($E49="High-End",SUMIFS(Dermal_Exp[High-End AD (mg/kg-day)],Dermal_Exp[Worker Type],$D49,Dermal_Exp[OES],$C49),SUMIFS(Dermal_Exp[Central Tendency AD (mg/kg-day)],Dermal_Exp[Worker Type],$D49,Dermal_Exp[OES],$C49))</f>
        <v>2.4577148774594408E-3</v>
      </c>
      <c r="K49" s="282">
        <f>IF($E49="High-End",SUMIFS(Dermal_Exp[High-End IADD (mg/kg-day)],Dermal_Exp[Worker Type],$D49,Dermal_Exp[OES],$C49),SUMIFS(Dermal_Exp[Central Tendency IADD (mg/kg-day)],Dermal_Exp[Worker Type],$D49,Dermal_Exp[OES],$C49))</f>
        <v>1.8023242434702564E-3</v>
      </c>
      <c r="L49" s="282">
        <f>IF($E49="High-End",SUMIFS(Dermal_Exp[High-End ADD (mg/kg-day)],Dermal_Exp[Worker Type],$D49,Dermal_Exp[OES],$C49),SUMIFS(Dermal_Exp[Central Tendency ADD (mg/kg-day)],Dermal_Exp[Worker Type],$D49,Dermal_Exp[OES],$C49))</f>
        <v>1.6833663544242746E-3</v>
      </c>
      <c r="M49" s="282">
        <f>IF($E49="High-End",SUMIFS(Dermal_Exp[High-End LADD (mg/kg-day)],Dermal_Exp[Worker Type],$D49,Dermal_Exp[OES],$C49),SUMIFS(Dermal_Exp[Central Tendency LADD (mg/kg-day)],Dermal_Exp[Worker Type],$D49,Dermal_Exp[OES],$C49))</f>
        <v>8.632647971406536E-4</v>
      </c>
      <c r="N49" s="429">
        <f t="shared" si="5"/>
        <v>1.3845771487745941</v>
      </c>
      <c r="O49" s="429">
        <f t="shared" si="2"/>
        <v>1.0153565757680356</v>
      </c>
      <c r="P49" s="429">
        <f t="shared" si="3"/>
        <v>0.94834051285931098</v>
      </c>
      <c r="Q49" s="429">
        <f t="shared" si="4"/>
        <v>0.48632846813298003</v>
      </c>
    </row>
    <row r="50" spans="3:17">
      <c r="C50" s="313" t="str" cm="1">
        <f t="array" ref="C50">INDEX('List Values'!$B$2:$B$18,(1+ROUNDDOWN((ROW()-ROW($C$5))*1/6,2)))</f>
        <v>Non-Spray Application of Paints, Coatings, Adhesives, and Sealants</v>
      </c>
      <c r="D50" s="313" t="s">
        <v>206</v>
      </c>
      <c r="E50" s="313" t="s">
        <v>93</v>
      </c>
      <c r="F50" s="210">
        <f>IF(E50="High-End",SUMIFS(Inhalation_Exp[24hr_High-End],Inhalation_Exp[OES],$C50,Inhalation_Exp[Worker Type],$D50),SUMIFS(Inhalation_Exp[24hr_Central Tendency],Inhalation_Exp[OES],$C50,Inhalation_Exp[Worker Type],$D50))</f>
        <v>0.23058336209872277</v>
      </c>
      <c r="G50" s="210">
        <f>IF(E50="High-End",SUMIFS(Inhalation_Exp[Int_High-End],Inhalation_Exp[OES],$C50,Inhalation_Exp[Worker Type],$D50),SUMIFS(Inhalation_Exp[Int_Central Tendency],Inhalation_Exp[OES],$C50,Inhalation_Exp[Worker Type],$D50))</f>
        <v>0.16909446553906335</v>
      </c>
      <c r="H50" s="210">
        <f>IF(E50="High-End",SUMIFS(Inhalation_Exp[ADD_High-End],Inhalation_Exp[OES],$C50,Inhalation_Exp[Worker Type],$D50),SUMIFS(Inhalation_Exp[ADD_Central Tendency],Inhalation_Exp[OES],$C50,Inhalation_Exp[Worker Type],$D50))</f>
        <v>0.15793380965665943</v>
      </c>
      <c r="I50" s="210">
        <f>IF(E50="High-End",SUMIFS(Inhalation_Exp[LADD_High-End],Inhalation_Exp[OES],$C50,Inhalation_Exp[Worker Type],$D50),SUMIFS(Inhalation_Exp[LADD_Central Tendency],Inhalation_Exp[OES],$C50,Inhalation_Exp[Worker Type],$D50))</f>
        <v>6.2768565376364646E-2</v>
      </c>
      <c r="J50" s="282">
        <f>IF($E50="High-End",SUMIFS(Dermal_Exp[High-End AD (mg/kg-day)],Dermal_Exp[Worker Type],$D50,Dermal_Exp[OES],$C50),SUMIFS(Dermal_Exp[Central Tendency AD (mg/kg-day)],Dermal_Exp[Worker Type],$D50,Dermal_Exp[OES],$C50))</f>
        <v>1.2288574387297204E-3</v>
      </c>
      <c r="K50" s="282">
        <f>IF($E50="High-End",SUMIFS(Dermal_Exp[High-End IADD (mg/kg-day)],Dermal_Exp[Worker Type],$D50,Dermal_Exp[OES],$C50),SUMIFS(Dermal_Exp[Central Tendency IADD (mg/kg-day)],Dermal_Exp[Worker Type],$D50,Dermal_Exp[OES],$C50))</f>
        <v>9.0116212173512822E-4</v>
      </c>
      <c r="L50" s="282">
        <f>IF($E50="High-End",SUMIFS(Dermal_Exp[High-End ADD (mg/kg-day)],Dermal_Exp[Worker Type],$D50,Dermal_Exp[OES],$C50),SUMIFS(Dermal_Exp[Central Tendency ADD (mg/kg-day)],Dermal_Exp[Worker Type],$D50,Dermal_Exp[OES],$C50))</f>
        <v>8.416831772121373E-4</v>
      </c>
      <c r="M50" s="282">
        <f>IF($E50="High-End",SUMIFS(Dermal_Exp[High-End LADD (mg/kg-day)],Dermal_Exp[Worker Type],$D50,Dermal_Exp[OES],$C50),SUMIFS(Dermal_Exp[Central Tendency LADD (mg/kg-day)],Dermal_Exp[Worker Type],$D50,Dermal_Exp[OES],$C50))</f>
        <v>3.3451510889200329E-4</v>
      </c>
      <c r="N50" s="429">
        <f t="shared" si="5"/>
        <v>0.23181221953745249</v>
      </c>
      <c r="O50" s="429">
        <f t="shared" si="2"/>
        <v>0.16999562766079848</v>
      </c>
      <c r="P50" s="429">
        <f t="shared" si="3"/>
        <v>0.15877549283387157</v>
      </c>
      <c r="Q50" s="429">
        <f t="shared" si="4"/>
        <v>6.3103080485256646E-2</v>
      </c>
    </row>
    <row r="51" spans="3:17">
      <c r="C51" s="313" t="str" cm="1">
        <f t="array" ref="C51">INDEX('List Values'!$B$2:$B$18,(1+ROUNDDOWN((ROW()-ROW($C$5))*1/6,2)))</f>
        <v>Non-Spray Application of Paints, Coatings, Adhesives, and Sealants</v>
      </c>
      <c r="D51" s="313" t="s">
        <v>94</v>
      </c>
      <c r="E51" s="313" t="s">
        <v>92</v>
      </c>
      <c r="F51" s="210">
        <f>IF(E51="High-End",SUMIFS(Inhalation_Exp[24hr_High-End],Inhalation_Exp[OES],$C51,Inhalation_Exp[Worker Type],$D51),SUMIFS(Inhalation_Exp[24hr_Central Tendency],Inhalation_Exp[OES],$C51,Inhalation_Exp[Worker Type],$D51))</f>
        <v>0.20874999999999999</v>
      </c>
      <c r="G51" s="210">
        <f>IF(E51="High-End",SUMIFS(Inhalation_Exp[Int_High-End],Inhalation_Exp[OES],$C51,Inhalation_Exp[Worker Type],$D51),SUMIFS(Inhalation_Exp[Int_Central Tendency],Inhalation_Exp[OES],$C51,Inhalation_Exp[Worker Type],$D51))</f>
        <v>0.15308333333333332</v>
      </c>
      <c r="H51" s="210">
        <f>IF(E51="High-End",SUMIFS(Inhalation_Exp[ADD_High-End],Inhalation_Exp[OES],$C51,Inhalation_Exp[Worker Type],$D51),SUMIFS(Inhalation_Exp[ADD_Central Tendency],Inhalation_Exp[OES],$C51,Inhalation_Exp[Worker Type],$D51))</f>
        <v>0.14297945205479451</v>
      </c>
      <c r="I51" s="210">
        <f>IF(E51="High-End",SUMIFS(Inhalation_Exp[LADD_High-End],Inhalation_Exp[OES],$C51,Inhalation_Exp[Worker Type],$D51),SUMIFS(Inhalation_Exp[LADD_Central Tendency],Inhalation_Exp[OES],$C51,Inhalation_Exp[Worker Type],$D51))</f>
        <v>7.3322795925535658E-2</v>
      </c>
      <c r="J51" s="282">
        <f>IF($E51="High-End",SUMIFS(Dermal_Exp[High-End AD (mg/kg-day)],Dermal_Exp[Worker Type],$D51,Dermal_Exp[OES],$C51),SUMIFS(Dermal_Exp[Central Tendency AD (mg/kg-day)],Dermal_Exp[Worker Type],$D51,Dermal_Exp[OES],$C51))</f>
        <v>0</v>
      </c>
      <c r="K51" s="282">
        <f>IF($E51="High-End",SUMIFS(Dermal_Exp[High-End IADD (mg/kg-day)],Dermal_Exp[Worker Type],$D51,Dermal_Exp[OES],$C51),SUMIFS(Dermal_Exp[Central Tendency IADD (mg/kg-day)],Dermal_Exp[Worker Type],$D51,Dermal_Exp[OES],$C51))</f>
        <v>0</v>
      </c>
      <c r="L51" s="282">
        <f>IF($E51="High-End",SUMIFS(Dermal_Exp[High-End ADD (mg/kg-day)],Dermal_Exp[Worker Type],$D51,Dermal_Exp[OES],$C51),SUMIFS(Dermal_Exp[Central Tendency ADD (mg/kg-day)],Dermal_Exp[Worker Type],$D51,Dermal_Exp[OES],$C51))</f>
        <v>0</v>
      </c>
      <c r="M51" s="282">
        <f>IF($E51="High-End",SUMIFS(Dermal_Exp[High-End LADD (mg/kg-day)],Dermal_Exp[Worker Type],$D51,Dermal_Exp[OES],$C51),SUMIFS(Dermal_Exp[Central Tendency LADD (mg/kg-day)],Dermal_Exp[Worker Type],$D51,Dermal_Exp[OES],$C51))</f>
        <v>0</v>
      </c>
      <c r="N51" s="429">
        <f t="shared" si="5"/>
        <v>0.20874999999999999</v>
      </c>
      <c r="O51" s="429">
        <f t="shared" si="2"/>
        <v>0.15308333333333332</v>
      </c>
      <c r="P51" s="429">
        <f t="shared" si="3"/>
        <v>0.14297945205479451</v>
      </c>
      <c r="Q51" s="429">
        <f t="shared" si="4"/>
        <v>7.3322795925535658E-2</v>
      </c>
    </row>
    <row r="52" spans="3:17">
      <c r="C52" s="313" t="str" cm="1">
        <f t="array" ref="C52">INDEX('List Values'!$B$2:$B$18,(1+ROUNDDOWN((ROW()-ROW($C$5))*1/6,2)))</f>
        <v>Non-Spray Application of Paints, Coatings, Adhesives, and Sealants</v>
      </c>
      <c r="D52" s="313" t="s">
        <v>94</v>
      </c>
      <c r="E52" s="313" t="s">
        <v>93</v>
      </c>
      <c r="F52" s="210">
        <f>IF(E52="High-End",SUMIFS(Inhalation_Exp[24hr_High-End],Inhalation_Exp[OES],$C52,Inhalation_Exp[Worker Type],$D52),SUMIFS(Inhalation_Exp[24hr_Central Tendency],Inhalation_Exp[OES],$C52,Inhalation_Exp[Worker Type],$D52))</f>
        <v>0.20874999999999999</v>
      </c>
      <c r="G52" s="210">
        <f>IF(E52="High-End",SUMIFS(Inhalation_Exp[Int_High-End],Inhalation_Exp[OES],$C52,Inhalation_Exp[Worker Type],$D52),SUMIFS(Inhalation_Exp[Int_Central Tendency],Inhalation_Exp[OES],$C52,Inhalation_Exp[Worker Type],$D52))</f>
        <v>0.15308333333333332</v>
      </c>
      <c r="H52" s="210">
        <f>IF(E52="High-End",SUMIFS(Inhalation_Exp[ADD_High-End],Inhalation_Exp[OES],$C52,Inhalation_Exp[Worker Type],$D52),SUMIFS(Inhalation_Exp[ADD_Central Tendency],Inhalation_Exp[OES],$C52,Inhalation_Exp[Worker Type],$D52))</f>
        <v>0.14297945205479451</v>
      </c>
      <c r="I52" s="210">
        <f>IF(E52="High-End",SUMIFS(Inhalation_Exp[LADD_High-End],Inhalation_Exp[OES],$C52,Inhalation_Exp[Worker Type],$D52),SUMIFS(Inhalation_Exp[LADD_Central Tendency],Inhalation_Exp[OES],$C52,Inhalation_Exp[Worker Type],$D52))</f>
        <v>5.682516684229013E-2</v>
      </c>
      <c r="J52" s="282">
        <f>IF($E52="High-End",SUMIFS(Dermal_Exp[High-End AD (mg/kg-day)],Dermal_Exp[Worker Type],$D52,Dermal_Exp[OES],$C52),SUMIFS(Dermal_Exp[Central Tendency AD (mg/kg-day)],Dermal_Exp[Worker Type],$D52,Dermal_Exp[OES],$C52))</f>
        <v>0</v>
      </c>
      <c r="K52" s="282">
        <f>IF($E52="High-End",SUMIFS(Dermal_Exp[High-End IADD (mg/kg-day)],Dermal_Exp[Worker Type],$D52,Dermal_Exp[OES],$C52),SUMIFS(Dermal_Exp[Central Tendency IADD (mg/kg-day)],Dermal_Exp[Worker Type],$D52,Dermal_Exp[OES],$C52))</f>
        <v>0</v>
      </c>
      <c r="L52" s="282">
        <f>IF($E52="High-End",SUMIFS(Dermal_Exp[High-End ADD (mg/kg-day)],Dermal_Exp[Worker Type],$D52,Dermal_Exp[OES],$C52),SUMIFS(Dermal_Exp[Central Tendency ADD (mg/kg-day)],Dermal_Exp[Worker Type],$D52,Dermal_Exp[OES],$C52))</f>
        <v>0</v>
      </c>
      <c r="M52" s="282">
        <f>IF($E52="High-End",SUMIFS(Dermal_Exp[High-End LADD (mg/kg-day)],Dermal_Exp[Worker Type],$D52,Dermal_Exp[OES],$C52),SUMIFS(Dermal_Exp[Central Tendency LADD (mg/kg-day)],Dermal_Exp[Worker Type],$D52,Dermal_Exp[OES],$C52))</f>
        <v>0</v>
      </c>
      <c r="N52" s="429">
        <f t="shared" si="5"/>
        <v>0.20874999999999999</v>
      </c>
      <c r="O52" s="429">
        <f t="shared" si="2"/>
        <v>0.15308333333333332</v>
      </c>
      <c r="P52" s="429">
        <f t="shared" si="3"/>
        <v>0.14297945205479451</v>
      </c>
      <c r="Q52" s="429">
        <f t="shared" si="4"/>
        <v>5.682516684229013E-2</v>
      </c>
    </row>
    <row r="53" spans="3:17">
      <c r="C53" s="313" t="str" cm="1">
        <f t="array" ref="C53">INDEX('List Values'!$B$2:$B$18,(1+ROUNDDOWN((ROW()-ROW($C$5))*1/6,2)))</f>
        <v>Use of Dyes, Pigments, and Fixing Agents</v>
      </c>
      <c r="D53" s="313" t="s">
        <v>74</v>
      </c>
      <c r="E53" s="308" t="s">
        <v>92</v>
      </c>
      <c r="F53" s="210">
        <f>IF(E53="High-End",SUMIFS(Inhalation_Exp[24hr_High-End],Inhalation_Exp[OES],$C53,Inhalation_Exp[Worker Type],$D53),SUMIFS(Inhalation_Exp[24hr_Central Tendency],Inhalation_Exp[OES],$C53,Inhalation_Exp[Worker Type],$D53))</f>
        <v>1.25125</v>
      </c>
      <c r="G53" s="210">
        <f>IF(E53="High-End",SUMIFS(Inhalation_Exp[Int_High-End],Inhalation_Exp[OES],$C53,Inhalation_Exp[Worker Type],$D53),SUMIFS(Inhalation_Exp[Int_Central Tendency],Inhalation_Exp[OES],$C53,Inhalation_Exp[Worker Type],$D53))</f>
        <v>0.91758333333333331</v>
      </c>
      <c r="H53" s="210">
        <f>IF(E53="High-End",SUMIFS(Inhalation_Exp[ADD_High-End],Inhalation_Exp[OES],$C53,Inhalation_Exp[Worker Type],$D53),SUMIFS(Inhalation_Exp[ADD_Central Tendency],Inhalation_Exp[OES],$C53,Inhalation_Exp[Worker Type],$D53))</f>
        <v>0.85702054794520544</v>
      </c>
      <c r="I53" s="210">
        <f>IF(E53="High-End",SUMIFS(Inhalation_Exp[LADD_High-End],Inhalation_Exp[OES],$C53,Inhalation_Exp[Worker Type],$D53),SUMIFS(Inhalation_Exp[LADD_Central Tendency],Inhalation_Exp[OES],$C53,Inhalation_Exp[Worker Type],$D53))</f>
        <v>0.43949771689497719</v>
      </c>
      <c r="J53" s="282">
        <f>IF($E53="High-End",SUMIFS(Dermal_Exp[High-End AD (mg/kg-day)],Dermal_Exp[Worker Type],$D53,Dermal_Exp[OES],$C53),SUMIFS(Dermal_Exp[Central Tendency AD (mg/kg-day)],Dermal_Exp[Worker Type],$D53,Dermal_Exp[OES],$C53))</f>
        <v>2.6750000000000003E-3</v>
      </c>
      <c r="K53" s="282">
        <f>IF($E53="High-End",SUMIFS(Dermal_Exp[High-End IADD (mg/kg-day)],Dermal_Exp[Worker Type],$D53,Dermal_Exp[OES],$C53),SUMIFS(Dermal_Exp[Central Tendency IADD (mg/kg-day)],Dermal_Exp[Worker Type],$D53,Dermal_Exp[OES],$C53))</f>
        <v>1.9616666666666667E-3</v>
      </c>
      <c r="L53" s="282">
        <f>IF($E53="High-End",SUMIFS(Dermal_Exp[High-End ADD (mg/kg-day)],Dermal_Exp[Worker Type],$D53,Dermal_Exp[OES],$C53),SUMIFS(Dermal_Exp[Central Tendency ADD (mg/kg-day)],Dermal_Exp[Worker Type],$D53,Dermal_Exp[OES],$C53))</f>
        <v>1.8321917808219181E-3</v>
      </c>
      <c r="M53" s="282">
        <f>IF($E53="High-End",SUMIFS(Dermal_Exp[High-End LADD (mg/kg-day)],Dermal_Exp[Worker Type],$D53,Dermal_Exp[OES],$C53),SUMIFS(Dermal_Exp[Central Tendency LADD (mg/kg-day)],Dermal_Exp[Worker Type],$D53,Dermal_Exp[OES],$C53))</f>
        <v>9.3958552862662462E-4</v>
      </c>
      <c r="N53" s="314">
        <f t="shared" si="5"/>
        <v>1.253925</v>
      </c>
      <c r="O53" s="314">
        <f t="shared" si="2"/>
        <v>0.91954499999999995</v>
      </c>
      <c r="P53" s="314">
        <f t="shared" si="3"/>
        <v>0.85885273972602738</v>
      </c>
      <c r="Q53" s="314">
        <f t="shared" si="4"/>
        <v>0.44043730242360379</v>
      </c>
    </row>
    <row r="54" spans="3:17">
      <c r="C54" s="313" t="str" cm="1">
        <f t="array" ref="C54">INDEX('List Values'!$B$2:$B$18,(1+ROUNDDOWN((ROW()-ROW($C$5))*1/6,2)))</f>
        <v>Use of Dyes, Pigments, and Fixing Agents</v>
      </c>
      <c r="D54" s="313" t="s">
        <v>74</v>
      </c>
      <c r="E54" s="313" t="s">
        <v>93</v>
      </c>
      <c r="F54" s="210">
        <f>IF(E54="High-End",SUMIFS(Inhalation_Exp[24hr_High-End],Inhalation_Exp[OES],$C54,Inhalation_Exp[Worker Type],$D54),SUMIFS(Inhalation_Exp[24hr_Central Tendency],Inhalation_Exp[OES],$C54,Inhalation_Exp[Worker Type],$D54))</f>
        <v>0.20874999999999999</v>
      </c>
      <c r="G54" s="210">
        <f>IF(E54="High-End",SUMIFS(Inhalation_Exp[Int_High-End],Inhalation_Exp[OES],$C54,Inhalation_Exp[Worker Type],$D54),SUMIFS(Inhalation_Exp[Int_Central Tendency],Inhalation_Exp[OES],$C54,Inhalation_Exp[Worker Type],$D54))</f>
        <v>0.15308333333333332</v>
      </c>
      <c r="H54" s="210">
        <f>IF(E54="High-End",SUMIFS(Inhalation_Exp[ADD_High-End],Inhalation_Exp[OES],$C54,Inhalation_Exp[Worker Type],$D54),SUMIFS(Inhalation_Exp[ADD_Central Tendency],Inhalation_Exp[OES],$C54,Inhalation_Exp[Worker Type],$D54))</f>
        <v>0.14297945205479451</v>
      </c>
      <c r="I54" s="210">
        <f>IF(E54="High-End",SUMIFS(Inhalation_Exp[LADD_High-End],Inhalation_Exp[OES],$C54,Inhalation_Exp[Worker Type],$D54),SUMIFS(Inhalation_Exp[LADD_Central Tendency],Inhalation_Exp[OES],$C54,Inhalation_Exp[Worker Type],$D54))</f>
        <v>5.682516684229013E-2</v>
      </c>
      <c r="J54" s="282">
        <f>IF($E54="High-End",SUMIFS(Dermal_Exp[High-End AD (mg/kg-day)],Dermal_Exp[Worker Type],$D54,Dermal_Exp[OES],$C54),SUMIFS(Dermal_Exp[Central Tendency AD (mg/kg-day)],Dermal_Exp[Worker Type],$D54,Dermal_Exp[OES],$C54))</f>
        <v>1.3375000000000001E-3</v>
      </c>
      <c r="K54" s="282">
        <f>IF($E54="High-End",SUMIFS(Dermal_Exp[High-End IADD (mg/kg-day)],Dermal_Exp[Worker Type],$D54,Dermal_Exp[OES],$C54),SUMIFS(Dermal_Exp[Central Tendency IADD (mg/kg-day)],Dermal_Exp[Worker Type],$D54,Dermal_Exp[OES],$C54))</f>
        <v>9.8083333333333334E-4</v>
      </c>
      <c r="L54" s="282">
        <f>IF($E54="High-End",SUMIFS(Dermal_Exp[High-End ADD (mg/kg-day)],Dermal_Exp[Worker Type],$D54,Dermal_Exp[OES],$C54),SUMIFS(Dermal_Exp[Central Tendency ADD (mg/kg-day)],Dermal_Exp[Worker Type],$D54,Dermal_Exp[OES],$C54))</f>
        <v>9.1609589041095907E-4</v>
      </c>
      <c r="M54" s="282">
        <f>IF($E54="High-End",SUMIFS(Dermal_Exp[High-End LADD (mg/kg-day)],Dermal_Exp[Worker Type],$D54,Dermal_Exp[OES],$C54),SUMIFS(Dermal_Exp[Central Tendency LADD (mg/kg-day)],Dermal_Exp[Worker Type],$D54,Dermal_Exp[OES],$C54))</f>
        <v>3.6408939234281704E-4</v>
      </c>
      <c r="N54" s="314">
        <f t="shared" si="5"/>
        <v>0.21008749999999998</v>
      </c>
      <c r="O54" s="314">
        <f t="shared" si="2"/>
        <v>0.15406416666666664</v>
      </c>
      <c r="P54" s="314">
        <f t="shared" si="3"/>
        <v>0.14389554794520548</v>
      </c>
      <c r="Q54" s="314">
        <f t="shared" si="4"/>
        <v>5.7189256234632946E-2</v>
      </c>
    </row>
    <row r="55" spans="3:17">
      <c r="C55" s="313" t="str" cm="1">
        <f t="array" ref="C55">INDEX('List Values'!$B$2:$B$18,(1+ROUNDDOWN((ROW()-ROW($C$5))*1/6,2)))</f>
        <v>Use of Dyes, Pigments, and Fixing Agents</v>
      </c>
      <c r="D55" s="313" t="s">
        <v>206</v>
      </c>
      <c r="E55" s="313" t="s">
        <v>92</v>
      </c>
      <c r="F55" s="210">
        <f>IF(E55="High-End",SUMIFS(Inhalation_Exp[24hr_High-End],Inhalation_Exp[OES],$C55,Inhalation_Exp[Worker Type],$D55),SUMIFS(Inhalation_Exp[24hr_Central Tendency],Inhalation_Exp[OES],$C55,Inhalation_Exp[Worker Type],$D55))</f>
        <v>1.3821194338971348</v>
      </c>
      <c r="G55" s="210">
        <f>IF(E55="High-End",SUMIFS(Inhalation_Exp[Int_High-End],Inhalation_Exp[OES],$C55,Inhalation_Exp[Worker Type],$D55),SUMIFS(Inhalation_Exp[Int_Central Tendency],Inhalation_Exp[OES],$C55,Inhalation_Exp[Worker Type],$D55))</f>
        <v>1.0135542515245655</v>
      </c>
      <c r="H55" s="210">
        <f>IF(E55="High-End",SUMIFS(Inhalation_Exp[ADD_High-End],Inhalation_Exp[OES],$C55,Inhalation_Exp[Worker Type],$D55),SUMIFS(Inhalation_Exp[ADD_Central Tendency],Inhalation_Exp[OES],$C55,Inhalation_Exp[Worker Type],$D55))</f>
        <v>0.94665714650488675</v>
      </c>
      <c r="I55" s="210">
        <f>IF(E55="High-End",SUMIFS(Inhalation_Exp[LADD_High-End],Inhalation_Exp[OES],$C55,Inhalation_Exp[Worker Type],$D55),SUMIFS(Inhalation_Exp[LADD_Central Tendency],Inhalation_Exp[OES],$C55,Inhalation_Exp[Worker Type],$D55))</f>
        <v>0.48546520333583937</v>
      </c>
      <c r="J55" s="282">
        <f>IF($E55="High-End",SUMIFS(Dermal_Exp[High-End AD (mg/kg-day)],Dermal_Exp[Worker Type],$D55,Dermal_Exp[OES],$C55),SUMIFS(Dermal_Exp[Central Tendency AD (mg/kg-day)],Dermal_Exp[Worker Type],$D55,Dermal_Exp[OES],$C55))</f>
        <v>2.4577148774594408E-3</v>
      </c>
      <c r="K55" s="282">
        <f>IF($E55="High-End",SUMIFS(Dermal_Exp[High-End IADD (mg/kg-day)],Dermal_Exp[Worker Type],$D55,Dermal_Exp[OES],$C55),SUMIFS(Dermal_Exp[Central Tendency IADD (mg/kg-day)],Dermal_Exp[Worker Type],$D55,Dermal_Exp[OES],$C55))</f>
        <v>1.8023242434702564E-3</v>
      </c>
      <c r="L55" s="282">
        <f>IF($E55="High-End",SUMIFS(Dermal_Exp[High-End ADD (mg/kg-day)],Dermal_Exp[Worker Type],$D55,Dermal_Exp[OES],$C55),SUMIFS(Dermal_Exp[Central Tendency ADD (mg/kg-day)],Dermal_Exp[Worker Type],$D55,Dermal_Exp[OES],$C55))</f>
        <v>1.6833663544242746E-3</v>
      </c>
      <c r="M55" s="282">
        <f>IF($E55="High-End",SUMIFS(Dermal_Exp[High-End LADD (mg/kg-day)],Dermal_Exp[Worker Type],$D55,Dermal_Exp[OES],$C55),SUMIFS(Dermal_Exp[Central Tendency LADD (mg/kg-day)],Dermal_Exp[Worker Type],$D55,Dermal_Exp[OES],$C55))</f>
        <v>8.632647971406536E-4</v>
      </c>
      <c r="N55" s="314">
        <f t="shared" si="5"/>
        <v>1.3845771487745941</v>
      </c>
      <c r="O55" s="314">
        <f t="shared" si="2"/>
        <v>1.0153565757680356</v>
      </c>
      <c r="P55" s="314">
        <f t="shared" si="3"/>
        <v>0.94834051285931098</v>
      </c>
      <c r="Q55" s="314">
        <f t="shared" si="4"/>
        <v>0.48632846813298003</v>
      </c>
    </row>
    <row r="56" spans="3:17">
      <c r="C56" s="313" t="str" cm="1">
        <f t="array" ref="C56">INDEX('List Values'!$B$2:$B$18,(1+ROUNDDOWN((ROW()-ROW($C$5))*1/6,2)))</f>
        <v>Use of Dyes, Pigments, and Fixing Agents</v>
      </c>
      <c r="D56" s="313" t="s">
        <v>206</v>
      </c>
      <c r="E56" s="313" t="s">
        <v>93</v>
      </c>
      <c r="F56" s="210">
        <f>IF(E56="High-End",SUMIFS(Inhalation_Exp[24hr_High-End],Inhalation_Exp[OES],$C56,Inhalation_Exp[Worker Type],$D56),SUMIFS(Inhalation_Exp[24hr_Central Tendency],Inhalation_Exp[OES],$C56,Inhalation_Exp[Worker Type],$D56))</f>
        <v>0.23058336209872277</v>
      </c>
      <c r="G56" s="210">
        <f>IF(E56="High-End",SUMIFS(Inhalation_Exp[Int_High-End],Inhalation_Exp[OES],$C56,Inhalation_Exp[Worker Type],$D56),SUMIFS(Inhalation_Exp[Int_Central Tendency],Inhalation_Exp[OES],$C56,Inhalation_Exp[Worker Type],$D56))</f>
        <v>0.16909446553906335</v>
      </c>
      <c r="H56" s="210">
        <f>IF(E56="High-End",SUMIFS(Inhalation_Exp[ADD_High-End],Inhalation_Exp[OES],$C56,Inhalation_Exp[Worker Type],$D56),SUMIFS(Inhalation_Exp[ADD_Central Tendency],Inhalation_Exp[OES],$C56,Inhalation_Exp[Worker Type],$D56))</f>
        <v>0.15793380965665943</v>
      </c>
      <c r="I56" s="210">
        <f>IF(E56="High-End",SUMIFS(Inhalation_Exp[LADD_High-End],Inhalation_Exp[OES],$C56,Inhalation_Exp[Worker Type],$D56),SUMIFS(Inhalation_Exp[LADD_Central Tendency],Inhalation_Exp[OES],$C56,Inhalation_Exp[Worker Type],$D56))</f>
        <v>6.2768565376364646E-2</v>
      </c>
      <c r="J56" s="282">
        <f>IF($E56="High-End",SUMIFS(Dermal_Exp[High-End AD (mg/kg-day)],Dermal_Exp[Worker Type],$D56,Dermal_Exp[OES],$C56),SUMIFS(Dermal_Exp[Central Tendency AD (mg/kg-day)],Dermal_Exp[Worker Type],$D56,Dermal_Exp[OES],$C56))</f>
        <v>1.2288574387297204E-3</v>
      </c>
      <c r="K56" s="282">
        <f>IF($E56="High-End",SUMIFS(Dermal_Exp[High-End IADD (mg/kg-day)],Dermal_Exp[Worker Type],$D56,Dermal_Exp[OES],$C56),SUMIFS(Dermal_Exp[Central Tendency IADD (mg/kg-day)],Dermal_Exp[Worker Type],$D56,Dermal_Exp[OES],$C56))</f>
        <v>9.0116212173512822E-4</v>
      </c>
      <c r="L56" s="282">
        <f>IF($E56="High-End",SUMIFS(Dermal_Exp[High-End ADD (mg/kg-day)],Dermal_Exp[Worker Type],$D56,Dermal_Exp[OES],$C56),SUMIFS(Dermal_Exp[Central Tendency ADD (mg/kg-day)],Dermal_Exp[Worker Type],$D56,Dermal_Exp[OES],$C56))</f>
        <v>8.416831772121373E-4</v>
      </c>
      <c r="M56" s="282">
        <f>IF($E56="High-End",SUMIFS(Dermal_Exp[High-End LADD (mg/kg-day)],Dermal_Exp[Worker Type],$D56,Dermal_Exp[OES],$C56),SUMIFS(Dermal_Exp[Central Tendency LADD (mg/kg-day)],Dermal_Exp[Worker Type],$D56,Dermal_Exp[OES],$C56))</f>
        <v>3.3451510889200329E-4</v>
      </c>
      <c r="N56" s="314">
        <f t="shared" si="5"/>
        <v>0.23181221953745249</v>
      </c>
      <c r="O56" s="314">
        <f t="shared" si="2"/>
        <v>0.16999562766079848</v>
      </c>
      <c r="P56" s="314">
        <f t="shared" si="3"/>
        <v>0.15877549283387157</v>
      </c>
      <c r="Q56" s="314">
        <f t="shared" si="4"/>
        <v>6.3103080485256646E-2</v>
      </c>
    </row>
    <row r="57" spans="3:17">
      <c r="C57" s="313" t="str" cm="1">
        <f t="array" ref="C57">INDEX('List Values'!$B$2:$B$18,(1+ROUNDDOWN((ROW()-ROW($C$5))*1/6,2)))</f>
        <v>Use of Dyes, Pigments, and Fixing Agents</v>
      </c>
      <c r="D57" s="313" t="s">
        <v>94</v>
      </c>
      <c r="E57" s="313" t="s">
        <v>92</v>
      </c>
      <c r="F57" s="210">
        <f>IF(E57="High-End",SUMIFS(Inhalation_Exp[24hr_High-End],Inhalation_Exp[OES],$C57,Inhalation_Exp[Worker Type],$D57),SUMIFS(Inhalation_Exp[24hr_Central Tendency],Inhalation_Exp[OES],$C57,Inhalation_Exp[Worker Type],$D57))</f>
        <v>0.20874999999999999</v>
      </c>
      <c r="G57" s="210">
        <f>IF(E57="High-End",SUMIFS(Inhalation_Exp[Int_High-End],Inhalation_Exp[OES],$C57,Inhalation_Exp[Worker Type],$D57),SUMIFS(Inhalation_Exp[Int_Central Tendency],Inhalation_Exp[OES],$C57,Inhalation_Exp[Worker Type],$D57))</f>
        <v>0.15308333333333332</v>
      </c>
      <c r="H57" s="210">
        <f>IF(E57="High-End",SUMIFS(Inhalation_Exp[ADD_High-End],Inhalation_Exp[OES],$C57,Inhalation_Exp[Worker Type],$D57),SUMIFS(Inhalation_Exp[ADD_Central Tendency],Inhalation_Exp[OES],$C57,Inhalation_Exp[Worker Type],$D57))</f>
        <v>0.14297945205479451</v>
      </c>
      <c r="I57" s="210">
        <f>IF(E57="High-End",SUMIFS(Inhalation_Exp[LADD_High-End],Inhalation_Exp[OES],$C57,Inhalation_Exp[Worker Type],$D57),SUMIFS(Inhalation_Exp[LADD_Central Tendency],Inhalation_Exp[OES],$C57,Inhalation_Exp[Worker Type],$D57))</f>
        <v>7.3322795925535658E-2</v>
      </c>
      <c r="J57" s="282">
        <f>IF($E57="High-End",SUMIFS(Dermal_Exp[High-End AD (mg/kg-day)],Dermal_Exp[Worker Type],$D57,Dermal_Exp[OES],$C57),SUMIFS(Dermal_Exp[Central Tendency AD (mg/kg-day)],Dermal_Exp[Worker Type],$D57,Dermal_Exp[OES],$C57))</f>
        <v>0</v>
      </c>
      <c r="K57" s="282">
        <f>IF($E57="High-End",SUMIFS(Dermal_Exp[High-End IADD (mg/kg-day)],Dermal_Exp[Worker Type],$D57,Dermal_Exp[OES],$C57),SUMIFS(Dermal_Exp[Central Tendency IADD (mg/kg-day)],Dermal_Exp[Worker Type],$D57,Dermal_Exp[OES],$C57))</f>
        <v>0</v>
      </c>
      <c r="L57" s="282">
        <f>IF($E57="High-End",SUMIFS(Dermal_Exp[High-End ADD (mg/kg-day)],Dermal_Exp[Worker Type],$D57,Dermal_Exp[OES],$C57),SUMIFS(Dermal_Exp[Central Tendency ADD (mg/kg-day)],Dermal_Exp[Worker Type],$D57,Dermal_Exp[OES],$C57))</f>
        <v>0</v>
      </c>
      <c r="M57" s="282">
        <f>IF($E57="High-End",SUMIFS(Dermal_Exp[High-End LADD (mg/kg-day)],Dermal_Exp[Worker Type],$D57,Dermal_Exp[OES],$C57),SUMIFS(Dermal_Exp[Central Tendency LADD (mg/kg-day)],Dermal_Exp[Worker Type],$D57,Dermal_Exp[OES],$C57))</f>
        <v>0</v>
      </c>
      <c r="N57" s="314">
        <f t="shared" si="5"/>
        <v>0.20874999999999999</v>
      </c>
      <c r="O57" s="314">
        <f t="shared" si="2"/>
        <v>0.15308333333333332</v>
      </c>
      <c r="P57" s="314">
        <f t="shared" si="3"/>
        <v>0.14297945205479451</v>
      </c>
      <c r="Q57" s="314">
        <f t="shared" si="4"/>
        <v>7.3322795925535658E-2</v>
      </c>
    </row>
    <row r="58" spans="3:17">
      <c r="C58" s="313" t="str" cm="1">
        <f t="array" ref="C58">INDEX('List Values'!$B$2:$B$18,(1+ROUNDDOWN((ROW()-ROW($C$5))*1/6,2)))</f>
        <v>Use of Dyes, Pigments, and Fixing Agents</v>
      </c>
      <c r="D58" s="313" t="s">
        <v>94</v>
      </c>
      <c r="E58" s="313" t="s">
        <v>93</v>
      </c>
      <c r="F58" s="210">
        <f>IF(E58="High-End",SUMIFS(Inhalation_Exp[24hr_High-End],Inhalation_Exp[OES],$C58,Inhalation_Exp[Worker Type],$D58),SUMIFS(Inhalation_Exp[24hr_Central Tendency],Inhalation_Exp[OES],$C58,Inhalation_Exp[Worker Type],$D58))</f>
        <v>0.20874999999999999</v>
      </c>
      <c r="G58" s="210">
        <f>IF(E58="High-End",SUMIFS(Inhalation_Exp[Int_High-End],Inhalation_Exp[OES],$C58,Inhalation_Exp[Worker Type],$D58),SUMIFS(Inhalation_Exp[Int_Central Tendency],Inhalation_Exp[OES],$C58,Inhalation_Exp[Worker Type],$D58))</f>
        <v>0.15308333333333332</v>
      </c>
      <c r="H58" s="210">
        <f>IF(E58="High-End",SUMIFS(Inhalation_Exp[ADD_High-End],Inhalation_Exp[OES],$C58,Inhalation_Exp[Worker Type],$D58),SUMIFS(Inhalation_Exp[ADD_Central Tendency],Inhalation_Exp[OES],$C58,Inhalation_Exp[Worker Type],$D58))</f>
        <v>0.14297945205479451</v>
      </c>
      <c r="I58" s="210">
        <f>IF(E58="High-End",SUMIFS(Inhalation_Exp[LADD_High-End],Inhalation_Exp[OES],$C58,Inhalation_Exp[Worker Type],$D58),SUMIFS(Inhalation_Exp[LADD_Central Tendency],Inhalation_Exp[OES],$C58,Inhalation_Exp[Worker Type],$D58))</f>
        <v>5.682516684229013E-2</v>
      </c>
      <c r="J58" s="282">
        <f>IF($E58="High-End",SUMIFS(Dermal_Exp[High-End AD (mg/kg-day)],Dermal_Exp[Worker Type],$D58,Dermal_Exp[OES],$C58),SUMIFS(Dermal_Exp[Central Tendency AD (mg/kg-day)],Dermal_Exp[Worker Type],$D58,Dermal_Exp[OES],$C58))</f>
        <v>0</v>
      </c>
      <c r="K58" s="282">
        <f>IF($E58="High-End",SUMIFS(Dermal_Exp[High-End IADD (mg/kg-day)],Dermal_Exp[Worker Type],$D58,Dermal_Exp[OES],$C58),SUMIFS(Dermal_Exp[Central Tendency IADD (mg/kg-day)],Dermal_Exp[Worker Type],$D58,Dermal_Exp[OES],$C58))</f>
        <v>0</v>
      </c>
      <c r="L58" s="282">
        <f>IF($E58="High-End",SUMIFS(Dermal_Exp[High-End ADD (mg/kg-day)],Dermal_Exp[Worker Type],$D58,Dermal_Exp[OES],$C58),SUMIFS(Dermal_Exp[Central Tendency ADD (mg/kg-day)],Dermal_Exp[Worker Type],$D58,Dermal_Exp[OES],$C58))</f>
        <v>0</v>
      </c>
      <c r="M58" s="282">
        <f>IF($E58="High-End",SUMIFS(Dermal_Exp[High-End LADD (mg/kg-day)],Dermal_Exp[Worker Type],$D58,Dermal_Exp[OES],$C58),SUMIFS(Dermal_Exp[Central Tendency LADD (mg/kg-day)],Dermal_Exp[Worker Type],$D58,Dermal_Exp[OES],$C58))</f>
        <v>0</v>
      </c>
      <c r="N58" s="314">
        <f t="shared" si="5"/>
        <v>0.20874999999999999</v>
      </c>
      <c r="O58" s="314">
        <f t="shared" si="2"/>
        <v>0.15308333333333332</v>
      </c>
      <c r="P58" s="314">
        <f t="shared" si="3"/>
        <v>0.14297945205479451</v>
      </c>
      <c r="Q58" s="314">
        <f t="shared" si="4"/>
        <v>5.682516684229013E-2</v>
      </c>
    </row>
    <row r="59" spans="3:17">
      <c r="C59" s="313" t="str" cm="1">
        <f t="array" ref="C59">INDEX('List Values'!$B$2:$B$18,(1+ROUNDDOWN((ROW()-ROW($C$5))*1/6,2)))</f>
        <v>Use of Automotive Care Products</v>
      </c>
      <c r="D59" s="313" t="s">
        <v>74</v>
      </c>
      <c r="E59" s="308" t="s">
        <v>92</v>
      </c>
      <c r="F59" s="210">
        <f>IF(E59="High-End",SUMIFS(Inhalation_Exp[24hr_High-End],Inhalation_Exp[OES],$C59,Inhalation_Exp[Worker Type],$D59),SUMIFS(Inhalation_Exp[24hr_Central Tendency],Inhalation_Exp[OES],$C59,Inhalation_Exp[Worker Type],$D59))</f>
        <v>1.3750000000000002E-2</v>
      </c>
      <c r="G59" s="210">
        <f>IF(E59="High-End",SUMIFS(Inhalation_Exp[Int_High-End],Inhalation_Exp[OES],$C59,Inhalation_Exp[Worker Type],$D59),SUMIFS(Inhalation_Exp[Int_Central Tendency],Inhalation_Exp[OES],$C59,Inhalation_Exp[Worker Type],$D59))</f>
        <v>1.0083333333333335E-2</v>
      </c>
      <c r="H59" s="210">
        <f>IF(E59="High-End",SUMIFS(Inhalation_Exp[ADD_High-End],Inhalation_Exp[OES],$C59,Inhalation_Exp[Worker Type],$D59),SUMIFS(Inhalation_Exp[ADD_Central Tendency],Inhalation_Exp[OES],$C59,Inhalation_Exp[Worker Type],$D59))</f>
        <v>9.4178082191780834E-3</v>
      </c>
      <c r="I59" s="210">
        <f>IF(E59="High-End",SUMIFS(Inhalation_Exp[LADD_High-End],Inhalation_Exp[OES],$C59,Inhalation_Exp[Worker Type],$D59),SUMIFS(Inhalation_Exp[LADD_Central Tendency],Inhalation_Exp[OES],$C59,Inhalation_Exp[Worker Type],$D59))</f>
        <v>4.8296452406041456E-3</v>
      </c>
      <c r="J59" s="282">
        <f>IF($E59="High-End",SUMIFS(Dermal_Exp[High-End AD (mg/kg-day)],Dermal_Exp[Worker Type],$D59,Dermal_Exp[OES],$C59),SUMIFS(Dermal_Exp[Central Tendency AD (mg/kg-day)],Dermal_Exp[Worker Type],$D59,Dermal_Exp[OES],$C59))</f>
        <v>2.6750000000000003E-3</v>
      </c>
      <c r="K59" s="282">
        <f>IF($E59="High-End",SUMIFS(Dermal_Exp[High-End IADD (mg/kg-day)],Dermal_Exp[Worker Type],$D59,Dermal_Exp[OES],$C59),SUMIFS(Dermal_Exp[Central Tendency IADD (mg/kg-day)],Dermal_Exp[Worker Type],$D59,Dermal_Exp[OES],$C59))</f>
        <v>1.9616666666666667E-3</v>
      </c>
      <c r="L59" s="282">
        <f>IF($E59="High-End",SUMIFS(Dermal_Exp[High-End ADD (mg/kg-day)],Dermal_Exp[Worker Type],$D59,Dermal_Exp[OES],$C59),SUMIFS(Dermal_Exp[Central Tendency ADD (mg/kg-day)],Dermal_Exp[Worker Type],$D59,Dermal_Exp[OES],$C59))</f>
        <v>1.8321917808219181E-3</v>
      </c>
      <c r="M59" s="282">
        <f>IF($E59="High-End",SUMIFS(Dermal_Exp[High-End LADD (mg/kg-day)],Dermal_Exp[Worker Type],$D59,Dermal_Exp[OES],$C59),SUMIFS(Dermal_Exp[Central Tendency LADD (mg/kg-day)],Dermal_Exp[Worker Type],$D59,Dermal_Exp[OES],$C59))</f>
        <v>9.3958552862662462E-4</v>
      </c>
      <c r="N59" s="314">
        <f t="shared" si="5"/>
        <v>1.6425000000000002E-2</v>
      </c>
      <c r="O59" s="314">
        <f t="shared" si="2"/>
        <v>1.2045000000000002E-2</v>
      </c>
      <c r="P59" s="314">
        <f t="shared" si="3"/>
        <v>1.1250000000000001E-2</v>
      </c>
      <c r="Q59" s="314">
        <f t="shared" si="4"/>
        <v>5.7692307692307704E-3</v>
      </c>
    </row>
    <row r="60" spans="3:17">
      <c r="C60" s="313" t="str" cm="1">
        <f t="array" ref="C60">INDEX('List Values'!$B$2:$B$18,(1+ROUNDDOWN((ROW()-ROW($C$5))*1/6,2)))</f>
        <v>Use of Automotive Care Products</v>
      </c>
      <c r="D60" s="313" t="s">
        <v>74</v>
      </c>
      <c r="E60" s="313" t="s">
        <v>93</v>
      </c>
      <c r="F60" s="210">
        <f>IF(E60="High-End",SUMIFS(Inhalation_Exp[24hr_High-End],Inhalation_Exp[OES],$C60,Inhalation_Exp[Worker Type],$D60),SUMIFS(Inhalation_Exp[24hr_Central Tendency],Inhalation_Exp[OES],$C60,Inhalation_Exp[Worker Type],$D60))</f>
        <v>6.8750000000000009E-3</v>
      </c>
      <c r="G60" s="210">
        <f>IF(E60="High-End",SUMIFS(Inhalation_Exp[Int_High-End],Inhalation_Exp[OES],$C60,Inhalation_Exp[Worker Type],$D60),SUMIFS(Inhalation_Exp[Int_Central Tendency],Inhalation_Exp[OES],$C60,Inhalation_Exp[Worker Type],$D60))</f>
        <v>5.0416666666666674E-3</v>
      </c>
      <c r="H60" s="210">
        <f>IF(E60="High-End",SUMIFS(Inhalation_Exp[ADD_High-End],Inhalation_Exp[OES],$C60,Inhalation_Exp[Worker Type],$D60),SUMIFS(Inhalation_Exp[ADD_Central Tendency],Inhalation_Exp[OES],$C60,Inhalation_Exp[Worker Type],$D60))</f>
        <v>4.426369863013699E-3</v>
      </c>
      <c r="I60" s="210">
        <f>IF(E60="High-End",SUMIFS(Inhalation_Exp[LADD_High-End],Inhalation_Exp[OES],$C60,Inhalation_Exp[Worker Type],$D60),SUMIFS(Inhalation_Exp[LADD_Central Tendency],Inhalation_Exp[OES],$C60,Inhalation_Exp[Worker Type],$D60))</f>
        <v>1.7591982788900599E-3</v>
      </c>
      <c r="J60" s="282">
        <f>IF($E60="High-End",SUMIFS(Dermal_Exp[High-End AD (mg/kg-day)],Dermal_Exp[Worker Type],$D60,Dermal_Exp[OES],$C60),SUMIFS(Dermal_Exp[Central Tendency AD (mg/kg-day)],Dermal_Exp[Worker Type],$D60,Dermal_Exp[OES],$C60))</f>
        <v>1.3375000000000001E-3</v>
      </c>
      <c r="K60" s="282">
        <f>IF($E60="High-End",SUMIFS(Dermal_Exp[High-End IADD (mg/kg-day)],Dermal_Exp[Worker Type],$D60,Dermal_Exp[OES],$C60),SUMIFS(Dermal_Exp[Central Tendency IADD (mg/kg-day)],Dermal_Exp[Worker Type],$D60,Dermal_Exp[OES],$C60))</f>
        <v>9.8083333333333334E-4</v>
      </c>
      <c r="L60" s="282">
        <f>IF($E60="High-End",SUMIFS(Dermal_Exp[High-End ADD (mg/kg-day)],Dermal_Exp[Worker Type],$D60,Dermal_Exp[OES],$C60),SUMIFS(Dermal_Exp[Central Tendency ADD (mg/kg-day)],Dermal_Exp[Worker Type],$D60,Dermal_Exp[OES],$C60))</f>
        <v>8.6113013698630152E-4</v>
      </c>
      <c r="M60" s="282">
        <f>IF($E60="High-End",SUMIFS(Dermal_Exp[High-End LADD (mg/kg-day)],Dermal_Exp[Worker Type],$D60,Dermal_Exp[OES],$C60),SUMIFS(Dermal_Exp[Central Tendency LADD (mg/kg-day)],Dermal_Exp[Worker Type],$D60,Dermal_Exp[OES],$C60))</f>
        <v>3.4224402880224803E-4</v>
      </c>
      <c r="N60" s="314">
        <f t="shared" si="5"/>
        <v>8.212500000000001E-3</v>
      </c>
      <c r="O60" s="314">
        <f t="shared" si="2"/>
        <v>6.0225000000000009E-3</v>
      </c>
      <c r="P60" s="314">
        <f t="shared" si="3"/>
        <v>5.2875000000000005E-3</v>
      </c>
      <c r="Q60" s="314">
        <f t="shared" si="4"/>
        <v>2.1014423076923081E-3</v>
      </c>
    </row>
    <row r="61" spans="3:17">
      <c r="C61" s="313" t="str" cm="1">
        <f t="array" ref="C61">INDEX('List Values'!$B$2:$B$18,(1+ROUNDDOWN((ROW()-ROW($C$5))*1/6,2)))</f>
        <v>Use of Automotive Care Products</v>
      </c>
      <c r="D61" s="313" t="s">
        <v>206</v>
      </c>
      <c r="E61" s="313" t="s">
        <v>92</v>
      </c>
      <c r="F61" s="210">
        <f>IF(E61="High-End",SUMIFS(Inhalation_Exp[24hr_High-End],Inhalation_Exp[OES],$C61,Inhalation_Exp[Worker Type],$D61),SUMIFS(Inhalation_Exp[24hr_Central Tendency],Inhalation_Exp[OES],$C61,Inhalation_Exp[Worker Type],$D61))</f>
        <v>1.5188125647221263E-2</v>
      </c>
      <c r="G61" s="210">
        <f>IF(E61="High-End",SUMIFS(Inhalation_Exp[Int_High-End],Inhalation_Exp[OES],$C61,Inhalation_Exp[Worker Type],$D61),SUMIFS(Inhalation_Exp[Int_Central Tendency],Inhalation_Exp[OES],$C61,Inhalation_Exp[Worker Type],$D61))</f>
        <v>1.1137958807962259E-2</v>
      </c>
      <c r="H61" s="210">
        <f>IF(E61="High-End",SUMIFS(Inhalation_Exp[ADD_High-End],Inhalation_Exp[OES],$C61,Inhalation_Exp[Worker Type],$D61),SUMIFS(Inhalation_Exp[ADD_Central Tendency],Inhalation_Exp[OES],$C61,Inhalation_Exp[Worker Type],$D61))</f>
        <v>1.0402825785767986E-2</v>
      </c>
      <c r="I61" s="210">
        <f>IF(E61="High-End",SUMIFS(Inhalation_Exp[LADD_High-End],Inhalation_Exp[OES],$C61,Inhalation_Exp[Worker Type],$D61),SUMIFS(Inhalation_Exp[LADD_Central Tendency],Inhalation_Exp[OES],$C61,Inhalation_Exp[Worker Type],$D61))</f>
        <v>5.3347824542399934E-3</v>
      </c>
      <c r="J61" s="282">
        <f>IF($E61="High-End",SUMIFS(Dermal_Exp[High-End AD (mg/kg-day)],Dermal_Exp[Worker Type],$D61,Dermal_Exp[OES],$C61),SUMIFS(Dermal_Exp[Central Tendency AD (mg/kg-day)],Dermal_Exp[Worker Type],$D61,Dermal_Exp[OES],$C61))</f>
        <v>2.4577148774594408E-3</v>
      </c>
      <c r="K61" s="282">
        <f>IF($E61="High-End",SUMIFS(Dermal_Exp[High-End IADD (mg/kg-day)],Dermal_Exp[Worker Type],$D61,Dermal_Exp[OES],$C61),SUMIFS(Dermal_Exp[Central Tendency IADD (mg/kg-day)],Dermal_Exp[Worker Type],$D61,Dermal_Exp[OES],$C61))</f>
        <v>1.8023242434702564E-3</v>
      </c>
      <c r="L61" s="282">
        <f>IF($E61="High-End",SUMIFS(Dermal_Exp[High-End ADD (mg/kg-day)],Dermal_Exp[Worker Type],$D61,Dermal_Exp[OES],$C61),SUMIFS(Dermal_Exp[Central Tendency ADD (mg/kg-day)],Dermal_Exp[Worker Type],$D61,Dermal_Exp[OES],$C61))</f>
        <v>1.6833663544242746E-3</v>
      </c>
      <c r="M61" s="282">
        <f>IF($E61="High-End",SUMIFS(Dermal_Exp[High-End LADD (mg/kg-day)],Dermal_Exp[Worker Type],$D61,Dermal_Exp[OES],$C61),SUMIFS(Dermal_Exp[Central Tendency LADD (mg/kg-day)],Dermal_Exp[Worker Type],$D61,Dermal_Exp[OES],$C61))</f>
        <v>8.632647971406536E-4</v>
      </c>
      <c r="N61" s="314">
        <f t="shared" si="5"/>
        <v>1.7645840524680705E-2</v>
      </c>
      <c r="O61" s="314">
        <f t="shared" si="2"/>
        <v>1.2940283051432517E-2</v>
      </c>
      <c r="P61" s="314">
        <f t="shared" si="3"/>
        <v>1.2086192140192261E-2</v>
      </c>
      <c r="Q61" s="314">
        <f t="shared" si="4"/>
        <v>6.1980472513806471E-3</v>
      </c>
    </row>
    <row r="62" spans="3:17">
      <c r="C62" s="313" t="str" cm="1">
        <f t="array" ref="C62">INDEX('List Values'!$B$2:$B$18,(1+ROUNDDOWN((ROW()-ROW($C$5))*1/6,2)))</f>
        <v>Use of Automotive Care Products</v>
      </c>
      <c r="D62" s="313" t="s">
        <v>206</v>
      </c>
      <c r="E62" s="313" t="s">
        <v>93</v>
      </c>
      <c r="F62" s="210">
        <f>IF(E62="High-End",SUMIFS(Inhalation_Exp[24hr_High-End],Inhalation_Exp[OES],$C62,Inhalation_Exp[Worker Type],$D62),SUMIFS(Inhalation_Exp[24hr_Central Tendency],Inhalation_Exp[OES],$C62,Inhalation_Exp[Worker Type],$D62))</f>
        <v>7.5940628236106315E-3</v>
      </c>
      <c r="G62" s="210">
        <f>IF(E62="High-End",SUMIFS(Inhalation_Exp[Int_High-End],Inhalation_Exp[OES],$C62,Inhalation_Exp[Worker Type],$D62),SUMIFS(Inhalation_Exp[Int_Central Tendency],Inhalation_Exp[OES],$C62,Inhalation_Exp[Worker Type],$D62))</f>
        <v>5.5689794039811297E-3</v>
      </c>
      <c r="H62" s="210">
        <f>IF(E62="High-End",SUMIFS(Inhalation_Exp[ADD_High-End],Inhalation_Exp[OES],$C62,Inhalation_Exp[Worker Type],$D62),SUMIFS(Inhalation_Exp[ADD_Central Tendency],Inhalation_Exp[OES],$C62,Inhalation_Exp[Worker Type],$D62))</f>
        <v>4.8893281193109544E-3</v>
      </c>
      <c r="I62" s="210">
        <f>IF(E62="High-End",SUMIFS(Inhalation_Exp[LADD_High-End],Inhalation_Exp[OES],$C62,Inhalation_Exp[Worker Type],$D62),SUMIFS(Inhalation_Exp[LADD_Central Tendency],Inhalation_Exp[OES],$C62,Inhalation_Exp[Worker Type],$D62))</f>
        <v>1.9431945089569177E-3</v>
      </c>
      <c r="J62" s="282">
        <f>IF($E62="High-End",SUMIFS(Dermal_Exp[High-End AD (mg/kg-day)],Dermal_Exp[Worker Type],$D62,Dermal_Exp[OES],$C62),SUMIFS(Dermal_Exp[Central Tendency AD (mg/kg-day)],Dermal_Exp[Worker Type],$D62,Dermal_Exp[OES],$C62))</f>
        <v>1.2288574387297204E-3</v>
      </c>
      <c r="K62" s="282">
        <f>IF($E62="High-End",SUMIFS(Dermal_Exp[High-End IADD (mg/kg-day)],Dermal_Exp[Worker Type],$D62,Dermal_Exp[OES],$C62),SUMIFS(Dermal_Exp[Central Tendency IADD (mg/kg-day)],Dermal_Exp[Worker Type],$D62,Dermal_Exp[OES],$C62))</f>
        <v>9.0116212173512822E-4</v>
      </c>
      <c r="L62" s="282">
        <f>IF($E62="High-End",SUMIFS(Dermal_Exp[High-End ADD (mg/kg-day)],Dermal_Exp[Worker Type],$D62,Dermal_Exp[OES],$C62),SUMIFS(Dermal_Exp[Central Tendency ADD (mg/kg-day)],Dermal_Exp[Worker Type],$D62,Dermal_Exp[OES],$C62))</f>
        <v>7.9118218657940902E-4</v>
      </c>
      <c r="M62" s="282">
        <f>IF($E62="High-End",SUMIFS(Dermal_Exp[High-End LADD (mg/kg-day)],Dermal_Exp[Worker Type],$D62,Dermal_Exp[OES],$C62),SUMIFS(Dermal_Exp[Central Tendency LADD (mg/kg-day)],Dermal_Exp[Worker Type],$D62,Dermal_Exp[OES],$C62))</f>
        <v>3.1444420235848309E-4</v>
      </c>
      <c r="N62" s="314">
        <f t="shared" si="5"/>
        <v>8.8229202623403523E-3</v>
      </c>
      <c r="O62" s="314">
        <f t="shared" si="2"/>
        <v>6.4701415257162583E-3</v>
      </c>
      <c r="P62" s="314">
        <f t="shared" si="3"/>
        <v>5.6805103058903631E-3</v>
      </c>
      <c r="Q62" s="314">
        <f t="shared" si="4"/>
        <v>2.2576387113154009E-3</v>
      </c>
    </row>
    <row r="63" spans="3:17">
      <c r="C63" s="313" t="str" cm="1">
        <f t="array" ref="C63">INDEX('List Values'!$B$2:$B$18,(1+ROUNDDOWN((ROW()-ROW($C$5))*1/6,2)))</f>
        <v>Use of Automotive Care Products</v>
      </c>
      <c r="D63" s="313" t="s">
        <v>94</v>
      </c>
      <c r="E63" s="313" t="s">
        <v>92</v>
      </c>
      <c r="F63" s="210">
        <f>IF(E63="High-End",SUMIFS(Inhalation_Exp[24hr_High-End],Inhalation_Exp[OES],$C63,Inhalation_Exp[Worker Type],$D63),SUMIFS(Inhalation_Exp[24hr_Central Tendency],Inhalation_Exp[OES],$C63,Inhalation_Exp[Worker Type],$D63))</f>
        <v>7.4999999999999997E-3</v>
      </c>
      <c r="G63" s="210">
        <f>IF(E63="High-End",SUMIFS(Inhalation_Exp[Int_High-End],Inhalation_Exp[OES],$C63,Inhalation_Exp[Worker Type],$D63),SUMIFS(Inhalation_Exp[Int_Central Tendency],Inhalation_Exp[OES],$C63,Inhalation_Exp[Worker Type],$D63))</f>
        <v>5.4999999999999997E-3</v>
      </c>
      <c r="H63" s="210">
        <f>IF(E63="High-End",SUMIFS(Inhalation_Exp[ADD_High-End],Inhalation_Exp[OES],$C63,Inhalation_Exp[Worker Type],$D63),SUMIFS(Inhalation_Exp[ADD_Central Tendency],Inhalation_Exp[OES],$C63,Inhalation_Exp[Worker Type],$D63))</f>
        <v>5.1369863013698627E-3</v>
      </c>
      <c r="I63" s="210">
        <f>IF(E63="High-End",SUMIFS(Inhalation_Exp[LADD_High-End],Inhalation_Exp[OES],$C63,Inhalation_Exp[Worker Type],$D63),SUMIFS(Inhalation_Exp[LADD_Central Tendency],Inhalation_Exp[OES],$C63,Inhalation_Exp[Worker Type],$D63))</f>
        <v>2.6343519494204425E-3</v>
      </c>
      <c r="J63" s="282">
        <f>IF($E63="High-End",SUMIFS(Dermal_Exp[High-End AD (mg/kg-day)],Dermal_Exp[Worker Type],$D63,Dermal_Exp[OES],$C63),SUMIFS(Dermal_Exp[Central Tendency AD (mg/kg-day)],Dermal_Exp[Worker Type],$D63,Dermal_Exp[OES],$C63))</f>
        <v>0</v>
      </c>
      <c r="K63" s="282">
        <f>IF($E63="High-End",SUMIFS(Dermal_Exp[High-End IADD (mg/kg-day)],Dermal_Exp[Worker Type],$D63,Dermal_Exp[OES],$C63),SUMIFS(Dermal_Exp[Central Tendency IADD (mg/kg-day)],Dermal_Exp[Worker Type],$D63,Dermal_Exp[OES],$C63))</f>
        <v>0</v>
      </c>
      <c r="L63" s="282">
        <f>IF($E63="High-End",SUMIFS(Dermal_Exp[High-End ADD (mg/kg-day)],Dermal_Exp[Worker Type],$D63,Dermal_Exp[OES],$C63),SUMIFS(Dermal_Exp[Central Tendency ADD (mg/kg-day)],Dermal_Exp[Worker Type],$D63,Dermal_Exp[OES],$C63))</f>
        <v>0</v>
      </c>
      <c r="M63" s="282">
        <f>IF($E63="High-End",SUMIFS(Dermal_Exp[High-End LADD (mg/kg-day)],Dermal_Exp[Worker Type],$D63,Dermal_Exp[OES],$C63),SUMIFS(Dermal_Exp[Central Tendency LADD (mg/kg-day)],Dermal_Exp[Worker Type],$D63,Dermal_Exp[OES],$C63))</f>
        <v>0</v>
      </c>
      <c r="N63" s="314">
        <f t="shared" si="5"/>
        <v>7.4999999999999997E-3</v>
      </c>
      <c r="O63" s="314">
        <f t="shared" si="2"/>
        <v>5.4999999999999997E-3</v>
      </c>
      <c r="P63" s="314">
        <f t="shared" si="3"/>
        <v>5.1369863013698627E-3</v>
      </c>
      <c r="Q63" s="314">
        <f t="shared" si="4"/>
        <v>2.6343519494204425E-3</v>
      </c>
    </row>
    <row r="64" spans="3:17">
      <c r="C64" s="313" t="str" cm="1">
        <f t="array" ref="C64">INDEX('List Values'!$B$2:$B$18,(1+ROUNDDOWN((ROW()-ROW($C$5))*1/6,2)))</f>
        <v>Use of Automotive Care Products</v>
      </c>
      <c r="D64" s="313" t="s">
        <v>94</v>
      </c>
      <c r="E64" s="313" t="s">
        <v>93</v>
      </c>
      <c r="F64" s="210">
        <f>IF(E64="High-End",SUMIFS(Inhalation_Exp[24hr_High-End],Inhalation_Exp[OES],$C64,Inhalation_Exp[Worker Type],$D64),SUMIFS(Inhalation_Exp[24hr_Central Tendency],Inhalation_Exp[OES],$C64,Inhalation_Exp[Worker Type],$D64))</f>
        <v>6.2500000000000003E-3</v>
      </c>
      <c r="G64" s="210">
        <f>IF(E64="High-End",SUMIFS(Inhalation_Exp[Int_High-End],Inhalation_Exp[OES],$C64,Inhalation_Exp[Worker Type],$D64),SUMIFS(Inhalation_Exp[Int_Central Tendency],Inhalation_Exp[OES],$C64,Inhalation_Exp[Worker Type],$D64))</f>
        <v>4.5833333333333334E-3</v>
      </c>
      <c r="H64" s="210">
        <f>IF(E64="High-End",SUMIFS(Inhalation_Exp[ADD_High-End],Inhalation_Exp[OES],$C64,Inhalation_Exp[Worker Type],$D64),SUMIFS(Inhalation_Exp[ADD_Central Tendency],Inhalation_Exp[OES],$C64,Inhalation_Exp[Worker Type],$D64))</f>
        <v>4.023972602739726E-3</v>
      </c>
      <c r="I64" s="210">
        <f>IF(E64="High-End",SUMIFS(Inhalation_Exp[LADD_High-End],Inhalation_Exp[OES],$C64,Inhalation_Exp[Worker Type],$D64),SUMIFS(Inhalation_Exp[LADD_Central Tendency],Inhalation_Exp[OES],$C64,Inhalation_Exp[Worker Type],$D64))</f>
        <v>1.599271162627327E-3</v>
      </c>
      <c r="J64" s="282">
        <f>IF($E64="High-End",SUMIFS(Dermal_Exp[High-End AD (mg/kg-day)],Dermal_Exp[Worker Type],$D64,Dermal_Exp[OES],$C64),SUMIFS(Dermal_Exp[Central Tendency AD (mg/kg-day)],Dermal_Exp[Worker Type],$D64,Dermal_Exp[OES],$C64))</f>
        <v>0</v>
      </c>
      <c r="K64" s="282">
        <f>IF($E64="High-End",SUMIFS(Dermal_Exp[High-End IADD (mg/kg-day)],Dermal_Exp[Worker Type],$D64,Dermal_Exp[OES],$C64),SUMIFS(Dermal_Exp[Central Tendency IADD (mg/kg-day)],Dermal_Exp[Worker Type],$D64,Dermal_Exp[OES],$C64))</f>
        <v>0</v>
      </c>
      <c r="L64" s="282">
        <f>IF($E64="High-End",SUMIFS(Dermal_Exp[High-End ADD (mg/kg-day)],Dermal_Exp[Worker Type],$D64,Dermal_Exp[OES],$C64),SUMIFS(Dermal_Exp[Central Tendency ADD (mg/kg-day)],Dermal_Exp[Worker Type],$D64,Dermal_Exp[OES],$C64))</f>
        <v>0</v>
      </c>
      <c r="M64" s="282">
        <f>IF($E64="High-End",SUMIFS(Dermal_Exp[High-End LADD (mg/kg-day)],Dermal_Exp[Worker Type],$D64,Dermal_Exp[OES],$C64),SUMIFS(Dermal_Exp[Central Tendency LADD (mg/kg-day)],Dermal_Exp[Worker Type],$D64,Dermal_Exp[OES],$C64))</f>
        <v>0</v>
      </c>
      <c r="N64" s="314">
        <f t="shared" si="5"/>
        <v>6.2500000000000003E-3</v>
      </c>
      <c r="O64" s="314">
        <f t="shared" si="2"/>
        <v>4.5833333333333334E-3</v>
      </c>
      <c r="P64" s="314">
        <f t="shared" si="3"/>
        <v>4.023972602739726E-3</v>
      </c>
      <c r="Q64" s="314">
        <f t="shared" si="4"/>
        <v>1.599271162627327E-3</v>
      </c>
    </row>
    <row r="65" spans="3:17">
      <c r="C65" s="313" t="str" cm="1">
        <f t="array" ref="C65">INDEX('List Values'!$B$2:$B$18,(1+ROUNDDOWN((ROW()-ROW($C$5))*1/6,2)))</f>
        <v>Textile Finishing</v>
      </c>
      <c r="D65" s="313" t="s">
        <v>74</v>
      </c>
      <c r="E65" s="308" t="s">
        <v>92</v>
      </c>
      <c r="F65" s="210">
        <f>IF(E65="High-End",SUMIFS(Inhalation_Exp[24hr_High-End],Inhalation_Exp[OES],$C65,Inhalation_Exp[Worker Type],$D65),SUMIFS(Inhalation_Exp[24hr_Central Tendency],Inhalation_Exp[OES],$C65,Inhalation_Exp[Worker Type],$D65))</f>
        <v>5.3750000000000002E-6</v>
      </c>
      <c r="G65" s="210">
        <f>IF(E65="High-End",SUMIFS(Inhalation_Exp[Int_High-End],Inhalation_Exp[OES],$C65,Inhalation_Exp[Worker Type],$D65),SUMIFS(Inhalation_Exp[Int_Central Tendency],Inhalation_Exp[OES],$C65,Inhalation_Exp[Worker Type],$D65))</f>
        <v>3.9416666666666665E-6</v>
      </c>
      <c r="H65" s="210">
        <f>IF(E65="High-End",SUMIFS(Inhalation_Exp[ADD_High-End],Inhalation_Exp[OES],$C65,Inhalation_Exp[Worker Type],$D65),SUMIFS(Inhalation_Exp[ADD_Central Tendency],Inhalation_Exp[OES],$C65,Inhalation_Exp[Worker Type],$D65))</f>
        <v>3.166095890410959E-6</v>
      </c>
      <c r="I65" s="210">
        <f>IF(E65="High-End",SUMIFS(Inhalation_Exp[LADD_High-End],Inhalation_Exp[OES],$C65,Inhalation_Exp[Worker Type],$D65),SUMIFS(Inhalation_Exp[LADD_Central Tendency],Inhalation_Exp[OES],$C65,Inhalation_Exp[Worker Type],$D65))</f>
        <v>1.6236389181594662E-6</v>
      </c>
      <c r="J65" s="282">
        <f>IF($E65="High-End",SUMIFS(Dermal_Exp[High-End AD (mg/kg-day)],Dermal_Exp[Worker Type],$D65,Dermal_Exp[OES],$C65),SUMIFS(Dermal_Exp[Central Tendency AD (mg/kg-day)],Dermal_Exp[Worker Type],$D65,Dermal_Exp[OES],$C65))</f>
        <v>5.1359999999999999E-3</v>
      </c>
      <c r="K65" s="282">
        <f>IF($E65="High-End",SUMIFS(Dermal_Exp[High-End IADD (mg/kg-day)],Dermal_Exp[Worker Type],$D65,Dermal_Exp[OES],$C65),SUMIFS(Dermal_Exp[Central Tendency IADD (mg/kg-day)],Dermal_Exp[Worker Type],$D65,Dermal_Exp[OES],$C65))</f>
        <v>3.7664E-3</v>
      </c>
      <c r="L65" s="282">
        <f>IF($E65="High-End",SUMIFS(Dermal_Exp[High-End ADD (mg/kg-day)],Dermal_Exp[Worker Type],$D65,Dermal_Exp[OES],$C65),SUMIFS(Dermal_Exp[Central Tendency ADD (mg/kg-day)],Dermal_Exp[Worker Type],$D65,Dermal_Exp[OES],$C65))</f>
        <v>3.0253150684931502E-3</v>
      </c>
      <c r="M65" s="282">
        <f>IF($E65="High-End",SUMIFS(Dermal_Exp[High-End LADD (mg/kg-day)],Dermal_Exp[Worker Type],$D65,Dermal_Exp[OES],$C65),SUMIFS(Dermal_Exp[Central Tendency LADD (mg/kg-day)],Dermal_Exp[Worker Type],$D65,Dermal_Exp[OES],$C65))</f>
        <v>1.5514436248682823E-3</v>
      </c>
      <c r="N65" s="314">
        <f t="shared" si="5"/>
        <v>5.1413750000000001E-3</v>
      </c>
      <c r="O65" s="314">
        <f t="shared" si="2"/>
        <v>3.7703416666666667E-3</v>
      </c>
      <c r="P65" s="314">
        <f t="shared" si="3"/>
        <v>3.028481164383561E-3</v>
      </c>
      <c r="Q65" s="314">
        <f t="shared" si="4"/>
        <v>1.5530672637864419E-3</v>
      </c>
    </row>
    <row r="66" spans="3:17">
      <c r="C66" s="313" t="str" cm="1">
        <f t="array" ref="C66">INDEX('List Values'!$B$2:$B$18,(1+ROUNDDOWN((ROW()-ROW($C$5))*1/6,2)))</f>
        <v>Textile Finishing</v>
      </c>
      <c r="D66" s="313" t="s">
        <v>74</v>
      </c>
      <c r="E66" s="313" t="s">
        <v>93</v>
      </c>
      <c r="F66" s="210">
        <f>IF(E66="High-End",SUMIFS(Inhalation_Exp[24hr_High-End],Inhalation_Exp[OES],$C66,Inhalation_Exp[Worker Type],$D66),SUMIFS(Inhalation_Exp[24hr_Central Tendency],Inhalation_Exp[OES],$C66,Inhalation_Exp[Worker Type],$D66))</f>
        <v>3.875E-7</v>
      </c>
      <c r="G66" s="210">
        <f>IF(E66="High-End",SUMIFS(Inhalation_Exp[Int_High-End],Inhalation_Exp[OES],$C66,Inhalation_Exp[Worker Type],$D66),SUMIFS(Inhalation_Exp[Int_Central Tendency],Inhalation_Exp[OES],$C66,Inhalation_Exp[Worker Type],$D66))</f>
        <v>2.8416666666666666E-7</v>
      </c>
      <c r="H66" s="210">
        <f>IF(E66="High-End",SUMIFS(Inhalation_Exp[ADD_High-End],Inhalation_Exp[OES],$C66,Inhalation_Exp[Worker Type],$D66),SUMIFS(Inhalation_Exp[ADD_Central Tendency],Inhalation_Exp[OES],$C66,Inhalation_Exp[Worker Type],$D66))</f>
        <v>2.2825342465753424E-7</v>
      </c>
      <c r="I66" s="210">
        <f>IF(E66="High-End",SUMIFS(Inhalation_Exp[LADD_High-End],Inhalation_Exp[OES],$C66,Inhalation_Exp[Worker Type],$D66),SUMIFS(Inhalation_Exp[LADD_Central Tendency],Inhalation_Exp[OES],$C66,Inhalation_Exp[Worker Type],$D66))</f>
        <v>9.0716104671584124E-8</v>
      </c>
      <c r="J66" s="282">
        <f>IF($E66="High-End",SUMIFS(Dermal_Exp[High-End AD (mg/kg-day)],Dermal_Exp[Worker Type],$D66,Dermal_Exp[OES],$C66),SUMIFS(Dermal_Exp[Central Tendency AD (mg/kg-day)],Dermal_Exp[Worker Type],$D66,Dermal_Exp[OES],$C66))</f>
        <v>2.568E-3</v>
      </c>
      <c r="K66" s="282">
        <f>IF($E66="High-End",SUMIFS(Dermal_Exp[High-End IADD (mg/kg-day)],Dermal_Exp[Worker Type],$D66,Dermal_Exp[OES],$C66),SUMIFS(Dermal_Exp[Central Tendency IADD (mg/kg-day)],Dermal_Exp[Worker Type],$D66,Dermal_Exp[OES],$C66))</f>
        <v>1.8832E-3</v>
      </c>
      <c r="L66" s="282">
        <f>IF($E66="High-End",SUMIFS(Dermal_Exp[High-End ADD (mg/kg-day)],Dermal_Exp[Worker Type],$D66,Dermal_Exp[OES],$C66),SUMIFS(Dermal_Exp[Central Tendency ADD (mg/kg-day)],Dermal_Exp[Worker Type],$D66,Dermal_Exp[OES],$C66))</f>
        <v>1.5126575342465753E-3</v>
      </c>
      <c r="M66" s="282">
        <f>IF($E66="High-End",SUMIFS(Dermal_Exp[High-End LADD (mg/kg-day)],Dermal_Exp[Worker Type],$D66,Dermal_Exp[OES],$C66),SUMIFS(Dermal_Exp[Central Tendency LADD (mg/kg-day)],Dermal_Exp[Worker Type],$D66,Dermal_Exp[OES],$C66))</f>
        <v>6.0118440463645937E-4</v>
      </c>
      <c r="N66" s="314">
        <f t="shared" si="5"/>
        <v>2.5683874999999998E-3</v>
      </c>
      <c r="O66" s="314">
        <f t="shared" si="2"/>
        <v>1.8834841666666667E-3</v>
      </c>
      <c r="P66" s="314">
        <f t="shared" si="3"/>
        <v>1.5128857876712328E-3</v>
      </c>
      <c r="Q66" s="314">
        <f t="shared" si="4"/>
        <v>6.0127512074113093E-4</v>
      </c>
    </row>
    <row r="67" spans="3:17">
      <c r="C67" s="313" t="str" cm="1">
        <f t="array" ref="C67">INDEX('List Values'!$B$2:$B$18,(1+ROUNDDOWN((ROW()-ROW($C$5))*1/6,2)))</f>
        <v>Textile Finishing</v>
      </c>
      <c r="D67" s="313" t="s">
        <v>206</v>
      </c>
      <c r="E67" s="313" t="s">
        <v>92</v>
      </c>
      <c r="F67" s="210">
        <f>IF(E67="High-End",SUMIFS(Inhalation_Exp[24hr_High-End],Inhalation_Exp[OES],$C67,Inhalation_Exp[Worker Type],$D67),SUMIFS(Inhalation_Exp[24hr_Central Tendency],Inhalation_Exp[OES],$C67,Inhalation_Exp[Worker Type],$D67))</f>
        <v>5.9371763893683114E-6</v>
      </c>
      <c r="G67" s="210">
        <f>IF(E67="High-End",SUMIFS(Inhalation_Exp[Int_High-End],Inhalation_Exp[OES],$C67,Inhalation_Exp[Worker Type],$D67),SUMIFS(Inhalation_Exp[Int_Central Tendency],Inhalation_Exp[OES],$C67,Inhalation_Exp[Worker Type],$D67))</f>
        <v>4.353929352203429E-6</v>
      </c>
      <c r="H67" s="210">
        <f>IF(E67="High-End",SUMIFS(Inhalation_Exp[ADD_High-End],Inhalation_Exp[OES],$C67,Inhalation_Exp[Worker Type],$D67),SUMIFS(Inhalation_Exp[ADD_Central Tendency],Inhalation_Exp[OES],$C67,Inhalation_Exp[Worker Type],$D67))</f>
        <v>3.4972408868881835E-6</v>
      </c>
      <c r="I67" s="210">
        <f>IF(E67="High-End",SUMIFS(Inhalation_Exp[LADD_High-End],Inhalation_Exp[OES],$C67,Inhalation_Exp[Worker Type],$D67),SUMIFS(Inhalation_Exp[LADD_Central Tendency],Inhalation_Exp[OES],$C67,Inhalation_Exp[Worker Type],$D67))</f>
        <v>1.7934568650708634E-6</v>
      </c>
      <c r="J67" s="282">
        <f>IF($E67="High-End",SUMIFS(Dermal_Exp[High-End AD (mg/kg-day)],Dermal_Exp[Worker Type],$D67,Dermal_Exp[OES],$C67),SUMIFS(Dermal_Exp[Central Tendency AD (mg/kg-day)],Dermal_Exp[Worker Type],$D67,Dermal_Exp[OES],$C67))</f>
        <v>4.718812564722126E-3</v>
      </c>
      <c r="K67" s="282">
        <f>IF($E67="High-End",SUMIFS(Dermal_Exp[High-End IADD (mg/kg-day)],Dermal_Exp[Worker Type],$D67,Dermal_Exp[OES],$C67),SUMIFS(Dermal_Exp[Central Tendency IADD (mg/kg-day)],Dermal_Exp[Worker Type],$D67,Dermal_Exp[OES],$C67))</f>
        <v>3.4604625474628924E-3</v>
      </c>
      <c r="L67" s="282">
        <f>IF($E67="High-End",SUMIFS(Dermal_Exp[High-End ADD (mg/kg-day)],Dermal_Exp[Worker Type],$D67,Dermal_Exp[OES],$C67),SUMIFS(Dermal_Exp[Central Tendency ADD (mg/kg-day)],Dermal_Exp[Worker Type],$D67,Dermal_Exp[OES],$C67))</f>
        <v>2.779574524425362E-3</v>
      </c>
      <c r="M67" s="282">
        <f>IF($E67="High-End",SUMIFS(Dermal_Exp[High-End LADD (mg/kg-day)],Dermal_Exp[Worker Type],$D67,Dermal_Exp[OES],$C67),SUMIFS(Dermal_Exp[Central Tendency LADD (mg/kg-day)],Dermal_Exp[Worker Type],$D67,Dermal_Exp[OES],$C67))</f>
        <v>1.4254228330386472E-3</v>
      </c>
      <c r="N67" s="314">
        <f t="shared" si="5"/>
        <v>4.7247497411114945E-3</v>
      </c>
      <c r="O67" s="314">
        <f t="shared" si="2"/>
        <v>3.464816476815096E-3</v>
      </c>
      <c r="P67" s="314">
        <f t="shared" si="3"/>
        <v>2.78307176531225E-3</v>
      </c>
      <c r="Q67" s="314">
        <f t="shared" si="4"/>
        <v>1.427216289903718E-3</v>
      </c>
    </row>
    <row r="68" spans="3:17">
      <c r="C68" s="313" t="str" cm="1">
        <f t="array" ref="C68">INDEX('List Values'!$B$2:$B$18,(1+ROUNDDOWN((ROW()-ROW($C$5))*1/6,2)))</f>
        <v>Textile Finishing</v>
      </c>
      <c r="D68" s="313" t="s">
        <v>206</v>
      </c>
      <c r="E68" s="313" t="s">
        <v>93</v>
      </c>
      <c r="F68" s="210">
        <f>IF(E68="High-End",SUMIFS(Inhalation_Exp[24hr_High-End],Inhalation_Exp[OES],$C68,Inhalation_Exp[Worker Type],$D68),SUMIFS(Inhalation_Exp[24hr_Central Tendency],Inhalation_Exp[OES],$C68,Inhalation_Exp[Worker Type],$D68))</f>
        <v>4.280289955125992E-7</v>
      </c>
      <c r="G68" s="210">
        <f>IF(E68="High-End",SUMIFS(Inhalation_Exp[Int_High-End],Inhalation_Exp[OES],$C68,Inhalation_Exp[Worker Type],$D68),SUMIFS(Inhalation_Exp[Int_Central Tendency],Inhalation_Exp[OES],$C68,Inhalation_Exp[Worker Type],$D68))</f>
        <v>3.1388793004257274E-7</v>
      </c>
      <c r="H68" s="210">
        <f>IF(E68="High-End",SUMIFS(Inhalation_Exp[ADD_High-End],Inhalation_Exp[OES],$C68,Inhalation_Exp[Worker Type],$D68),SUMIFS(Inhalation_Exp[ADD_Central Tendency],Inhalation_Exp[OES],$C68,Inhalation_Exp[Worker Type],$D68))</f>
        <v>2.5212666858961323E-7</v>
      </c>
      <c r="I68" s="210">
        <f>IF(E68="High-End",SUMIFS(Inhalation_Exp[LADD_High-End],Inhalation_Exp[OES],$C68,Inhalation_Exp[Worker Type],$D68),SUMIFS(Inhalation_Exp[LADD_Central Tendency],Inhalation_Exp[OES],$C68,Inhalation_Exp[Worker Type],$D68))</f>
        <v>1.0020418879843603E-7</v>
      </c>
      <c r="J68" s="282">
        <f>IF($E68="High-End",SUMIFS(Dermal_Exp[High-End AD (mg/kg-day)],Dermal_Exp[Worker Type],$D68,Dermal_Exp[OES],$C68),SUMIFS(Dermal_Exp[Central Tendency AD (mg/kg-day)],Dermal_Exp[Worker Type],$D68,Dermal_Exp[OES],$C68))</f>
        <v>2.359406282361063E-3</v>
      </c>
      <c r="K68" s="282">
        <f>IF($E68="High-End",SUMIFS(Dermal_Exp[High-End IADD (mg/kg-day)],Dermal_Exp[Worker Type],$D68,Dermal_Exp[OES],$C68),SUMIFS(Dermal_Exp[Central Tendency IADD (mg/kg-day)],Dermal_Exp[Worker Type],$D68,Dermal_Exp[OES],$C68))</f>
        <v>1.7302312737314462E-3</v>
      </c>
      <c r="L68" s="282">
        <f>IF($E68="High-End",SUMIFS(Dermal_Exp[High-End ADD (mg/kg-day)],Dermal_Exp[Worker Type],$D68,Dermal_Exp[OES],$C68),SUMIFS(Dermal_Exp[Central Tendency ADD (mg/kg-day)],Dermal_Exp[Worker Type],$D68,Dermal_Exp[OES],$C68))</f>
        <v>1.389787262212681E-3</v>
      </c>
      <c r="M68" s="282">
        <f>IF($E68="High-End",SUMIFS(Dermal_Exp[High-End LADD (mg/kg-day)],Dermal_Exp[Worker Type],$D68,Dermal_Exp[OES],$C68),SUMIFS(Dermal_Exp[Central Tendency LADD (mg/kg-day)],Dermal_Exp[Worker Type],$D68,Dermal_Exp[OES],$C68))</f>
        <v>5.5235134780247581E-4</v>
      </c>
      <c r="N68" s="314">
        <f t="shared" si="5"/>
        <v>2.3598343113565754E-3</v>
      </c>
      <c r="O68" s="314">
        <f t="shared" si="2"/>
        <v>1.7305451616614887E-3</v>
      </c>
      <c r="P68" s="314">
        <f t="shared" si="3"/>
        <v>1.3900393888812705E-3</v>
      </c>
      <c r="Q68" s="314">
        <f t="shared" si="4"/>
        <v>5.5245155199127422E-4</v>
      </c>
    </row>
    <row r="69" spans="3:17">
      <c r="C69" s="313" t="str" cm="1">
        <f t="array" ref="C69">INDEX('List Values'!$B$2:$B$18,(1+ROUNDDOWN((ROW()-ROW($C$5))*1/6,2)))</f>
        <v>Textile Finishing</v>
      </c>
      <c r="D69" s="313" t="s">
        <v>94</v>
      </c>
      <c r="E69" s="313" t="s">
        <v>92</v>
      </c>
      <c r="F69" s="210">
        <f>IF(E69="High-End",SUMIFS(Inhalation_Exp[24hr_High-End],Inhalation_Exp[OES],$C69,Inhalation_Exp[Worker Type],$D69),SUMIFS(Inhalation_Exp[24hr_Central Tendency],Inhalation_Exp[OES],$C69,Inhalation_Exp[Worker Type],$D69))</f>
        <v>3.875E-7</v>
      </c>
      <c r="G69" s="210">
        <f>IF(E69="High-End",SUMIFS(Inhalation_Exp[Int_High-End],Inhalation_Exp[OES],$C69,Inhalation_Exp[Worker Type],$D69),SUMIFS(Inhalation_Exp[Int_Central Tendency],Inhalation_Exp[OES],$C69,Inhalation_Exp[Worker Type],$D69))</f>
        <v>2.8416666666666666E-7</v>
      </c>
      <c r="H69" s="210">
        <f>IF(E69="High-End",SUMIFS(Inhalation_Exp[ADD_High-End],Inhalation_Exp[OES],$C69,Inhalation_Exp[Worker Type],$D69),SUMIFS(Inhalation_Exp[ADD_Central Tendency],Inhalation_Exp[OES],$C69,Inhalation_Exp[Worker Type],$D69))</f>
        <v>2.2825342465753424E-7</v>
      </c>
      <c r="I69" s="210">
        <f>IF(E69="High-End",SUMIFS(Inhalation_Exp[LADD_High-End],Inhalation_Exp[OES],$C69,Inhalation_Exp[Worker Type],$D69),SUMIFS(Inhalation_Exp[LADD_Central Tendency],Inhalation_Exp[OES],$C69,Inhalation_Exp[Worker Type],$D69))</f>
        <v>1.1705303828591499E-7</v>
      </c>
      <c r="J69" s="282">
        <f>IF($E69="High-End",SUMIFS(Dermal_Exp[High-End AD (mg/kg-day)],Dermal_Exp[Worker Type],$D69,Dermal_Exp[OES],$C69),SUMIFS(Dermal_Exp[Central Tendency AD (mg/kg-day)],Dermal_Exp[Worker Type],$D69,Dermal_Exp[OES],$C69))</f>
        <v>2.568E-3</v>
      </c>
      <c r="K69" s="282">
        <f>IF($E69="High-End",SUMIFS(Dermal_Exp[High-End IADD (mg/kg-day)],Dermal_Exp[Worker Type],$D69,Dermal_Exp[OES],$C69),SUMIFS(Dermal_Exp[Central Tendency IADD (mg/kg-day)],Dermal_Exp[Worker Type],$D69,Dermal_Exp[OES],$C69))</f>
        <v>1.8832E-3</v>
      </c>
      <c r="L69" s="282">
        <f>IF($E69="High-End",SUMIFS(Dermal_Exp[High-End ADD (mg/kg-day)],Dermal_Exp[Worker Type],$D69,Dermal_Exp[OES],$C69),SUMIFS(Dermal_Exp[Central Tendency ADD (mg/kg-day)],Dermal_Exp[Worker Type],$D69,Dermal_Exp[OES],$C69))</f>
        <v>1.5126575342465751E-3</v>
      </c>
      <c r="M69" s="282">
        <f>IF($E69="High-End",SUMIFS(Dermal_Exp[High-End LADD (mg/kg-day)],Dermal_Exp[Worker Type],$D69,Dermal_Exp[OES],$C69),SUMIFS(Dermal_Exp[Central Tendency LADD (mg/kg-day)],Dermal_Exp[Worker Type],$D69,Dermal_Exp[OES],$C69))</f>
        <v>7.7572181243414117E-4</v>
      </c>
      <c r="N69" s="314">
        <f t="shared" si="5"/>
        <v>2.5683874999999998E-3</v>
      </c>
      <c r="O69" s="314">
        <f t="shared" si="2"/>
        <v>1.8834841666666667E-3</v>
      </c>
      <c r="P69" s="314">
        <f t="shared" si="3"/>
        <v>1.5128857876712325E-3</v>
      </c>
      <c r="Q69" s="314">
        <f t="shared" si="4"/>
        <v>7.7583886547242706E-4</v>
      </c>
    </row>
    <row r="70" spans="3:17">
      <c r="C70" s="313" t="str" cm="1">
        <f t="array" ref="C70">INDEX('List Values'!$B$2:$B$18,(1+ROUNDDOWN((ROW()-ROW($C$5))*1/6,2)))</f>
        <v>Textile Finishing</v>
      </c>
      <c r="D70" s="313" t="s">
        <v>94</v>
      </c>
      <c r="E70" s="313" t="s">
        <v>93</v>
      </c>
      <c r="F70" s="210">
        <f>IF(E70="High-End",SUMIFS(Inhalation_Exp[24hr_High-End],Inhalation_Exp[OES],$C70,Inhalation_Exp[Worker Type],$D70),SUMIFS(Inhalation_Exp[24hr_Central Tendency],Inhalation_Exp[OES],$C70,Inhalation_Exp[Worker Type],$D70))</f>
        <v>3.875E-7</v>
      </c>
      <c r="G70" s="210">
        <f>IF(E70="High-End",SUMIFS(Inhalation_Exp[Int_High-End],Inhalation_Exp[OES],$C70,Inhalation_Exp[Worker Type],$D70),SUMIFS(Inhalation_Exp[Int_Central Tendency],Inhalation_Exp[OES],$C70,Inhalation_Exp[Worker Type],$D70))</f>
        <v>2.8416666666666666E-7</v>
      </c>
      <c r="H70" s="210">
        <f>IF(E70="High-End",SUMIFS(Inhalation_Exp[ADD_High-End],Inhalation_Exp[OES],$C70,Inhalation_Exp[Worker Type],$D70),SUMIFS(Inhalation_Exp[ADD_Central Tendency],Inhalation_Exp[OES],$C70,Inhalation_Exp[Worker Type],$D70))</f>
        <v>2.2825342465753424E-7</v>
      </c>
      <c r="I70" s="210">
        <f>IF(E70="High-End",SUMIFS(Inhalation_Exp[LADD_High-End],Inhalation_Exp[OES],$C70,Inhalation_Exp[Worker Type],$D70),SUMIFS(Inhalation_Exp[LADD_Central Tendency],Inhalation_Exp[OES],$C70,Inhalation_Exp[Worker Type],$D70))</f>
        <v>9.0716104671584124E-8</v>
      </c>
      <c r="J70" s="282">
        <f>IF($E70="High-End",SUMIFS(Dermal_Exp[High-End AD (mg/kg-day)],Dermal_Exp[Worker Type],$D70,Dermal_Exp[OES],$C70),SUMIFS(Dermal_Exp[Central Tendency AD (mg/kg-day)],Dermal_Exp[Worker Type],$D70,Dermal_Exp[OES],$C70))</f>
        <v>2.568E-3</v>
      </c>
      <c r="K70" s="282">
        <f>IF($E70="High-End",SUMIFS(Dermal_Exp[High-End IADD (mg/kg-day)],Dermal_Exp[Worker Type],$D70,Dermal_Exp[OES],$C70),SUMIFS(Dermal_Exp[Central Tendency IADD (mg/kg-day)],Dermal_Exp[Worker Type],$D70,Dermal_Exp[OES],$C70))</f>
        <v>1.8832E-3</v>
      </c>
      <c r="L70" s="282">
        <f>IF($E70="High-End",SUMIFS(Dermal_Exp[High-End ADD (mg/kg-day)],Dermal_Exp[Worker Type],$D70,Dermal_Exp[OES],$C70),SUMIFS(Dermal_Exp[Central Tendency ADD (mg/kg-day)],Dermal_Exp[Worker Type],$D70,Dermal_Exp[OES],$C70))</f>
        <v>1.5126575342465753E-3</v>
      </c>
      <c r="M70" s="282">
        <f>IF($E70="High-End",SUMIFS(Dermal_Exp[High-End LADD (mg/kg-day)],Dermal_Exp[Worker Type],$D70,Dermal_Exp[OES],$C70),SUMIFS(Dermal_Exp[Central Tendency LADD (mg/kg-day)],Dermal_Exp[Worker Type],$D70,Dermal_Exp[OES],$C70))</f>
        <v>6.0118440463645937E-4</v>
      </c>
      <c r="N70" s="314">
        <f t="shared" si="5"/>
        <v>2.5683874999999998E-3</v>
      </c>
      <c r="O70" s="314">
        <f t="shared" si="2"/>
        <v>1.8834841666666667E-3</v>
      </c>
      <c r="P70" s="314">
        <f t="shared" si="3"/>
        <v>1.5128857876712328E-3</v>
      </c>
      <c r="Q70" s="314">
        <f t="shared" si="4"/>
        <v>6.0127512074113093E-4</v>
      </c>
    </row>
    <row r="71" spans="3:17">
      <c r="C71" s="313" t="str" cm="1">
        <f t="array" ref="C71">INDEX('List Values'!$B$2:$B$18,(1+ROUNDDOWN((ROW()-ROW($C$5))*1/6,2)))</f>
        <v>Formulation for Diffusion Bonding</v>
      </c>
      <c r="D71" s="313" t="s">
        <v>74</v>
      </c>
      <c r="E71" s="308" t="s">
        <v>92</v>
      </c>
      <c r="F71" s="210">
        <f>IF(E71="High-End",SUMIFS(Inhalation_Exp[24hr_High-End],Inhalation_Exp[OES],$C71,Inhalation_Exp[Worker Type],$D71),SUMIFS(Inhalation_Exp[24hr_Central Tendency],Inhalation_Exp[OES],$C71,Inhalation_Exp[Worker Type],$D71))</f>
        <v>0.99499999999999988</v>
      </c>
      <c r="G71" s="210">
        <f>IF(E71="High-End",SUMIFS(Inhalation_Exp[Int_High-End],Inhalation_Exp[OES],$C71,Inhalation_Exp[Worker Type],$D71),SUMIFS(Inhalation_Exp[Int_Central Tendency],Inhalation_Exp[OES],$C71,Inhalation_Exp[Worker Type],$D71))</f>
        <v>0.72966666666666657</v>
      </c>
      <c r="H71" s="210">
        <f>IF(E71="High-End",SUMIFS(Inhalation_Exp[ADD_High-End],Inhalation_Exp[OES],$C71,Inhalation_Exp[Worker Type],$D71),SUMIFS(Inhalation_Exp[ADD_Central Tendency],Inhalation_Exp[OES],$C71,Inhalation_Exp[Worker Type],$D71))</f>
        <v>0.68150684931506833</v>
      </c>
      <c r="I71" s="210">
        <f>IF(E71="High-End",SUMIFS(Inhalation_Exp[LADD_High-End],Inhalation_Exp[OES],$C71,Inhalation_Exp[Worker Type],$D71),SUMIFS(Inhalation_Exp[LADD_Central Tendency],Inhalation_Exp[OES],$C71,Inhalation_Exp[Worker Type],$D71))</f>
        <v>0.34949069195644533</v>
      </c>
      <c r="J71" s="282">
        <f>IF($E71="High-End",SUMIFS(Dermal_Exp[High-End AD (mg/kg-day)],Dermal_Exp[Worker Type],$D71,Dermal_Exp[OES],$C71),SUMIFS(Dermal_Exp[Central Tendency AD (mg/kg-day)],Dermal_Exp[Worker Type],$D71,Dermal_Exp[OES],$C71))</f>
        <v>2.6750000000000003E-3</v>
      </c>
      <c r="K71" s="282">
        <f>IF($E71="High-End",SUMIFS(Dermal_Exp[High-End IADD (mg/kg-day)],Dermal_Exp[Worker Type],$D71,Dermal_Exp[OES],$C71),SUMIFS(Dermal_Exp[Central Tendency IADD (mg/kg-day)],Dermal_Exp[Worker Type],$D71,Dermal_Exp[OES],$C71))</f>
        <v>1.9616666666666667E-3</v>
      </c>
      <c r="L71" s="282">
        <f>IF($E71="High-End",SUMIFS(Dermal_Exp[High-End ADD (mg/kg-day)],Dermal_Exp[Worker Type],$D71,Dermal_Exp[OES],$C71),SUMIFS(Dermal_Exp[Central Tendency ADD (mg/kg-day)],Dermal_Exp[Worker Type],$D71,Dermal_Exp[OES],$C71))</f>
        <v>1.8321917808219181E-3</v>
      </c>
      <c r="M71" s="282">
        <f>IF($E71="High-End",SUMIFS(Dermal_Exp[High-End LADD (mg/kg-day)],Dermal_Exp[Worker Type],$D71,Dermal_Exp[OES],$C71),SUMIFS(Dermal_Exp[Central Tendency LADD (mg/kg-day)],Dermal_Exp[Worker Type],$D71,Dermal_Exp[OES],$C71))</f>
        <v>9.3958552862662462E-4</v>
      </c>
      <c r="N71" s="314">
        <f t="shared" si="5"/>
        <v>0.99767499999999987</v>
      </c>
      <c r="O71" s="314">
        <f t="shared" si="2"/>
        <v>0.73162833333333321</v>
      </c>
      <c r="P71" s="314">
        <f t="shared" si="3"/>
        <v>0.68333904109589028</v>
      </c>
      <c r="Q71" s="314">
        <f t="shared" si="4"/>
        <v>0.35043027748507194</v>
      </c>
    </row>
    <row r="72" spans="3:17">
      <c r="C72" s="313" t="str" cm="1">
        <f t="array" ref="C72">INDEX('List Values'!$B$2:$B$18,(1+ROUNDDOWN((ROW()-ROW($C$5))*1/6,2)))</f>
        <v>Formulation for Diffusion Bonding</v>
      </c>
      <c r="D72" s="313" t="s">
        <v>74</v>
      </c>
      <c r="E72" s="313" t="s">
        <v>93</v>
      </c>
      <c r="F72" s="210">
        <f>IF(E72="High-End",SUMIFS(Inhalation_Exp[24hr_High-End],Inhalation_Exp[OES],$C72,Inhalation_Exp[Worker Type],$D72),SUMIFS(Inhalation_Exp[24hr_Central Tendency],Inhalation_Exp[OES],$C72,Inhalation_Exp[Worker Type],$D72))</f>
        <v>4.2500000000000003E-2</v>
      </c>
      <c r="G72" s="210">
        <f>IF(E72="High-End",SUMIFS(Inhalation_Exp[Int_High-End],Inhalation_Exp[OES],$C72,Inhalation_Exp[Worker Type],$D72),SUMIFS(Inhalation_Exp[Int_Central Tendency],Inhalation_Exp[OES],$C72,Inhalation_Exp[Worker Type],$D72))</f>
        <v>3.1166666666666669E-2</v>
      </c>
      <c r="H72" s="210">
        <f>IF(E72="High-End",SUMIFS(Inhalation_Exp[ADD_High-End],Inhalation_Exp[OES],$C72,Inhalation_Exp[Worker Type],$D72),SUMIFS(Inhalation_Exp[ADD_Central Tendency],Inhalation_Exp[OES],$C72,Inhalation_Exp[Worker Type],$D72))</f>
        <v>2.9109589041095889E-2</v>
      </c>
      <c r="I72" s="210">
        <f>IF(E72="High-End",SUMIFS(Inhalation_Exp[LADD_High-End],Inhalation_Exp[OES],$C72,Inhalation_Exp[Worker Type],$D72),SUMIFS(Inhalation_Exp[LADD_Central Tendency],Inhalation_Exp[OES],$C72,Inhalation_Exp[Worker Type],$D72))</f>
        <v>1.156919564453811E-2</v>
      </c>
      <c r="J72" s="282">
        <f>IF($E72="High-End",SUMIFS(Dermal_Exp[High-End AD (mg/kg-day)],Dermal_Exp[Worker Type],$D72,Dermal_Exp[OES],$C72),SUMIFS(Dermal_Exp[Central Tendency AD (mg/kg-day)],Dermal_Exp[Worker Type],$D72,Dermal_Exp[OES],$C72))</f>
        <v>1.3375000000000001E-3</v>
      </c>
      <c r="K72" s="282">
        <f>IF($E72="High-End",SUMIFS(Dermal_Exp[High-End IADD (mg/kg-day)],Dermal_Exp[Worker Type],$D72,Dermal_Exp[OES],$C72),SUMIFS(Dermal_Exp[Central Tendency IADD (mg/kg-day)],Dermal_Exp[Worker Type],$D72,Dermal_Exp[OES],$C72))</f>
        <v>9.8083333333333334E-4</v>
      </c>
      <c r="L72" s="282">
        <f>IF($E72="High-End",SUMIFS(Dermal_Exp[High-End ADD (mg/kg-day)],Dermal_Exp[Worker Type],$D72,Dermal_Exp[OES],$C72),SUMIFS(Dermal_Exp[Central Tendency ADD (mg/kg-day)],Dermal_Exp[Worker Type],$D72,Dermal_Exp[OES],$C72))</f>
        <v>9.1609589041095907E-4</v>
      </c>
      <c r="M72" s="282">
        <f>IF($E72="High-End",SUMIFS(Dermal_Exp[High-End LADD (mg/kg-day)],Dermal_Exp[Worker Type],$D72,Dermal_Exp[OES],$C72),SUMIFS(Dermal_Exp[Central Tendency LADD (mg/kg-day)],Dermal_Exp[Worker Type],$D72,Dermal_Exp[OES],$C72))</f>
        <v>3.6408939234281704E-4</v>
      </c>
      <c r="N72" s="314">
        <f t="shared" si="5"/>
        <v>4.3837500000000001E-2</v>
      </c>
      <c r="O72" s="314">
        <f t="shared" si="2"/>
        <v>3.2147500000000002E-2</v>
      </c>
      <c r="P72" s="314">
        <f t="shared" si="3"/>
        <v>3.0025684931506848E-2</v>
      </c>
      <c r="Q72" s="314">
        <f t="shared" si="4"/>
        <v>1.1933285036880927E-2</v>
      </c>
    </row>
    <row r="73" spans="3:17">
      <c r="C73" s="313" t="str" cm="1">
        <f t="array" ref="C73">INDEX('List Values'!$B$2:$B$18,(1+ROUNDDOWN((ROW()-ROW($C$5))*1/6,2)))</f>
        <v>Formulation for Diffusion Bonding</v>
      </c>
      <c r="D73" s="313" t="s">
        <v>206</v>
      </c>
      <c r="E73" s="313" t="s">
        <v>92</v>
      </c>
      <c r="F73" s="210">
        <f>IF(E73="High-End",SUMIFS(Inhalation_Exp[24hr_High-End],Inhalation_Exp[OES],$C73,Inhalation_Exp[Worker Type],$D73),SUMIFS(Inhalation_Exp[24hr_Central Tendency],Inhalation_Exp[OES],$C73,Inhalation_Exp[Worker Type],$D73))</f>
        <v>1.0990680013807383</v>
      </c>
      <c r="G73" s="210">
        <f>IF(E73="High-End",SUMIFS(Inhalation_Exp[Int_High-End],Inhalation_Exp[OES],$C73,Inhalation_Exp[Worker Type],$D73),SUMIFS(Inhalation_Exp[Int_Central Tendency],Inhalation_Exp[OES],$C73,Inhalation_Exp[Worker Type],$D73))</f>
        <v>0.80598320101254139</v>
      </c>
      <c r="H73" s="210">
        <f>IF(E73="High-End",SUMIFS(Inhalation_Exp[ADD_High-End],Inhalation_Exp[OES],$C73,Inhalation_Exp[Worker Type],$D73),SUMIFS(Inhalation_Exp[ADD_Central Tendency],Inhalation_Exp[OES],$C73,Inhalation_Exp[Worker Type],$D73))</f>
        <v>0.75278630231557431</v>
      </c>
      <c r="I73" s="210">
        <f>IF(E73="High-End",SUMIFS(Inhalation_Exp[LADD_High-End],Inhalation_Exp[OES],$C73,Inhalation_Exp[Worker Type],$D73),SUMIFS(Inhalation_Exp[LADD_Central Tendency],Inhalation_Exp[OES],$C73,Inhalation_Exp[Worker Type],$D73))</f>
        <v>0.38604425759773042</v>
      </c>
      <c r="J73" s="282">
        <f>IF($E73="High-End",SUMIFS(Dermal_Exp[High-End AD (mg/kg-day)],Dermal_Exp[Worker Type],$D73,Dermal_Exp[OES],$C73),SUMIFS(Dermal_Exp[Central Tendency AD (mg/kg-day)],Dermal_Exp[Worker Type],$D73,Dermal_Exp[OES],$C73))</f>
        <v>2.4577148774594408E-3</v>
      </c>
      <c r="K73" s="282">
        <f>IF($E73="High-End",SUMIFS(Dermal_Exp[High-End IADD (mg/kg-day)],Dermal_Exp[Worker Type],$D73,Dermal_Exp[OES],$C73),SUMIFS(Dermal_Exp[Central Tendency IADD (mg/kg-day)],Dermal_Exp[Worker Type],$D73,Dermal_Exp[OES],$C73))</f>
        <v>1.8023242434702564E-3</v>
      </c>
      <c r="L73" s="282">
        <f>IF($E73="High-End",SUMIFS(Dermal_Exp[High-End ADD (mg/kg-day)],Dermal_Exp[Worker Type],$D73,Dermal_Exp[OES],$C73),SUMIFS(Dermal_Exp[Central Tendency ADD (mg/kg-day)],Dermal_Exp[Worker Type],$D73,Dermal_Exp[OES],$C73))</f>
        <v>1.6833663544242746E-3</v>
      </c>
      <c r="M73" s="282">
        <f>IF($E73="High-End",SUMIFS(Dermal_Exp[High-End LADD (mg/kg-day)],Dermal_Exp[Worker Type],$D73,Dermal_Exp[OES],$C73),SUMIFS(Dermal_Exp[Central Tendency LADD (mg/kg-day)],Dermal_Exp[Worker Type],$D73,Dermal_Exp[OES],$C73))</f>
        <v>8.632647971406536E-4</v>
      </c>
      <c r="N73" s="314">
        <f t="shared" si="5"/>
        <v>1.1015257162581977</v>
      </c>
      <c r="O73" s="314">
        <f t="shared" si="2"/>
        <v>0.80778552525601166</v>
      </c>
      <c r="P73" s="314">
        <f t="shared" si="3"/>
        <v>0.75446966866999854</v>
      </c>
      <c r="Q73" s="314">
        <f t="shared" si="4"/>
        <v>0.38690752239487108</v>
      </c>
    </row>
    <row r="74" spans="3:17">
      <c r="C74" s="313" t="str" cm="1">
        <f t="array" ref="C74">INDEX('List Values'!$B$2:$B$18,(1+ROUNDDOWN((ROW()-ROW($C$5))*1/6,2)))</f>
        <v>Formulation for Diffusion Bonding</v>
      </c>
      <c r="D74" s="313" t="s">
        <v>206</v>
      </c>
      <c r="E74" s="313" t="s">
        <v>93</v>
      </c>
      <c r="F74" s="210">
        <f>IF(E74="High-End",SUMIFS(Inhalation_Exp[24hr_High-End],Inhalation_Exp[OES],$C74,Inhalation_Exp[Worker Type],$D74),SUMIFS(Inhalation_Exp[24hr_Central Tendency],Inhalation_Exp[OES],$C74,Inhalation_Exp[Worker Type],$D74))</f>
        <v>4.6945115636865722E-2</v>
      </c>
      <c r="G74" s="210">
        <f>IF(E74="High-End",SUMIFS(Inhalation_Exp[Int_High-End],Inhalation_Exp[OES],$C74,Inhalation_Exp[Worker Type],$D74),SUMIFS(Inhalation_Exp[Int_Central Tendency],Inhalation_Exp[OES],$C74,Inhalation_Exp[Worker Type],$D74))</f>
        <v>3.4426418133701529E-2</v>
      </c>
      <c r="H74" s="210">
        <f>IF(E74="High-End",SUMIFS(Inhalation_Exp[ADD_High-End],Inhalation_Exp[OES],$C74,Inhalation_Exp[Worker Type],$D74),SUMIFS(Inhalation_Exp[ADD_Central Tendency],Inhalation_Exp[OES],$C74,Inhalation_Exp[Worker Type],$D74))</f>
        <v>3.2154188792373785E-2</v>
      </c>
      <c r="I74" s="210">
        <f>IF(E74="High-End",SUMIFS(Inhalation_Exp[LADD_High-End],Inhalation_Exp[OES],$C74,Inhalation_Exp[Worker Type],$D74),SUMIFS(Inhalation_Exp[LADD_Central Tendency],Inhalation_Exp[OES],$C74,Inhalation_Exp[Worker Type],$D74))</f>
        <v>1.277922887902035E-2</v>
      </c>
      <c r="J74" s="282">
        <f>IF($E74="High-End",SUMIFS(Dermal_Exp[High-End AD (mg/kg-day)],Dermal_Exp[Worker Type],$D74,Dermal_Exp[OES],$C74),SUMIFS(Dermal_Exp[Central Tendency AD (mg/kg-day)],Dermal_Exp[Worker Type],$D74,Dermal_Exp[OES],$C74))</f>
        <v>1.2288574387297204E-3</v>
      </c>
      <c r="K74" s="282">
        <f>IF($E74="High-End",SUMIFS(Dermal_Exp[High-End IADD (mg/kg-day)],Dermal_Exp[Worker Type],$D74,Dermal_Exp[OES],$C74),SUMIFS(Dermal_Exp[Central Tendency IADD (mg/kg-day)],Dermal_Exp[Worker Type],$D74,Dermal_Exp[OES],$C74))</f>
        <v>9.0116212173512822E-4</v>
      </c>
      <c r="L74" s="282">
        <f>IF($E74="High-End",SUMIFS(Dermal_Exp[High-End ADD (mg/kg-day)],Dermal_Exp[Worker Type],$D74,Dermal_Exp[OES],$C74),SUMIFS(Dermal_Exp[Central Tendency ADD (mg/kg-day)],Dermal_Exp[Worker Type],$D74,Dermal_Exp[OES],$C74))</f>
        <v>8.416831772121373E-4</v>
      </c>
      <c r="M74" s="282">
        <f>IF($E74="High-End",SUMIFS(Dermal_Exp[High-End LADD (mg/kg-day)],Dermal_Exp[Worker Type],$D74,Dermal_Exp[OES],$C74),SUMIFS(Dermal_Exp[Central Tendency LADD (mg/kg-day)],Dermal_Exp[Worker Type],$D74,Dermal_Exp[OES],$C74))</f>
        <v>3.3451510889200329E-4</v>
      </c>
      <c r="N74" s="314">
        <f t="shared" si="5"/>
        <v>4.8173973075595442E-2</v>
      </c>
      <c r="O74" s="314">
        <f t="shared" si="2"/>
        <v>3.5327580255436655E-2</v>
      </c>
      <c r="P74" s="314">
        <f t="shared" si="3"/>
        <v>3.2995871969585922E-2</v>
      </c>
      <c r="Q74" s="314">
        <f t="shared" si="4"/>
        <v>1.3113743987912353E-2</v>
      </c>
    </row>
    <row r="75" spans="3:17">
      <c r="C75" s="313" t="str" cm="1">
        <f t="array" ref="C75">INDEX('List Values'!$B$2:$B$18,(1+ROUNDDOWN((ROW()-ROW($C$5))*1/6,2)))</f>
        <v>Formulation for Diffusion Bonding</v>
      </c>
      <c r="D75" s="313" t="s">
        <v>94</v>
      </c>
      <c r="E75" s="313" t="s">
        <v>92</v>
      </c>
      <c r="F75" s="210">
        <f>IF(E75="High-End",SUMIFS(Inhalation_Exp[24hr_High-End],Inhalation_Exp[OES],$C75,Inhalation_Exp[Worker Type],$D75),SUMIFS(Inhalation_Exp[24hr_Central Tendency],Inhalation_Exp[OES],$C75,Inhalation_Exp[Worker Type],$D75))</f>
        <v>4.2500000000000003E-2</v>
      </c>
      <c r="G75" s="210">
        <f>IF(E75="High-End",SUMIFS(Inhalation_Exp[Int_High-End],Inhalation_Exp[OES],$C75,Inhalation_Exp[Worker Type],$D75),SUMIFS(Inhalation_Exp[Int_Central Tendency],Inhalation_Exp[OES],$C75,Inhalation_Exp[Worker Type],$D75))</f>
        <v>3.1166666666666669E-2</v>
      </c>
      <c r="H75" s="210">
        <f>IF(E75="High-End",SUMIFS(Inhalation_Exp[ADD_High-End],Inhalation_Exp[OES],$C75,Inhalation_Exp[Worker Type],$D75),SUMIFS(Inhalation_Exp[ADD_Central Tendency],Inhalation_Exp[OES],$C75,Inhalation_Exp[Worker Type],$D75))</f>
        <v>2.9109589041095889E-2</v>
      </c>
      <c r="I75" s="210">
        <f>IF(E75="High-End",SUMIFS(Inhalation_Exp[LADD_High-End],Inhalation_Exp[OES],$C75,Inhalation_Exp[Worker Type],$D75),SUMIFS(Inhalation_Exp[LADD_Central Tendency],Inhalation_Exp[OES],$C75,Inhalation_Exp[Worker Type],$D75))</f>
        <v>1.4927994380049174E-2</v>
      </c>
      <c r="J75" s="282">
        <f>IF($E75="High-End",SUMIFS(Dermal_Exp[High-End AD (mg/kg-day)],Dermal_Exp[Worker Type],$D75,Dermal_Exp[OES],$C75),SUMIFS(Dermal_Exp[Central Tendency AD (mg/kg-day)],Dermal_Exp[Worker Type],$D75,Dermal_Exp[OES],$C75))</f>
        <v>0</v>
      </c>
      <c r="K75" s="282">
        <f>IF($E75="High-End",SUMIFS(Dermal_Exp[High-End IADD (mg/kg-day)],Dermal_Exp[Worker Type],$D75,Dermal_Exp[OES],$C75),SUMIFS(Dermal_Exp[Central Tendency IADD (mg/kg-day)],Dermal_Exp[Worker Type],$D75,Dermal_Exp[OES],$C75))</f>
        <v>0</v>
      </c>
      <c r="L75" s="282">
        <f>IF($E75="High-End",SUMIFS(Dermal_Exp[High-End ADD (mg/kg-day)],Dermal_Exp[Worker Type],$D75,Dermal_Exp[OES],$C75),SUMIFS(Dermal_Exp[Central Tendency ADD (mg/kg-day)],Dermal_Exp[Worker Type],$D75,Dermal_Exp[OES],$C75))</f>
        <v>0</v>
      </c>
      <c r="M75" s="282">
        <f>IF($E75="High-End",SUMIFS(Dermal_Exp[High-End LADD (mg/kg-day)],Dermal_Exp[Worker Type],$D75,Dermal_Exp[OES],$C75),SUMIFS(Dermal_Exp[Central Tendency LADD (mg/kg-day)],Dermal_Exp[Worker Type],$D75,Dermal_Exp[OES],$C75))</f>
        <v>0</v>
      </c>
      <c r="N75" s="314">
        <f t="shared" si="5"/>
        <v>4.2500000000000003E-2</v>
      </c>
      <c r="O75" s="314">
        <f t="shared" ref="O75:O94" si="6">G75+K75</f>
        <v>3.1166666666666669E-2</v>
      </c>
      <c r="P75" s="314">
        <f t="shared" ref="P75:P94" si="7">H75+L75</f>
        <v>2.9109589041095889E-2</v>
      </c>
      <c r="Q75" s="314">
        <f t="shared" ref="Q75:Q100" si="8">I75+M75</f>
        <v>1.4927994380049174E-2</v>
      </c>
    </row>
    <row r="76" spans="3:17">
      <c r="C76" s="313" t="str" cm="1">
        <f t="array" ref="C76">INDEX('List Values'!$B$2:$B$18,(1+ROUNDDOWN((ROW()-ROW($C$5))*1/6,2)))</f>
        <v>Formulation for Diffusion Bonding</v>
      </c>
      <c r="D76" s="313" t="s">
        <v>94</v>
      </c>
      <c r="E76" s="313" t="s">
        <v>93</v>
      </c>
      <c r="F76" s="210">
        <f>IF(E76="High-End",SUMIFS(Inhalation_Exp[24hr_High-End],Inhalation_Exp[OES],$C76,Inhalation_Exp[Worker Type],$D76),SUMIFS(Inhalation_Exp[24hr_Central Tendency],Inhalation_Exp[OES],$C76,Inhalation_Exp[Worker Type],$D76))</f>
        <v>4.2500000000000003E-2</v>
      </c>
      <c r="G76" s="210">
        <f>IF(E76="High-End",SUMIFS(Inhalation_Exp[Int_High-End],Inhalation_Exp[OES],$C76,Inhalation_Exp[Worker Type],$D76),SUMIFS(Inhalation_Exp[Int_Central Tendency],Inhalation_Exp[OES],$C76,Inhalation_Exp[Worker Type],$D76))</f>
        <v>3.1166666666666669E-2</v>
      </c>
      <c r="H76" s="210">
        <f>IF(E76="High-End",SUMIFS(Inhalation_Exp[ADD_High-End],Inhalation_Exp[OES],$C76,Inhalation_Exp[Worker Type],$D76),SUMIFS(Inhalation_Exp[ADD_Central Tendency],Inhalation_Exp[OES],$C76,Inhalation_Exp[Worker Type],$D76))</f>
        <v>2.9109589041095889E-2</v>
      </c>
      <c r="I76" s="210">
        <f>IF(E76="High-End",SUMIFS(Inhalation_Exp[LADD_High-End],Inhalation_Exp[OES],$C76,Inhalation_Exp[Worker Type],$D76),SUMIFS(Inhalation_Exp[LADD_Central Tendency],Inhalation_Exp[OES],$C76,Inhalation_Exp[Worker Type],$D76))</f>
        <v>1.156919564453811E-2</v>
      </c>
      <c r="J76" s="282">
        <f>IF($E76="High-End",SUMIFS(Dermal_Exp[High-End AD (mg/kg-day)],Dermal_Exp[Worker Type],$D76,Dermal_Exp[OES],$C76),SUMIFS(Dermal_Exp[Central Tendency AD (mg/kg-day)],Dermal_Exp[Worker Type],$D76,Dermal_Exp[OES],$C76))</f>
        <v>0</v>
      </c>
      <c r="K76" s="282">
        <f>IF($E76="High-End",SUMIFS(Dermal_Exp[High-End IADD (mg/kg-day)],Dermal_Exp[Worker Type],$D76,Dermal_Exp[OES],$C76),SUMIFS(Dermal_Exp[Central Tendency IADD (mg/kg-day)],Dermal_Exp[Worker Type],$D76,Dermal_Exp[OES],$C76))</f>
        <v>0</v>
      </c>
      <c r="L76" s="282">
        <f>IF($E76="High-End",SUMIFS(Dermal_Exp[High-End ADD (mg/kg-day)],Dermal_Exp[Worker Type],$D76,Dermal_Exp[OES],$C76),SUMIFS(Dermal_Exp[Central Tendency ADD (mg/kg-day)],Dermal_Exp[Worker Type],$D76,Dermal_Exp[OES],$C76))</f>
        <v>0</v>
      </c>
      <c r="M76" s="282">
        <f>IF($E76="High-End",SUMIFS(Dermal_Exp[High-End LADD (mg/kg-day)],Dermal_Exp[Worker Type],$D76,Dermal_Exp[OES],$C76),SUMIFS(Dermal_Exp[Central Tendency LADD (mg/kg-day)],Dermal_Exp[Worker Type],$D76,Dermal_Exp[OES],$C76))</f>
        <v>0</v>
      </c>
      <c r="N76" s="314">
        <f t="shared" ref="N76:N94" si="9">F76+J76</f>
        <v>4.2500000000000003E-2</v>
      </c>
      <c r="O76" s="314">
        <f t="shared" si="6"/>
        <v>3.1166666666666669E-2</v>
      </c>
      <c r="P76" s="314">
        <f t="shared" si="7"/>
        <v>2.9109589041095889E-2</v>
      </c>
      <c r="Q76" s="314">
        <f t="shared" si="8"/>
        <v>1.156919564453811E-2</v>
      </c>
    </row>
    <row r="77" spans="3:17">
      <c r="C77" s="313" t="str" cm="1">
        <f t="array" ref="C77">INDEX('List Values'!$B$2:$B$18,(1+ROUNDDOWN((ROW()-ROW($C$5))*1/6,2)))</f>
        <v>Use in Hydraulic Fracturing</v>
      </c>
      <c r="D77" s="313" t="s">
        <v>74</v>
      </c>
      <c r="E77" s="308" t="s">
        <v>92</v>
      </c>
      <c r="F77" s="210">
        <f>IF(E77="High-End",SUMIFS(Inhalation_Exp[24hr_High-End],Inhalation_Exp[OES],$C77,Inhalation_Exp[Worker Type],$D77),SUMIFS(Inhalation_Exp[24hr_Central Tendency],Inhalation_Exp[OES],$C77,Inhalation_Exp[Worker Type],$D77))</f>
        <v>2.7499999999999998E-3</v>
      </c>
      <c r="G77" s="210">
        <f>IF(E77="High-End",SUMIFS(Inhalation_Exp[Int_High-End],Inhalation_Exp[OES],$C77,Inhalation_Exp[Worker Type],$D77),SUMIFS(Inhalation_Exp[Int_Central Tendency],Inhalation_Exp[OES],$C77,Inhalation_Exp[Worker Type],$D77))</f>
        <v>2.7500000000000002E-4</v>
      </c>
      <c r="H77" s="210">
        <f>IF(E77="High-End",SUMIFS(Inhalation_Exp[ADD_High-End],Inhalation_Exp[OES],$C77,Inhalation_Exp[Worker Type],$D77),SUMIFS(Inhalation_Exp[ADD_Central Tendency],Inhalation_Exp[OES],$C77,Inhalation_Exp[Worker Type],$D77))</f>
        <v>2.2602739726027399E-5</v>
      </c>
      <c r="I77" s="210">
        <f>IF(E77="High-End",SUMIFS(Inhalation_Exp[LADD_High-End],Inhalation_Exp[OES],$C77,Inhalation_Exp[Worker Type],$D77),SUMIFS(Inhalation_Exp[LADD_Central Tendency],Inhalation_Exp[OES],$C77,Inhalation_Exp[Worker Type],$D77))</f>
        <v>1.1591148577449948E-5</v>
      </c>
      <c r="J77" s="282">
        <f>IF($E77="High-End",SUMIFS(Dermal_Exp[High-End AD (mg/kg-day)],Dermal_Exp[Worker Type],$D77,Dermal_Exp[OES],$C77),SUMIFS(Dermal_Exp[Central Tendency AD (mg/kg-day)],Dermal_Exp[Worker Type],$D77,Dermal_Exp[OES],$C77))</f>
        <v>2.6750000000000003E-3</v>
      </c>
      <c r="K77" s="282">
        <f>IF($E77="High-End",SUMIFS(Dermal_Exp[High-End IADD (mg/kg-day)],Dermal_Exp[Worker Type],$D77,Dermal_Exp[OES],$C77),SUMIFS(Dermal_Exp[Central Tendency IADD (mg/kg-day)],Dermal_Exp[Worker Type],$D77,Dermal_Exp[OES],$C77))</f>
        <v>2.6750000000000005E-4</v>
      </c>
      <c r="L77" s="282">
        <f>IF($E77="High-End",SUMIFS(Dermal_Exp[High-End ADD (mg/kg-day)],Dermal_Exp[Worker Type],$D77,Dermal_Exp[OES],$C77),SUMIFS(Dermal_Exp[Central Tendency ADD (mg/kg-day)],Dermal_Exp[Worker Type],$D77,Dermal_Exp[OES],$C77))</f>
        <v>2.1986301369863017E-5</v>
      </c>
      <c r="M77" s="282">
        <f>IF($E77="High-End",SUMIFS(Dermal_Exp[High-End LADD (mg/kg-day)],Dermal_Exp[Worker Type],$D77,Dermal_Exp[OES],$C77),SUMIFS(Dermal_Exp[Central Tendency LADD (mg/kg-day)],Dermal_Exp[Worker Type],$D77,Dermal_Exp[OES],$C77))</f>
        <v>1.1275026343519496E-5</v>
      </c>
      <c r="N77" s="314">
        <f t="shared" si="9"/>
        <v>5.4250000000000001E-3</v>
      </c>
      <c r="O77" s="314">
        <f t="shared" si="6"/>
        <v>5.4250000000000001E-4</v>
      </c>
      <c r="P77" s="314">
        <f t="shared" si="7"/>
        <v>4.458904109589042E-5</v>
      </c>
      <c r="Q77" s="314">
        <f t="shared" si="8"/>
        <v>2.2866174920969444E-5</v>
      </c>
    </row>
    <row r="78" spans="3:17">
      <c r="C78" s="313" t="str" cm="1">
        <f t="array" ref="C78">INDEX('List Values'!$B$2:$B$18,(1+ROUNDDOWN((ROW()-ROW($C$5))*1/6,2)))</f>
        <v>Use in Hydraulic Fracturing</v>
      </c>
      <c r="D78" s="313" t="s">
        <v>74</v>
      </c>
      <c r="E78" s="313" t="s">
        <v>93</v>
      </c>
      <c r="F78" s="210">
        <f>IF(E78="High-End",SUMIFS(Inhalation_Exp[24hr_High-End],Inhalation_Exp[OES],$C78,Inhalation_Exp[Worker Type],$D78),SUMIFS(Inhalation_Exp[24hr_Central Tendency],Inhalation_Exp[OES],$C78,Inhalation_Exp[Worker Type],$D78))</f>
        <v>1.5E-3</v>
      </c>
      <c r="G78" s="210">
        <f>IF(E78="High-End",SUMIFS(Inhalation_Exp[Int_High-End],Inhalation_Exp[OES],$C78,Inhalation_Exp[Worker Type],$D78),SUMIFS(Inhalation_Exp[Int_Central Tendency],Inhalation_Exp[OES],$C78,Inhalation_Exp[Worker Type],$D78))</f>
        <v>5.0000000000000002E-5</v>
      </c>
      <c r="H78" s="210">
        <f>IF(E78="High-End",SUMIFS(Inhalation_Exp[ADD_High-End],Inhalation_Exp[OES],$C78,Inhalation_Exp[Worker Type],$D78),SUMIFS(Inhalation_Exp[ADD_Central Tendency],Inhalation_Exp[OES],$C78,Inhalation_Exp[Worker Type],$D78))</f>
        <v>4.10958904109589E-6</v>
      </c>
      <c r="I78" s="210">
        <f>IF(E78="High-End",SUMIFS(Inhalation_Exp[LADD_High-End],Inhalation_Exp[OES],$C78,Inhalation_Exp[Worker Type],$D78),SUMIFS(Inhalation_Exp[LADD_Central Tendency],Inhalation_Exp[OES],$C78,Inhalation_Exp[Worker Type],$D78))</f>
        <v>1.6332982086406743E-6</v>
      </c>
      <c r="J78" s="282">
        <f>IF($E78="High-End",SUMIFS(Dermal_Exp[High-End AD (mg/kg-day)],Dermal_Exp[Worker Type],$D78,Dermal_Exp[OES],$C78),SUMIFS(Dermal_Exp[Central Tendency AD (mg/kg-day)],Dermal_Exp[Worker Type],$D78,Dermal_Exp[OES],$C78))</f>
        <v>1.3375000000000001E-3</v>
      </c>
      <c r="K78" s="282">
        <f>IF($E78="High-End",SUMIFS(Dermal_Exp[High-End IADD (mg/kg-day)],Dermal_Exp[Worker Type],$D78,Dermal_Exp[OES],$C78),SUMIFS(Dermal_Exp[Central Tendency IADD (mg/kg-day)],Dermal_Exp[Worker Type],$D78,Dermal_Exp[OES],$C78))</f>
        <v>4.4583333333333337E-5</v>
      </c>
      <c r="L78" s="282">
        <f>IF($E78="High-End",SUMIFS(Dermal_Exp[High-End ADD (mg/kg-day)],Dermal_Exp[Worker Type],$D78,Dermal_Exp[OES],$C78),SUMIFS(Dermal_Exp[Central Tendency ADD (mg/kg-day)],Dermal_Exp[Worker Type],$D78,Dermal_Exp[OES],$C78))</f>
        <v>3.6643835616438361E-6</v>
      </c>
      <c r="M78" s="282">
        <f>IF($E78="High-End",SUMIFS(Dermal_Exp[High-End LADD (mg/kg-day)],Dermal_Exp[Worker Type],$D78,Dermal_Exp[OES],$C78),SUMIFS(Dermal_Exp[Central Tendency LADD (mg/kg-day)],Dermal_Exp[Worker Type],$D78,Dermal_Exp[OES],$C78))</f>
        <v>1.4563575693712682E-6</v>
      </c>
      <c r="N78" s="314">
        <f t="shared" si="9"/>
        <v>2.8375000000000002E-3</v>
      </c>
      <c r="O78" s="314">
        <f t="shared" si="6"/>
        <v>9.4583333333333347E-5</v>
      </c>
      <c r="P78" s="314">
        <f t="shared" si="7"/>
        <v>7.7739726027397265E-6</v>
      </c>
      <c r="Q78" s="314">
        <f t="shared" si="8"/>
        <v>3.0896557780119425E-6</v>
      </c>
    </row>
    <row r="79" spans="3:17">
      <c r="C79" s="313" t="str" cm="1">
        <f t="array" ref="C79">INDEX('List Values'!$B$2:$B$18,(1+ROUNDDOWN((ROW()-ROW($C$5))*1/6,2)))</f>
        <v>Use in Hydraulic Fracturing</v>
      </c>
      <c r="D79" s="313" t="s">
        <v>206</v>
      </c>
      <c r="E79" s="313" t="s">
        <v>92</v>
      </c>
      <c r="F79" s="210">
        <f>IF(E79="High-End",SUMIFS(Inhalation_Exp[24hr_High-End],Inhalation_Exp[OES],$C79,Inhalation_Exp[Worker Type],$D79),SUMIFS(Inhalation_Exp[24hr_Central Tendency],Inhalation_Exp[OES],$C79,Inhalation_Exp[Worker Type],$D79))</f>
        <v>3.0376251294442517E-3</v>
      </c>
      <c r="G79" s="210">
        <f>IF(E79="High-End",SUMIFS(Inhalation_Exp[Int_High-End],Inhalation_Exp[OES],$C79,Inhalation_Exp[Worker Type],$D79),SUMIFS(Inhalation_Exp[Int_Central Tendency],Inhalation_Exp[OES],$C79,Inhalation_Exp[Worker Type],$D79))</f>
        <v>3.0376251294442512E-4</v>
      </c>
      <c r="H79" s="210">
        <f>IF(E79="High-End",SUMIFS(Inhalation_Exp[ADD_High-End],Inhalation_Exp[OES],$C79,Inhalation_Exp[Worker Type],$D79),SUMIFS(Inhalation_Exp[ADD_Central Tendency],Inhalation_Exp[OES],$C79,Inhalation_Exp[Worker Type],$D79))</f>
        <v>2.4966781885843161E-5</v>
      </c>
      <c r="I79" s="210">
        <f>IF(E79="High-End",SUMIFS(Inhalation_Exp[LADD_High-End],Inhalation_Exp[OES],$C79,Inhalation_Exp[Worker Type],$D79),SUMIFS(Inhalation_Exp[LADD_Central Tendency],Inhalation_Exp[OES],$C79,Inhalation_Exp[Worker Type],$D79))</f>
        <v>1.280347789017598E-5</v>
      </c>
      <c r="J79" s="282">
        <f>IF($E79="High-End",SUMIFS(Dermal_Exp[High-End AD (mg/kg-day)],Dermal_Exp[Worker Type],$D79,Dermal_Exp[OES],$C79),SUMIFS(Dermal_Exp[Central Tendency AD (mg/kg-day)],Dermal_Exp[Worker Type],$D79,Dermal_Exp[OES],$C79))</f>
        <v>2.4577148774594408E-3</v>
      </c>
      <c r="K79" s="282">
        <f>IF($E79="High-End",SUMIFS(Dermal_Exp[High-End IADD (mg/kg-day)],Dermal_Exp[Worker Type],$D79,Dermal_Exp[OES],$C79),SUMIFS(Dermal_Exp[Central Tendency IADD (mg/kg-day)],Dermal_Exp[Worker Type],$D79,Dermal_Exp[OES],$C79))</f>
        <v>2.457714877459441E-4</v>
      </c>
      <c r="L79" s="282">
        <f>IF($E79="High-End",SUMIFS(Dermal_Exp[High-End ADD (mg/kg-day)],Dermal_Exp[Worker Type],$D79,Dermal_Exp[OES],$C79),SUMIFS(Dermal_Exp[Central Tendency ADD (mg/kg-day)],Dermal_Exp[Worker Type],$D79,Dermal_Exp[OES],$C79))</f>
        <v>2.0200396253091296E-5</v>
      </c>
      <c r="M79" s="282">
        <f>IF($E79="High-End",SUMIFS(Dermal_Exp[High-End LADD (mg/kg-day)],Dermal_Exp[Worker Type],$D79,Dermal_Exp[OES],$C79),SUMIFS(Dermal_Exp[Central Tendency LADD (mg/kg-day)],Dermal_Exp[Worker Type],$D79,Dermal_Exp[OES],$C79))</f>
        <v>1.0359177565687845E-5</v>
      </c>
      <c r="N79" s="314">
        <f t="shared" si="9"/>
        <v>5.4953400069036925E-3</v>
      </c>
      <c r="O79" s="314">
        <f t="shared" si="6"/>
        <v>5.4953400069036916E-4</v>
      </c>
      <c r="P79" s="314">
        <f t="shared" si="7"/>
        <v>4.5167178138934454E-5</v>
      </c>
      <c r="Q79" s="314">
        <f t="shared" si="8"/>
        <v>2.3162655455863826E-5</v>
      </c>
    </row>
    <row r="80" spans="3:17">
      <c r="C80" s="313" t="str" cm="1">
        <f t="array" ref="C80">INDEX('List Values'!$B$2:$B$18,(1+ROUNDDOWN((ROW()-ROW($C$5))*1/6,2)))</f>
        <v>Use in Hydraulic Fracturing</v>
      </c>
      <c r="D80" s="313" t="s">
        <v>206</v>
      </c>
      <c r="E80" s="313" t="s">
        <v>93</v>
      </c>
      <c r="F80" s="210">
        <f>IF(E80="High-End",SUMIFS(Inhalation_Exp[24hr_High-End],Inhalation_Exp[OES],$C80,Inhalation_Exp[Worker Type],$D80),SUMIFS(Inhalation_Exp[24hr_Central Tendency],Inhalation_Exp[OES],$C80,Inhalation_Exp[Worker Type],$D80))</f>
        <v>1.6568864342423194E-3</v>
      </c>
      <c r="G80" s="210">
        <f>IF(E80="High-End",SUMIFS(Inhalation_Exp[Int_High-End],Inhalation_Exp[OES],$C80,Inhalation_Exp[Worker Type],$D80),SUMIFS(Inhalation_Exp[Int_Central Tendency],Inhalation_Exp[OES],$C80,Inhalation_Exp[Worker Type],$D80))</f>
        <v>5.5229547808077311E-5</v>
      </c>
      <c r="H80" s="210">
        <f>IF(E80="High-End",SUMIFS(Inhalation_Exp[ADD_High-End],Inhalation_Exp[OES],$C80,Inhalation_Exp[Worker Type],$D80),SUMIFS(Inhalation_Exp[ADD_Central Tendency],Inhalation_Exp[OES],$C80,Inhalation_Exp[Worker Type],$D80))</f>
        <v>4.5394148883351217E-6</v>
      </c>
      <c r="I80" s="210">
        <f>IF(E80="High-End",SUMIFS(Inhalation_Exp[LADD_High-End],Inhalation_Exp[OES],$C80,Inhalation_Exp[Worker Type],$D80),SUMIFS(Inhalation_Exp[LADD_Central Tendency],Inhalation_Exp[OES],$C80,Inhalation_Exp[Worker Type],$D80))</f>
        <v>1.8041264299793432E-6</v>
      </c>
      <c r="J80" s="282">
        <f>IF($E80="High-End",SUMIFS(Dermal_Exp[High-End AD (mg/kg-day)],Dermal_Exp[Worker Type],$D80,Dermal_Exp[OES],$C80),SUMIFS(Dermal_Exp[Central Tendency AD (mg/kg-day)],Dermal_Exp[Worker Type],$D80,Dermal_Exp[OES],$C80))</f>
        <v>1.2288574387297204E-3</v>
      </c>
      <c r="K80" s="282">
        <f>IF($E80="High-End",SUMIFS(Dermal_Exp[High-End IADD (mg/kg-day)],Dermal_Exp[Worker Type],$D80,Dermal_Exp[OES],$C80),SUMIFS(Dermal_Exp[Central Tendency IADD (mg/kg-day)],Dermal_Exp[Worker Type],$D80,Dermal_Exp[OES],$C80))</f>
        <v>4.0961914624324014E-5</v>
      </c>
      <c r="L80" s="282">
        <f>IF($E80="High-End",SUMIFS(Dermal_Exp[High-End ADD (mg/kg-day)],Dermal_Exp[Worker Type],$D80,Dermal_Exp[OES],$C80),SUMIFS(Dermal_Exp[Central Tendency ADD (mg/kg-day)],Dermal_Exp[Worker Type],$D80,Dermal_Exp[OES],$C80))</f>
        <v>3.3667327088485491E-6</v>
      </c>
      <c r="M80" s="282">
        <f>IF($E80="High-End",SUMIFS(Dermal_Exp[High-End LADD (mg/kg-day)],Dermal_Exp[Worker Type],$D80,Dermal_Exp[OES],$C80),SUMIFS(Dermal_Exp[Central Tendency LADD (mg/kg-day)],Dermal_Exp[Worker Type],$D80,Dermal_Exp[OES],$C80))</f>
        <v>1.3380604355680132E-6</v>
      </c>
      <c r="N80" s="314">
        <f t="shared" si="9"/>
        <v>2.8857438729720398E-3</v>
      </c>
      <c r="O80" s="314">
        <f t="shared" si="6"/>
        <v>9.6191462432401319E-5</v>
      </c>
      <c r="P80" s="314">
        <f t="shared" si="7"/>
        <v>7.90614759718367E-6</v>
      </c>
      <c r="Q80" s="314">
        <f t="shared" si="8"/>
        <v>3.1421868655473564E-6</v>
      </c>
    </row>
    <row r="81" spans="3:17">
      <c r="C81" s="313" t="str" cm="1">
        <f t="array" ref="C81">INDEX('List Values'!$B$2:$B$18,(1+ROUNDDOWN((ROW()-ROW($C$5))*1/6,2)))</f>
        <v>Use in Hydraulic Fracturing</v>
      </c>
      <c r="D81" s="313" t="s">
        <v>94</v>
      </c>
      <c r="E81" s="313" t="s">
        <v>92</v>
      </c>
      <c r="F81" s="210">
        <f>IF(E81="High-End",SUMIFS(Inhalation_Exp[24hr_High-End],Inhalation_Exp[OES],$C81,Inhalation_Exp[Worker Type],$D81),SUMIFS(Inhalation_Exp[24hr_Central Tendency],Inhalation_Exp[OES],$C81,Inhalation_Exp[Worker Type],$D81))</f>
        <v>1.5E-3</v>
      </c>
      <c r="G81" s="210">
        <f>IF(E81="High-End",SUMIFS(Inhalation_Exp[Int_High-End],Inhalation_Exp[OES],$C81,Inhalation_Exp[Worker Type],$D81),SUMIFS(Inhalation_Exp[Int_Central Tendency],Inhalation_Exp[OES],$C81,Inhalation_Exp[Worker Type],$D81))</f>
        <v>1.5000000000000001E-4</v>
      </c>
      <c r="H81" s="210">
        <f>IF(E81="High-End",SUMIFS(Inhalation_Exp[ADD_High-End],Inhalation_Exp[OES],$C81,Inhalation_Exp[Worker Type],$D81),SUMIFS(Inhalation_Exp[ADD_Central Tendency],Inhalation_Exp[OES],$C81,Inhalation_Exp[Worker Type],$D81))</f>
        <v>1.2328767123287673E-5</v>
      </c>
      <c r="I81" s="210">
        <f>IF(E81="High-End",SUMIFS(Inhalation_Exp[LADD_High-End],Inhalation_Exp[OES],$C81,Inhalation_Exp[Worker Type],$D81),SUMIFS(Inhalation_Exp[LADD_Central Tendency],Inhalation_Exp[OES],$C81,Inhalation_Exp[Worker Type],$D81))</f>
        <v>6.3224446786090627E-6</v>
      </c>
      <c r="J81" s="282">
        <f>IF($E81="High-End",SUMIFS(Dermal_Exp[High-End AD (mg/kg-day)],Dermal_Exp[Worker Type],$D81,Dermal_Exp[OES],$C81),SUMIFS(Dermal_Exp[Central Tendency AD (mg/kg-day)],Dermal_Exp[Worker Type],$D81,Dermal_Exp[OES],$C81))</f>
        <v>0</v>
      </c>
      <c r="K81" s="282">
        <f>IF($E81="High-End",SUMIFS(Dermal_Exp[High-End IADD (mg/kg-day)],Dermal_Exp[Worker Type],$D81,Dermal_Exp[OES],$C81),SUMIFS(Dermal_Exp[Central Tendency IADD (mg/kg-day)],Dermal_Exp[Worker Type],$D81,Dermal_Exp[OES],$C81))</f>
        <v>0</v>
      </c>
      <c r="L81" s="282">
        <f>IF($E81="High-End",SUMIFS(Dermal_Exp[High-End ADD (mg/kg-day)],Dermal_Exp[Worker Type],$D81,Dermal_Exp[OES],$C81),SUMIFS(Dermal_Exp[Central Tendency ADD (mg/kg-day)],Dermal_Exp[Worker Type],$D81,Dermal_Exp[OES],$C81))</f>
        <v>0</v>
      </c>
      <c r="M81" s="282">
        <f>IF($E81="High-End",SUMIFS(Dermal_Exp[High-End LADD (mg/kg-day)],Dermal_Exp[Worker Type],$D81,Dermal_Exp[OES],$C81),SUMIFS(Dermal_Exp[Central Tendency LADD (mg/kg-day)],Dermal_Exp[Worker Type],$D81,Dermal_Exp[OES],$C81))</f>
        <v>0</v>
      </c>
      <c r="N81" s="314">
        <f t="shared" si="9"/>
        <v>1.5E-3</v>
      </c>
      <c r="O81" s="314">
        <f t="shared" si="6"/>
        <v>1.5000000000000001E-4</v>
      </c>
      <c r="P81" s="314">
        <f t="shared" si="7"/>
        <v>1.2328767123287673E-5</v>
      </c>
      <c r="Q81" s="314">
        <f t="shared" si="8"/>
        <v>6.3224446786090627E-6</v>
      </c>
    </row>
    <row r="82" spans="3:17">
      <c r="C82" s="313" t="str" cm="1">
        <f t="array" ref="C82">INDEX('List Values'!$B$2:$B$18,(1+ROUNDDOWN((ROW()-ROW($C$5))*1/6,2)))</f>
        <v>Use in Hydraulic Fracturing</v>
      </c>
      <c r="D82" s="313" t="s">
        <v>94</v>
      </c>
      <c r="E82" s="313" t="s">
        <v>93</v>
      </c>
      <c r="F82" s="210">
        <f>IF(E82="High-End",SUMIFS(Inhalation_Exp[24hr_High-End],Inhalation_Exp[OES],$C82,Inhalation_Exp[Worker Type],$D82),SUMIFS(Inhalation_Exp[24hr_Central Tendency],Inhalation_Exp[OES],$C82,Inhalation_Exp[Worker Type],$D82))</f>
        <v>1.5E-3</v>
      </c>
      <c r="G82" s="210">
        <f>IF(E82="High-End",SUMIFS(Inhalation_Exp[Int_High-End],Inhalation_Exp[OES],$C82,Inhalation_Exp[Worker Type],$D82),SUMIFS(Inhalation_Exp[Int_Central Tendency],Inhalation_Exp[OES],$C82,Inhalation_Exp[Worker Type],$D82))</f>
        <v>5.0000000000000002E-5</v>
      </c>
      <c r="H82" s="210">
        <f>IF(E82="High-End",SUMIFS(Inhalation_Exp[ADD_High-End],Inhalation_Exp[OES],$C82,Inhalation_Exp[Worker Type],$D82),SUMIFS(Inhalation_Exp[ADD_Central Tendency],Inhalation_Exp[OES],$C82,Inhalation_Exp[Worker Type],$D82))</f>
        <v>4.10958904109589E-6</v>
      </c>
      <c r="I82" s="210">
        <f>IF(E82="High-End",SUMIFS(Inhalation_Exp[LADD_High-End],Inhalation_Exp[OES],$C82,Inhalation_Exp[Worker Type],$D82),SUMIFS(Inhalation_Exp[LADD_Central Tendency],Inhalation_Exp[OES],$C82,Inhalation_Exp[Worker Type],$D82))</f>
        <v>1.6332982086406743E-6</v>
      </c>
      <c r="J82" s="282">
        <f>IF($E82="High-End",SUMIFS(Dermal_Exp[High-End AD (mg/kg-day)],Dermal_Exp[Worker Type],$D82,Dermal_Exp[OES],$C82),SUMIFS(Dermal_Exp[Central Tendency AD (mg/kg-day)],Dermal_Exp[Worker Type],$D82,Dermal_Exp[OES],$C82))</f>
        <v>0</v>
      </c>
      <c r="K82" s="282">
        <f>IF($E82="High-End",SUMIFS(Dermal_Exp[High-End IADD (mg/kg-day)],Dermal_Exp[Worker Type],$D82,Dermal_Exp[OES],$C82),SUMIFS(Dermal_Exp[Central Tendency IADD (mg/kg-day)],Dermal_Exp[Worker Type],$D82,Dermal_Exp[OES],$C82))</f>
        <v>0</v>
      </c>
      <c r="L82" s="282">
        <f>IF($E82="High-End",SUMIFS(Dermal_Exp[High-End ADD (mg/kg-day)],Dermal_Exp[Worker Type],$D82,Dermal_Exp[OES],$C82),SUMIFS(Dermal_Exp[Central Tendency ADD (mg/kg-day)],Dermal_Exp[Worker Type],$D82,Dermal_Exp[OES],$C82))</f>
        <v>0</v>
      </c>
      <c r="M82" s="282">
        <f>IF($E82="High-End",SUMIFS(Dermal_Exp[High-End LADD (mg/kg-day)],Dermal_Exp[Worker Type],$D82,Dermal_Exp[OES],$C82),SUMIFS(Dermal_Exp[Central Tendency LADD (mg/kg-day)],Dermal_Exp[Worker Type],$D82,Dermal_Exp[OES],$C82))</f>
        <v>0</v>
      </c>
      <c r="N82" s="314">
        <f t="shared" si="9"/>
        <v>1.5E-3</v>
      </c>
      <c r="O82" s="314">
        <f t="shared" si="6"/>
        <v>5.0000000000000002E-5</v>
      </c>
      <c r="P82" s="314">
        <f t="shared" si="7"/>
        <v>4.10958904109589E-6</v>
      </c>
      <c r="Q82" s="314">
        <f t="shared" si="8"/>
        <v>1.6332982086406743E-6</v>
      </c>
    </row>
    <row r="83" spans="3:17">
      <c r="C83" s="313" t="str" cm="1">
        <f t="array" ref="C83">INDEX('List Values'!$B$2:$B$18,(1+ROUNDDOWN((ROW()-ROW($C$5))*1/6,2)))</f>
        <v>Use of Laboratory Chemicals</v>
      </c>
      <c r="D83" s="313" t="s">
        <v>74</v>
      </c>
      <c r="E83" s="308" t="s">
        <v>92</v>
      </c>
      <c r="F83" s="210">
        <f>IF(E83="High-End",SUMIFS(Inhalation_Exp[24hr_High-End],Inhalation_Exp[OES],$C83,Inhalation_Exp[Worker Type],$D83),SUMIFS(Inhalation_Exp[24hr_Central Tendency],Inhalation_Exp[OES],$C83,Inhalation_Exp[Worker Type],$D83))</f>
        <v>1.2500000000000001E-2</v>
      </c>
      <c r="G83" s="210">
        <f>IF(E83="High-End",SUMIFS(Inhalation_Exp[Int_High-End],Inhalation_Exp[OES],$C83,Inhalation_Exp[Worker Type],$D83),SUMIFS(Inhalation_Exp[Int_Central Tendency],Inhalation_Exp[OES],$C83,Inhalation_Exp[Worker Type],$D83))</f>
        <v>9.1666666666666667E-3</v>
      </c>
      <c r="H83" s="210">
        <f>IF(E83="High-End",SUMIFS(Inhalation_Exp[ADD_High-End],Inhalation_Exp[OES],$C83,Inhalation_Exp[Worker Type],$D83),SUMIFS(Inhalation_Exp[ADD_Central Tendency],Inhalation_Exp[OES],$C83,Inhalation_Exp[Worker Type],$D83))</f>
        <v>8.5616438356164379E-3</v>
      </c>
      <c r="I83" s="210">
        <f>IF(E83="High-End",SUMIFS(Inhalation_Exp[LADD_High-End],Inhalation_Exp[OES],$C83,Inhalation_Exp[Worker Type],$D83),SUMIFS(Inhalation_Exp[LADD_Central Tendency],Inhalation_Exp[OES],$C83,Inhalation_Exp[Worker Type],$D83))</f>
        <v>4.3905865823674044E-3</v>
      </c>
      <c r="J83" s="282">
        <f>IF($E83="High-End",SUMIFS(Dermal_Exp[High-End AD (mg/kg-day)],Dermal_Exp[Worker Type],$D83,Dermal_Exp[OES],$C83),SUMIFS(Dermal_Exp[Central Tendency AD (mg/kg-day)],Dermal_Exp[Worker Type],$D83,Dermal_Exp[OES],$C83))</f>
        <v>5.1359999999999999E-3</v>
      </c>
      <c r="K83" s="282">
        <f>IF($E83="High-End",SUMIFS(Dermal_Exp[High-End IADD (mg/kg-day)],Dermal_Exp[Worker Type],$D83,Dermal_Exp[OES],$C83),SUMIFS(Dermal_Exp[Central Tendency IADD (mg/kg-day)],Dermal_Exp[Worker Type],$D83,Dermal_Exp[OES],$C83))</f>
        <v>3.7664E-3</v>
      </c>
      <c r="L83" s="282">
        <f>IF($E83="High-End",SUMIFS(Dermal_Exp[High-End ADD (mg/kg-day)],Dermal_Exp[Worker Type],$D83,Dermal_Exp[OES],$C83),SUMIFS(Dermal_Exp[Central Tendency ADD (mg/kg-day)],Dermal_Exp[Worker Type],$D83,Dermal_Exp[OES],$C83))</f>
        <v>3.5178082191780822E-3</v>
      </c>
      <c r="M83" s="282">
        <f>IF($E83="High-End",SUMIFS(Dermal_Exp[High-End LADD (mg/kg-day)],Dermal_Exp[Worker Type],$D83,Dermal_Exp[OES],$C83),SUMIFS(Dermal_Exp[Central Tendency LADD (mg/kg-day)],Dermal_Exp[Worker Type],$D83,Dermal_Exp[OES],$C83))</f>
        <v>1.804004214963119E-3</v>
      </c>
      <c r="N83" s="314">
        <f t="shared" si="9"/>
        <v>1.7635999999999999E-2</v>
      </c>
      <c r="O83" s="314">
        <f t="shared" si="6"/>
        <v>1.2933066666666666E-2</v>
      </c>
      <c r="P83" s="314">
        <f t="shared" si="7"/>
        <v>1.2079452054794521E-2</v>
      </c>
      <c r="Q83" s="314">
        <f t="shared" si="8"/>
        <v>6.1945907973305235E-3</v>
      </c>
    </row>
    <row r="84" spans="3:17">
      <c r="C84" s="313" t="str" cm="1">
        <f t="array" ref="C84">INDEX('List Values'!$B$2:$B$18,(1+ROUNDDOWN((ROW()-ROW($C$5))*1/6,2)))</f>
        <v>Use of Laboratory Chemicals</v>
      </c>
      <c r="D84" s="313" t="s">
        <v>74</v>
      </c>
      <c r="E84" s="313" t="s">
        <v>93</v>
      </c>
      <c r="F84" s="210">
        <f>IF(E84="High-End",SUMIFS(Inhalation_Exp[24hr_High-End],Inhalation_Exp[OES],$C84,Inhalation_Exp[Worker Type],$D84),SUMIFS(Inhalation_Exp[24hr_Central Tendency],Inhalation_Exp[OES],$C84,Inhalation_Exp[Worker Type],$D84))</f>
        <v>1.25E-3</v>
      </c>
      <c r="G84" s="210">
        <f>IF(E84="High-End",SUMIFS(Inhalation_Exp[Int_High-End],Inhalation_Exp[OES],$C84,Inhalation_Exp[Worker Type],$D84),SUMIFS(Inhalation_Exp[Int_Central Tendency],Inhalation_Exp[OES],$C84,Inhalation_Exp[Worker Type],$D84))</f>
        <v>9.1666666666666665E-4</v>
      </c>
      <c r="H84" s="210">
        <f>IF(E84="High-End",SUMIFS(Inhalation_Exp[ADD_High-End],Inhalation_Exp[OES],$C84,Inhalation_Exp[Worker Type],$D84),SUMIFS(Inhalation_Exp[ADD_Central Tendency],Inhalation_Exp[OES],$C84,Inhalation_Exp[Worker Type],$D84))</f>
        <v>8.047945205479453E-4</v>
      </c>
      <c r="I84" s="210">
        <f>IF(E84="High-End",SUMIFS(Inhalation_Exp[LADD_High-End],Inhalation_Exp[OES],$C84,Inhalation_Exp[Worker Type],$D84),SUMIFS(Inhalation_Exp[LADD_Central Tendency],Inhalation_Exp[OES],$C84,Inhalation_Exp[Worker Type],$D84))</f>
        <v>3.1985423252546547E-4</v>
      </c>
      <c r="J84" s="282">
        <f>IF($E84="High-End",SUMIFS(Dermal_Exp[High-End AD (mg/kg-day)],Dermal_Exp[Worker Type],$D84,Dermal_Exp[OES],$C84),SUMIFS(Dermal_Exp[Central Tendency AD (mg/kg-day)],Dermal_Exp[Worker Type],$D84,Dermal_Exp[OES],$C84))</f>
        <v>2.568E-3</v>
      </c>
      <c r="K84" s="282">
        <f>IF($E84="High-End",SUMIFS(Dermal_Exp[High-End IADD (mg/kg-day)],Dermal_Exp[Worker Type],$D84,Dermal_Exp[OES],$C84),SUMIFS(Dermal_Exp[Central Tendency IADD (mg/kg-day)],Dermal_Exp[Worker Type],$D84,Dermal_Exp[OES],$C84))</f>
        <v>1.8832E-3</v>
      </c>
      <c r="L84" s="282">
        <f>IF($E84="High-End",SUMIFS(Dermal_Exp[High-End ADD (mg/kg-day)],Dermal_Exp[Worker Type],$D84,Dermal_Exp[OES],$C84),SUMIFS(Dermal_Exp[Central Tendency ADD (mg/kg-day)],Dermal_Exp[Worker Type],$D84,Dermal_Exp[OES],$C84))</f>
        <v>1.6533698630136985E-3</v>
      </c>
      <c r="M84" s="282">
        <f>IF($E84="High-End",SUMIFS(Dermal_Exp[High-End LADD (mg/kg-day)],Dermal_Exp[Worker Type],$D84,Dermal_Exp[OES],$C84),SUMIFS(Dermal_Exp[Central Tendency LADD (mg/kg-day)],Dermal_Exp[Worker Type],$D84,Dermal_Exp[OES],$C84))</f>
        <v>6.5710853530031612E-4</v>
      </c>
      <c r="N84" s="314">
        <f t="shared" si="9"/>
        <v>3.8180000000000002E-3</v>
      </c>
      <c r="O84" s="314">
        <f t="shared" si="6"/>
        <v>2.7998666666666666E-3</v>
      </c>
      <c r="P84" s="314">
        <f t="shared" si="7"/>
        <v>2.4581643835616439E-3</v>
      </c>
      <c r="Q84" s="314">
        <f t="shared" si="8"/>
        <v>9.7696276782578153E-4</v>
      </c>
    </row>
    <row r="85" spans="3:17">
      <c r="C85" s="313" t="str" cm="1">
        <f t="array" ref="C85">INDEX('List Values'!$B$2:$B$18,(1+ROUNDDOWN((ROW()-ROW($C$5))*1/6,2)))</f>
        <v>Use of Laboratory Chemicals</v>
      </c>
      <c r="D85" s="313" t="s">
        <v>206</v>
      </c>
      <c r="E85" s="313" t="s">
        <v>92</v>
      </c>
      <c r="F85" s="210">
        <f>IF(E85="High-End",SUMIFS(Inhalation_Exp[24hr_High-End],Inhalation_Exp[OES],$C85,Inhalation_Exp[Worker Type],$D85),SUMIFS(Inhalation_Exp[24hr_Central Tendency],Inhalation_Exp[OES],$C85,Inhalation_Exp[Worker Type],$D85))</f>
        <v>1.3807386952019328E-2</v>
      </c>
      <c r="G85" s="210">
        <f>IF(E85="High-End",SUMIFS(Inhalation_Exp[Int_High-End],Inhalation_Exp[OES],$C85,Inhalation_Exp[Worker Type],$D85),SUMIFS(Inhalation_Exp[Int_Central Tendency],Inhalation_Exp[OES],$C85,Inhalation_Exp[Worker Type],$D85))</f>
        <v>1.0125417098147507E-2</v>
      </c>
      <c r="H85" s="210">
        <f>IF(E85="High-End",SUMIFS(Inhalation_Exp[ADD_High-End],Inhalation_Exp[OES],$C85,Inhalation_Exp[Worker Type],$D85),SUMIFS(Inhalation_Exp[ADD_Central Tendency],Inhalation_Exp[OES],$C85,Inhalation_Exp[Worker Type],$D85))</f>
        <v>9.457114350698171E-3</v>
      </c>
      <c r="I85" s="210">
        <f>IF(E85="High-End",SUMIFS(Inhalation_Exp[LADD_High-End],Inhalation_Exp[OES],$C85,Inhalation_Exp[Worker Type],$D85),SUMIFS(Inhalation_Exp[LADD_Central Tendency],Inhalation_Exp[OES],$C85,Inhalation_Exp[Worker Type],$D85))</f>
        <v>4.8498022311272669E-3</v>
      </c>
      <c r="J85" s="282">
        <f>IF($E85="High-End",SUMIFS(Dermal_Exp[High-End AD (mg/kg-day)],Dermal_Exp[Worker Type],$D85,Dermal_Exp[OES],$C85),SUMIFS(Dermal_Exp[Central Tendency AD (mg/kg-day)],Dermal_Exp[Worker Type],$D85,Dermal_Exp[OES],$C85))</f>
        <v>4.718812564722126E-3</v>
      </c>
      <c r="K85" s="282">
        <f>IF($E85="High-End",SUMIFS(Dermal_Exp[High-End IADD (mg/kg-day)],Dermal_Exp[Worker Type],$D85,Dermal_Exp[OES],$C85),SUMIFS(Dermal_Exp[Central Tendency IADD (mg/kg-day)],Dermal_Exp[Worker Type],$D85,Dermal_Exp[OES],$C85))</f>
        <v>3.4604625474628924E-3</v>
      </c>
      <c r="L85" s="282">
        <f>IF($E85="High-End",SUMIFS(Dermal_Exp[High-End ADD (mg/kg-day)],Dermal_Exp[Worker Type],$D85,Dermal_Exp[OES],$C85),SUMIFS(Dermal_Exp[Central Tendency ADD (mg/kg-day)],Dermal_Exp[Worker Type],$D85,Dermal_Exp[OES],$C85))</f>
        <v>3.2320634004946065E-3</v>
      </c>
      <c r="M85" s="282">
        <f>IF($E85="High-End",SUMIFS(Dermal_Exp[High-End LADD (mg/kg-day)],Dermal_Exp[Worker Type],$D85,Dermal_Exp[OES],$C85),SUMIFS(Dermal_Exp[Central Tendency LADD (mg/kg-day)],Dermal_Exp[Worker Type],$D85,Dermal_Exp[OES],$C85))</f>
        <v>1.6574684105100546E-3</v>
      </c>
      <c r="N85" s="314">
        <f t="shared" si="9"/>
        <v>1.8526199516741455E-2</v>
      </c>
      <c r="O85" s="314">
        <f t="shared" si="6"/>
        <v>1.3585879645610399E-2</v>
      </c>
      <c r="P85" s="314">
        <f t="shared" si="7"/>
        <v>1.2689177751192778E-2</v>
      </c>
      <c r="Q85" s="314">
        <f t="shared" si="8"/>
        <v>6.5072706416373213E-3</v>
      </c>
    </row>
    <row r="86" spans="3:17">
      <c r="C86" s="313" t="str" cm="1">
        <f t="array" ref="C86">INDEX('List Values'!$B$2:$B$18,(1+ROUNDDOWN((ROW()-ROW($C$5))*1/6,2)))</f>
        <v>Use of Laboratory Chemicals</v>
      </c>
      <c r="D86" s="313" t="s">
        <v>206</v>
      </c>
      <c r="E86" s="313" t="s">
        <v>93</v>
      </c>
      <c r="F86" s="210">
        <f>IF(E86="High-End",SUMIFS(Inhalation_Exp[24hr_High-End],Inhalation_Exp[OES],$C86,Inhalation_Exp[Worker Type],$D86),SUMIFS(Inhalation_Exp[24hr_Central Tendency],Inhalation_Exp[OES],$C86,Inhalation_Exp[Worker Type],$D86))</f>
        <v>1.380738695201933E-3</v>
      </c>
      <c r="G86" s="210">
        <f>IF(E86="High-End",SUMIFS(Inhalation_Exp[Int_High-End],Inhalation_Exp[OES],$C86,Inhalation_Exp[Worker Type],$D86),SUMIFS(Inhalation_Exp[Int_Central Tendency],Inhalation_Exp[OES],$C86,Inhalation_Exp[Worker Type],$D86))</f>
        <v>1.0125417098147509E-3</v>
      </c>
      <c r="H86" s="210">
        <f>IF(E86="High-End",SUMIFS(Inhalation_Exp[ADD_High-End],Inhalation_Exp[OES],$C86,Inhalation_Exp[Worker Type],$D86),SUMIFS(Inhalation_Exp[ADD_Central Tendency],Inhalation_Exp[OES],$C86,Inhalation_Exp[Worker Type],$D86))</f>
        <v>8.8896874896562798E-4</v>
      </c>
      <c r="I86" s="210">
        <f>IF(E86="High-End",SUMIFS(Inhalation_Exp[LADD_High-End],Inhalation_Exp[OES],$C86,Inhalation_Exp[Worker Type],$D86),SUMIFS(Inhalation_Exp[LADD_Central Tendency],Inhalation_Exp[OES],$C86,Inhalation_Exp[Worker Type],$D86))</f>
        <v>3.5330809253762138E-4</v>
      </c>
      <c r="J86" s="282">
        <f>IF($E86="High-End",SUMIFS(Dermal_Exp[High-End AD (mg/kg-day)],Dermal_Exp[Worker Type],$D86,Dermal_Exp[OES],$C86),SUMIFS(Dermal_Exp[Central Tendency AD (mg/kg-day)],Dermal_Exp[Worker Type],$D86,Dermal_Exp[OES],$C86))</f>
        <v>2.359406282361063E-3</v>
      </c>
      <c r="K86" s="282">
        <f>IF($E86="High-End",SUMIFS(Dermal_Exp[High-End IADD (mg/kg-day)],Dermal_Exp[Worker Type],$D86,Dermal_Exp[OES],$C86),SUMIFS(Dermal_Exp[Central Tendency IADD (mg/kg-day)],Dermal_Exp[Worker Type],$D86,Dermal_Exp[OES],$C86))</f>
        <v>1.7302312737314462E-3</v>
      </c>
      <c r="L86" s="282">
        <f>IF($E86="High-End",SUMIFS(Dermal_Exp[High-End ADD (mg/kg-day)],Dermal_Exp[Worker Type],$D86,Dermal_Exp[OES],$C86),SUMIFS(Dermal_Exp[Central Tendency ADD (mg/kg-day)],Dermal_Exp[Worker Type],$D86,Dermal_Exp[OES],$C86))</f>
        <v>1.5190697982324652E-3</v>
      </c>
      <c r="M86" s="282">
        <f>IF($E86="High-End",SUMIFS(Dermal_Exp[High-End LADD (mg/kg-day)],Dermal_Exp[Worker Type],$D86,Dermal_Exp[OES],$C86),SUMIFS(Dermal_Exp[Central Tendency LADD (mg/kg-day)],Dermal_Exp[Worker Type],$D86,Dermal_Exp[OES],$C86))</f>
        <v>6.0373286852828743E-4</v>
      </c>
      <c r="N86" s="314">
        <f t="shared" si="9"/>
        <v>3.7401449775629958E-3</v>
      </c>
      <c r="O86" s="314">
        <f t="shared" si="6"/>
        <v>2.7427729835461968E-3</v>
      </c>
      <c r="P86" s="314">
        <f t="shared" si="7"/>
        <v>2.4080385471980932E-3</v>
      </c>
      <c r="Q86" s="314">
        <f t="shared" si="8"/>
        <v>9.5704096106590886E-4</v>
      </c>
    </row>
    <row r="87" spans="3:17">
      <c r="C87" s="313" t="str" cm="1">
        <f t="array" ref="C87">INDEX('List Values'!$B$2:$B$18,(1+ROUNDDOWN((ROW()-ROW($C$5))*1/6,2)))</f>
        <v>Use of Laboratory Chemicals</v>
      </c>
      <c r="D87" s="313" t="s">
        <v>94</v>
      </c>
      <c r="E87" s="313" t="s">
        <v>92</v>
      </c>
      <c r="F87" s="210">
        <f>IF(E87="High-End",SUMIFS(Inhalation_Exp[24hr_High-End],Inhalation_Exp[OES],$C87,Inhalation_Exp[Worker Type],$D87),SUMIFS(Inhalation_Exp[24hr_Central Tendency],Inhalation_Exp[OES],$C87,Inhalation_Exp[Worker Type],$D87))</f>
        <v>1.25E-3</v>
      </c>
      <c r="G87" s="210">
        <f>IF(E87="High-End",SUMIFS(Inhalation_Exp[Int_High-End],Inhalation_Exp[OES],$C87,Inhalation_Exp[Worker Type],$D87),SUMIFS(Inhalation_Exp[Int_Central Tendency],Inhalation_Exp[OES],$C87,Inhalation_Exp[Worker Type],$D87))</f>
        <v>9.1666666666666665E-4</v>
      </c>
      <c r="H87" s="210">
        <f>IF(E87="High-End",SUMIFS(Inhalation_Exp[ADD_High-End],Inhalation_Exp[OES],$C87,Inhalation_Exp[Worker Type],$D87),SUMIFS(Inhalation_Exp[ADD_Central Tendency],Inhalation_Exp[OES],$C87,Inhalation_Exp[Worker Type],$D87))</f>
        <v>8.5616438356164379E-4</v>
      </c>
      <c r="I87" s="210">
        <f>IF(E87="High-End",SUMIFS(Inhalation_Exp[LADD_High-End],Inhalation_Exp[OES],$C87,Inhalation_Exp[Worker Type],$D87),SUMIFS(Inhalation_Exp[LADD_Central Tendency],Inhalation_Exp[OES],$C87,Inhalation_Exp[Worker Type],$D87))</f>
        <v>4.3905865823674043E-4</v>
      </c>
      <c r="J87" s="282">
        <f>IF($E87="High-End",SUMIFS(Dermal_Exp[High-End AD (mg/kg-day)],Dermal_Exp[Worker Type],$D87,Dermal_Exp[OES],$C87),SUMIFS(Dermal_Exp[Central Tendency AD (mg/kg-day)],Dermal_Exp[Worker Type],$D87,Dermal_Exp[OES],$C87))</f>
        <v>2.568E-3</v>
      </c>
      <c r="K87" s="282">
        <f>IF($E87="High-End",SUMIFS(Dermal_Exp[High-End IADD (mg/kg-day)],Dermal_Exp[Worker Type],$D87,Dermal_Exp[OES],$C87),SUMIFS(Dermal_Exp[Central Tendency IADD (mg/kg-day)],Dermal_Exp[Worker Type],$D87,Dermal_Exp[OES],$C87))</f>
        <v>1.8832E-3</v>
      </c>
      <c r="L87" s="282">
        <f>IF($E87="High-End",SUMIFS(Dermal_Exp[High-End ADD (mg/kg-day)],Dermal_Exp[Worker Type],$D87,Dermal_Exp[OES],$C87),SUMIFS(Dermal_Exp[Central Tendency ADD (mg/kg-day)],Dermal_Exp[Worker Type],$D87,Dermal_Exp[OES],$C87))</f>
        <v>1.7589041095890411E-3</v>
      </c>
      <c r="M87" s="282">
        <f>IF($E87="High-End",SUMIFS(Dermal_Exp[High-End LADD (mg/kg-day)],Dermal_Exp[Worker Type],$D87,Dermal_Exp[OES],$C87),SUMIFS(Dermal_Exp[Central Tendency LADD (mg/kg-day)],Dermal_Exp[Worker Type],$D87,Dermal_Exp[OES],$C87))</f>
        <v>9.0200210748155952E-4</v>
      </c>
      <c r="N87" s="314">
        <f t="shared" si="9"/>
        <v>3.8180000000000002E-3</v>
      </c>
      <c r="O87" s="314">
        <f t="shared" si="6"/>
        <v>2.7998666666666666E-3</v>
      </c>
      <c r="P87" s="314">
        <f t="shared" si="7"/>
        <v>2.6150684931506851E-3</v>
      </c>
      <c r="Q87" s="314">
        <f t="shared" si="8"/>
        <v>1.3410607657183E-3</v>
      </c>
    </row>
    <row r="88" spans="3:17">
      <c r="C88" s="313" t="str" cm="1">
        <f t="array" ref="C88">INDEX('List Values'!$B$2:$B$18,(1+ROUNDDOWN((ROW()-ROW($C$5))*1/6,2)))</f>
        <v>Use of Laboratory Chemicals</v>
      </c>
      <c r="D88" s="313" t="s">
        <v>94</v>
      </c>
      <c r="E88" s="313" t="s">
        <v>93</v>
      </c>
      <c r="F88" s="210">
        <f>IF(E88="High-End",SUMIFS(Inhalation_Exp[24hr_High-End],Inhalation_Exp[OES],$C88,Inhalation_Exp[Worker Type],$D88),SUMIFS(Inhalation_Exp[24hr_Central Tendency],Inhalation_Exp[OES],$C88,Inhalation_Exp[Worker Type],$D88))</f>
        <v>1.25E-3</v>
      </c>
      <c r="G88" s="210">
        <f>IF(E88="High-End",SUMIFS(Inhalation_Exp[Int_High-End],Inhalation_Exp[OES],$C88,Inhalation_Exp[Worker Type],$D88),SUMIFS(Inhalation_Exp[Int_Central Tendency],Inhalation_Exp[OES],$C88,Inhalation_Exp[Worker Type],$D88))</f>
        <v>9.1666666666666665E-4</v>
      </c>
      <c r="H88" s="210">
        <f>IF(E88="High-End",SUMIFS(Inhalation_Exp[ADD_High-End],Inhalation_Exp[OES],$C88,Inhalation_Exp[Worker Type],$D88),SUMIFS(Inhalation_Exp[ADD_Central Tendency],Inhalation_Exp[OES],$C88,Inhalation_Exp[Worker Type],$D88))</f>
        <v>8.047945205479453E-4</v>
      </c>
      <c r="I88" s="210">
        <f>IF(E88="High-End",SUMIFS(Inhalation_Exp[LADD_High-End],Inhalation_Exp[OES],$C88,Inhalation_Exp[Worker Type],$D88),SUMIFS(Inhalation_Exp[LADD_Central Tendency],Inhalation_Exp[OES],$C88,Inhalation_Exp[Worker Type],$D88))</f>
        <v>3.1985423252546547E-4</v>
      </c>
      <c r="J88" s="282">
        <f>IF($E88="High-End",SUMIFS(Dermal_Exp[High-End AD (mg/kg-day)],Dermal_Exp[Worker Type],$D88,Dermal_Exp[OES],$C88),SUMIFS(Dermal_Exp[Central Tendency AD (mg/kg-day)],Dermal_Exp[Worker Type],$D88,Dermal_Exp[OES],$C88))</f>
        <v>2.568E-3</v>
      </c>
      <c r="K88" s="282">
        <f>IF($E88="High-End",SUMIFS(Dermal_Exp[High-End IADD (mg/kg-day)],Dermal_Exp[Worker Type],$D88,Dermal_Exp[OES],$C88),SUMIFS(Dermal_Exp[Central Tendency IADD (mg/kg-day)],Dermal_Exp[Worker Type],$D88,Dermal_Exp[OES],$C88))</f>
        <v>1.8832E-3</v>
      </c>
      <c r="L88" s="282">
        <f>IF($E88="High-End",SUMIFS(Dermal_Exp[High-End ADD (mg/kg-day)],Dermal_Exp[Worker Type],$D88,Dermal_Exp[OES],$C88),SUMIFS(Dermal_Exp[Central Tendency ADD (mg/kg-day)],Dermal_Exp[Worker Type],$D88,Dermal_Exp[OES],$C88))</f>
        <v>1.6533698630136985E-3</v>
      </c>
      <c r="M88" s="282">
        <f>IF($E88="High-End",SUMIFS(Dermal_Exp[High-End LADD (mg/kg-day)],Dermal_Exp[Worker Type],$D88,Dermal_Exp[OES],$C88),SUMIFS(Dermal_Exp[Central Tendency LADD (mg/kg-day)],Dermal_Exp[Worker Type],$D88,Dermal_Exp[OES],$C88))</f>
        <v>6.5710853530031612E-4</v>
      </c>
      <c r="N88" s="314">
        <f t="shared" si="9"/>
        <v>3.8180000000000002E-3</v>
      </c>
      <c r="O88" s="314">
        <f t="shared" si="6"/>
        <v>2.7998666666666666E-3</v>
      </c>
      <c r="P88" s="314">
        <f t="shared" si="7"/>
        <v>2.4581643835616439E-3</v>
      </c>
      <c r="Q88" s="314">
        <f t="shared" si="8"/>
        <v>9.7696276782578153E-4</v>
      </c>
    </row>
    <row r="89" spans="3:17">
      <c r="C89" s="313" t="str" cm="1">
        <f t="array" ref="C89">INDEX('List Values'!$B$2:$B$18,(1+ROUNDDOWN((ROW()-ROW($C$5))*1/6,2)))</f>
        <v>Recycling</v>
      </c>
      <c r="D89" s="313" t="s">
        <v>74</v>
      </c>
      <c r="E89" s="308" t="s">
        <v>92</v>
      </c>
      <c r="F89" s="210">
        <f>IF(E89="High-End",SUMIFS(Inhalation_Exp[24hr_High-End],Inhalation_Exp[OES],$C89,Inhalation_Exp[Worker Type],$D89),SUMIFS(Inhalation_Exp[24hr_Central Tendency],Inhalation_Exp[OES],$C89,Inhalation_Exp[Worker Type],$D89))</f>
        <v>6.3750000000000005E-3</v>
      </c>
      <c r="G89" s="210">
        <f>IF(E89="High-End",SUMIFS(Inhalation_Exp[Int_High-End],Inhalation_Exp[OES],$C89,Inhalation_Exp[Worker Type],$D89),SUMIFS(Inhalation_Exp[Int_Central Tendency],Inhalation_Exp[OES],$C89,Inhalation_Exp[Worker Type],$D89))</f>
        <v>4.6750000000000003E-3</v>
      </c>
      <c r="H89" s="210">
        <f>IF(E89="High-End",SUMIFS(Inhalation_Exp[ADD_High-End],Inhalation_Exp[OES],$C89,Inhalation_Exp[Worker Type],$D89),SUMIFS(Inhalation_Exp[ADD_Central Tendency],Inhalation_Exp[OES],$C89,Inhalation_Exp[Worker Type],$D89))</f>
        <v>4.3664383561643838E-3</v>
      </c>
      <c r="I89" s="210">
        <f>IF(E89="High-End",SUMIFS(Inhalation_Exp[LADD_High-End],Inhalation_Exp[OES],$C89,Inhalation_Exp[Worker Type],$D89),SUMIFS(Inhalation_Exp[LADD_Central Tendency],Inhalation_Exp[OES],$C89,Inhalation_Exp[Worker Type],$D89))</f>
        <v>2.2391991570073766E-3</v>
      </c>
      <c r="J89" s="282">
        <f>IF($E89="High-End",SUMIFS(Dermal_Exp[High-End AD (mg/kg-day)],Dermal_Exp[Worker Type],$D89,Dermal_Exp[OES],$C89),SUMIFS(Dermal_Exp[Central Tendency AD (mg/kg-day)],Dermal_Exp[Worker Type],$D89,Dermal_Exp[OES],$C89))</f>
        <v>5.1359999999999999E-3</v>
      </c>
      <c r="K89" s="282">
        <f>IF($E89="High-End",SUMIFS(Dermal_Exp[High-End IADD (mg/kg-day)],Dermal_Exp[Worker Type],$D89,Dermal_Exp[OES],$C89),SUMIFS(Dermal_Exp[Central Tendency IADD (mg/kg-day)],Dermal_Exp[Worker Type],$D89,Dermal_Exp[OES],$C89))</f>
        <v>3.7664E-3</v>
      </c>
      <c r="L89" s="282">
        <f>IF($E89="High-End",SUMIFS(Dermal_Exp[High-End ADD (mg/kg-day)],Dermal_Exp[Worker Type],$D89,Dermal_Exp[OES],$C89),SUMIFS(Dermal_Exp[Central Tendency ADD (mg/kg-day)],Dermal_Exp[Worker Type],$D89,Dermal_Exp[OES],$C89))</f>
        <v>3.5178082191780822E-3</v>
      </c>
      <c r="M89" s="282">
        <f>IF($E89="High-End",SUMIFS(Dermal_Exp[High-End LADD (mg/kg-day)],Dermal_Exp[Worker Type],$D89,Dermal_Exp[OES],$C89),SUMIFS(Dermal_Exp[Central Tendency LADD (mg/kg-day)],Dermal_Exp[Worker Type],$D89,Dermal_Exp[OES],$C89))</f>
        <v>1.804004214963119E-3</v>
      </c>
      <c r="N89" s="314">
        <f t="shared" si="9"/>
        <v>1.1511E-2</v>
      </c>
      <c r="O89" s="314">
        <f t="shared" si="6"/>
        <v>8.4413999999999999E-3</v>
      </c>
      <c r="P89" s="314">
        <f t="shared" si="7"/>
        <v>7.8842465753424656E-3</v>
      </c>
      <c r="Q89" s="314">
        <f t="shared" si="8"/>
        <v>4.0432033719704956E-3</v>
      </c>
    </row>
    <row r="90" spans="3:17">
      <c r="C90" s="313" t="str" cm="1">
        <f t="array" ref="C90">INDEX('List Values'!$B$2:$B$18,(1+ROUNDDOWN((ROW()-ROW($C$5))*1/6,2)))</f>
        <v>Recycling</v>
      </c>
      <c r="D90" s="313" t="s">
        <v>74</v>
      </c>
      <c r="E90" s="313" t="s">
        <v>93</v>
      </c>
      <c r="F90" s="210">
        <f>IF(E90="High-End",SUMIFS(Inhalation_Exp[24hr_High-End],Inhalation_Exp[OES],$C90,Inhalation_Exp[Worker Type],$D90),SUMIFS(Inhalation_Exp[24hr_Central Tendency],Inhalation_Exp[OES],$C90,Inhalation_Exp[Worker Type],$D90))</f>
        <v>6.3750000000000005E-3</v>
      </c>
      <c r="G90" s="210">
        <f>IF(E90="High-End",SUMIFS(Inhalation_Exp[Int_High-End],Inhalation_Exp[OES],$C90,Inhalation_Exp[Worker Type],$D90),SUMIFS(Inhalation_Exp[Int_Central Tendency],Inhalation_Exp[OES],$C90,Inhalation_Exp[Worker Type],$D90))</f>
        <v>4.6750000000000003E-3</v>
      </c>
      <c r="H90" s="210">
        <f>IF(E90="High-End",SUMIFS(Inhalation_Exp[ADD_High-End],Inhalation_Exp[OES],$C90,Inhalation_Exp[Worker Type],$D90),SUMIFS(Inhalation_Exp[ADD_Central Tendency],Inhalation_Exp[OES],$C90,Inhalation_Exp[Worker Type],$D90))</f>
        <v>4.3664383561643838E-3</v>
      </c>
      <c r="I90" s="210">
        <f>IF(E90="High-End",SUMIFS(Inhalation_Exp[LADD_High-End],Inhalation_Exp[OES],$C90,Inhalation_Exp[Worker Type],$D90),SUMIFS(Inhalation_Exp[LADD_Central Tendency],Inhalation_Exp[OES],$C90,Inhalation_Exp[Worker Type],$D90))</f>
        <v>1.7353793466807167E-3</v>
      </c>
      <c r="J90" s="282">
        <f>IF($E90="High-End",SUMIFS(Dermal_Exp[High-End AD (mg/kg-day)],Dermal_Exp[Worker Type],$D90,Dermal_Exp[OES],$C90),SUMIFS(Dermal_Exp[Central Tendency AD (mg/kg-day)],Dermal_Exp[Worker Type],$D90,Dermal_Exp[OES],$C90))</f>
        <v>2.568E-3</v>
      </c>
      <c r="K90" s="282">
        <f>IF($E90="High-End",SUMIFS(Dermal_Exp[High-End IADD (mg/kg-day)],Dermal_Exp[Worker Type],$D90,Dermal_Exp[OES],$C90),SUMIFS(Dermal_Exp[Central Tendency IADD (mg/kg-day)],Dermal_Exp[Worker Type],$D90,Dermal_Exp[OES],$C90))</f>
        <v>1.8832E-3</v>
      </c>
      <c r="L90" s="282">
        <f>IF($E90="High-End",SUMIFS(Dermal_Exp[High-End ADD (mg/kg-day)],Dermal_Exp[Worker Type],$D90,Dermal_Exp[OES],$C90),SUMIFS(Dermal_Exp[Central Tendency ADD (mg/kg-day)],Dermal_Exp[Worker Type],$D90,Dermal_Exp[OES],$C90))</f>
        <v>1.7589041095890411E-3</v>
      </c>
      <c r="M90" s="282">
        <f>IF($E90="High-End",SUMIFS(Dermal_Exp[High-End LADD (mg/kg-day)],Dermal_Exp[Worker Type],$D90,Dermal_Exp[OES],$C90),SUMIFS(Dermal_Exp[Central Tendency LADD (mg/kg-day)],Dermal_Exp[Worker Type],$D90,Dermal_Exp[OES],$C90))</f>
        <v>6.990516332982087E-4</v>
      </c>
      <c r="N90" s="314">
        <f t="shared" si="9"/>
        <v>8.9429999999999996E-3</v>
      </c>
      <c r="O90" s="314">
        <f t="shared" si="6"/>
        <v>6.5582000000000001E-3</v>
      </c>
      <c r="P90" s="314">
        <f t="shared" si="7"/>
        <v>6.1253424657534252E-3</v>
      </c>
      <c r="Q90" s="314">
        <f t="shared" si="8"/>
        <v>2.4344309799789253E-3</v>
      </c>
    </row>
    <row r="91" spans="3:17">
      <c r="C91" s="313" t="str" cm="1">
        <f t="array" ref="C91">INDEX('List Values'!$B$2:$B$18,(1+ROUNDDOWN((ROW()-ROW($C$5))*1/6,2)))</f>
        <v>Recycling</v>
      </c>
      <c r="D91" s="313" t="s">
        <v>206</v>
      </c>
      <c r="E91" s="313" t="s">
        <v>92</v>
      </c>
      <c r="F91" s="210">
        <f>IF(E91="High-End",SUMIFS(Inhalation_Exp[24hr_High-End],Inhalation_Exp[OES],$C91,Inhalation_Exp[Worker Type],$D91),SUMIFS(Inhalation_Exp[24hr_Central Tendency],Inhalation_Exp[OES],$C91,Inhalation_Exp[Worker Type],$D91))</f>
        <v>7.0417673455298573E-3</v>
      </c>
      <c r="G91" s="210">
        <f>IF(E91="High-End",SUMIFS(Inhalation_Exp[Int_High-End],Inhalation_Exp[OES],$C91,Inhalation_Exp[Worker Type],$D91),SUMIFS(Inhalation_Exp[Int_Central Tendency],Inhalation_Exp[OES],$C91,Inhalation_Exp[Worker Type],$D91))</f>
        <v>5.1639627200552292E-3</v>
      </c>
      <c r="H91" s="210">
        <f>IF(E91="High-End",SUMIFS(Inhalation_Exp[ADD_High-End],Inhalation_Exp[OES],$C91,Inhalation_Exp[Worker Type],$D91),SUMIFS(Inhalation_Exp[ADD_Central Tendency],Inhalation_Exp[OES],$C91,Inhalation_Exp[Worker Type],$D91))</f>
        <v>4.823128318856066E-3</v>
      </c>
      <c r="I91" s="210">
        <f>IF(E91="High-End",SUMIFS(Inhalation_Exp[LADD_High-End],Inhalation_Exp[OES],$C91,Inhalation_Exp[Worker Type],$D91),SUMIFS(Inhalation_Exp[LADD_Central Tendency],Inhalation_Exp[OES],$C91,Inhalation_Exp[Worker Type],$D91))</f>
        <v>2.4733991378749058E-3</v>
      </c>
      <c r="J91" s="282">
        <f>IF($E91="High-End",SUMIFS(Dermal_Exp[High-End AD (mg/kg-day)],Dermal_Exp[Worker Type],$D91,Dermal_Exp[OES],$C91),SUMIFS(Dermal_Exp[Central Tendency AD (mg/kg-day)],Dermal_Exp[Worker Type],$D91,Dermal_Exp[OES],$C91))</f>
        <v>4.718812564722126E-3</v>
      </c>
      <c r="K91" s="282">
        <f>IF($E91="High-End",SUMIFS(Dermal_Exp[High-End IADD (mg/kg-day)],Dermal_Exp[Worker Type],$D91,Dermal_Exp[OES],$C91),SUMIFS(Dermal_Exp[Central Tendency IADD (mg/kg-day)],Dermal_Exp[Worker Type],$D91,Dermal_Exp[OES],$C91))</f>
        <v>3.4604625474628924E-3</v>
      </c>
      <c r="L91" s="282">
        <f>IF($E91="High-End",SUMIFS(Dermal_Exp[High-End ADD (mg/kg-day)],Dermal_Exp[Worker Type],$D91,Dermal_Exp[OES],$C91),SUMIFS(Dermal_Exp[Central Tendency ADD (mg/kg-day)],Dermal_Exp[Worker Type],$D91,Dermal_Exp[OES],$C91))</f>
        <v>3.2320634004946065E-3</v>
      </c>
      <c r="M91" s="282">
        <f>IF($E91="High-End",SUMIFS(Dermal_Exp[High-End LADD (mg/kg-day)],Dermal_Exp[Worker Type],$D91,Dermal_Exp[OES],$C91),SUMIFS(Dermal_Exp[Central Tendency LADD (mg/kg-day)],Dermal_Exp[Worker Type],$D91,Dermal_Exp[OES],$C91))</f>
        <v>1.6574684105100546E-3</v>
      </c>
      <c r="N91" s="314">
        <f t="shared" si="9"/>
        <v>1.1760579910251983E-2</v>
      </c>
      <c r="O91" s="314">
        <f t="shared" si="6"/>
        <v>8.624425267518122E-3</v>
      </c>
      <c r="P91" s="314">
        <f t="shared" si="7"/>
        <v>8.0551917193506725E-3</v>
      </c>
      <c r="Q91" s="314">
        <f t="shared" si="8"/>
        <v>4.1308675483849606E-3</v>
      </c>
    </row>
    <row r="92" spans="3:17">
      <c r="C92" s="313" t="str" cm="1">
        <f t="array" ref="C92">INDEX('List Values'!$B$2:$B$18,(1+ROUNDDOWN((ROW()-ROW($C$5))*1/6,2)))</f>
        <v>Recycling</v>
      </c>
      <c r="D92" s="313" t="s">
        <v>206</v>
      </c>
      <c r="E92" s="313" t="s">
        <v>93</v>
      </c>
      <c r="F92" s="210">
        <f>IF(E92="High-End",SUMIFS(Inhalation_Exp[24hr_High-End],Inhalation_Exp[OES],$C92,Inhalation_Exp[Worker Type],$D92),SUMIFS(Inhalation_Exp[24hr_Central Tendency],Inhalation_Exp[OES],$C92,Inhalation_Exp[Worker Type],$D92))</f>
        <v>7.0417673455298573E-3</v>
      </c>
      <c r="G92" s="210">
        <f>IF(E92="High-End",SUMIFS(Inhalation_Exp[Int_High-End],Inhalation_Exp[OES],$C92,Inhalation_Exp[Worker Type],$D92),SUMIFS(Inhalation_Exp[Int_Central Tendency],Inhalation_Exp[OES],$C92,Inhalation_Exp[Worker Type],$D92))</f>
        <v>5.1639627200552292E-3</v>
      </c>
      <c r="H92" s="210">
        <f>IF(E92="High-End",SUMIFS(Inhalation_Exp[ADD_High-End],Inhalation_Exp[OES],$C92,Inhalation_Exp[Worker Type],$D92),SUMIFS(Inhalation_Exp[ADD_Central Tendency],Inhalation_Exp[OES],$C92,Inhalation_Exp[Worker Type],$D92))</f>
        <v>4.8231283188560669E-3</v>
      </c>
      <c r="I92" s="210">
        <f>IF(E92="High-End",SUMIFS(Inhalation_Exp[LADD_High-End],Inhalation_Exp[OES],$C92,Inhalation_Exp[Worker Type],$D92),SUMIFS(Inhalation_Exp[LADD_Central Tendency],Inhalation_Exp[OES],$C92,Inhalation_Exp[Worker Type],$D92))</f>
        <v>1.9168843318530522E-3</v>
      </c>
      <c r="J92" s="282">
        <f>IF($E92="High-End",SUMIFS(Dermal_Exp[High-End AD (mg/kg-day)],Dermal_Exp[Worker Type],$D92,Dermal_Exp[OES],$C92),SUMIFS(Dermal_Exp[Central Tendency AD (mg/kg-day)],Dermal_Exp[Worker Type],$D92,Dermal_Exp[OES],$C92))</f>
        <v>2.359406282361063E-3</v>
      </c>
      <c r="K92" s="282">
        <f>IF($E92="High-End",SUMIFS(Dermal_Exp[High-End IADD (mg/kg-day)],Dermal_Exp[Worker Type],$D92,Dermal_Exp[OES],$C92),SUMIFS(Dermal_Exp[Central Tendency IADD (mg/kg-day)],Dermal_Exp[Worker Type],$D92,Dermal_Exp[OES],$C92))</f>
        <v>1.7302312737314462E-3</v>
      </c>
      <c r="L92" s="282">
        <f>IF($E92="High-End",SUMIFS(Dermal_Exp[High-End ADD (mg/kg-day)],Dermal_Exp[Worker Type],$D92,Dermal_Exp[OES],$C92),SUMIFS(Dermal_Exp[Central Tendency ADD (mg/kg-day)],Dermal_Exp[Worker Type],$D92,Dermal_Exp[OES],$C92))</f>
        <v>1.6160317002473033E-3</v>
      </c>
      <c r="M92" s="282">
        <f>IF($E92="High-End",SUMIFS(Dermal_Exp[High-End LADD (mg/kg-day)],Dermal_Exp[Worker Type],$D92,Dermal_Exp[OES],$C92),SUMIFS(Dermal_Exp[Central Tendency LADD (mg/kg-day)],Dermal_Exp[Worker Type],$D92,Dermal_Exp[OES],$C92))</f>
        <v>6.4226900907264617E-4</v>
      </c>
      <c r="N92" s="314">
        <f t="shared" si="9"/>
        <v>9.4011736278909203E-3</v>
      </c>
      <c r="O92" s="314">
        <f t="shared" si="6"/>
        <v>6.8941939937866752E-3</v>
      </c>
      <c r="P92" s="314">
        <f t="shared" si="7"/>
        <v>6.4391600191033701E-3</v>
      </c>
      <c r="Q92" s="314">
        <f t="shared" si="8"/>
        <v>2.5591533409256985E-3</v>
      </c>
    </row>
    <row r="93" spans="3:17">
      <c r="C93" s="313" t="str" cm="1">
        <f t="array" ref="C93">INDEX('List Values'!$B$2:$B$18,(1+ROUNDDOWN((ROW()-ROW($C$5))*1/6,2)))</f>
        <v>Recycling</v>
      </c>
      <c r="D93" s="313" t="s">
        <v>94</v>
      </c>
      <c r="E93" s="313" t="s">
        <v>92</v>
      </c>
      <c r="F93" s="210">
        <f>IF(E93="High-End",SUMIFS(Inhalation_Exp[24hr_High-End],Inhalation_Exp[OES],$C93,Inhalation_Exp[Worker Type],$D93),SUMIFS(Inhalation_Exp[24hr_Central Tendency],Inhalation_Exp[OES],$C93,Inhalation_Exp[Worker Type],$D93))</f>
        <v>6.3750000000000005E-3</v>
      </c>
      <c r="G93" s="210">
        <f>IF(E93="High-End",SUMIFS(Inhalation_Exp[Int_High-End],Inhalation_Exp[OES],$C93,Inhalation_Exp[Worker Type],$D93),SUMIFS(Inhalation_Exp[Int_Central Tendency],Inhalation_Exp[OES],$C93,Inhalation_Exp[Worker Type],$D93))</f>
        <v>4.6750000000000003E-3</v>
      </c>
      <c r="H93" s="210">
        <f>IF(E93="High-End",SUMIFS(Inhalation_Exp[ADD_High-End],Inhalation_Exp[OES],$C93,Inhalation_Exp[Worker Type],$D93),SUMIFS(Inhalation_Exp[ADD_Central Tendency],Inhalation_Exp[OES],$C93,Inhalation_Exp[Worker Type],$D93))</f>
        <v>4.3664383561643838E-3</v>
      </c>
      <c r="I93" s="210">
        <f>IF(E93="High-End",SUMIFS(Inhalation_Exp[LADD_High-End],Inhalation_Exp[OES],$C93,Inhalation_Exp[Worker Type],$D93),SUMIFS(Inhalation_Exp[LADD_Central Tendency],Inhalation_Exp[OES],$C93,Inhalation_Exp[Worker Type],$D93))</f>
        <v>2.2391991570073766E-3</v>
      </c>
      <c r="J93" s="282">
        <f>IF($E93="High-End",SUMIFS(Dermal_Exp[High-End AD (mg/kg-day)],Dermal_Exp[Worker Type],$D93,Dermal_Exp[OES],$C93),SUMIFS(Dermal_Exp[Central Tendency AD (mg/kg-day)],Dermal_Exp[Worker Type],$D93,Dermal_Exp[OES],$C93))</f>
        <v>2.568E-3</v>
      </c>
      <c r="K93" s="282">
        <f>IF($E93="High-End",SUMIFS(Dermal_Exp[High-End IADD (mg/kg-day)],Dermal_Exp[Worker Type],$D93,Dermal_Exp[OES],$C93),SUMIFS(Dermal_Exp[Central Tendency IADD (mg/kg-day)],Dermal_Exp[Worker Type],$D93,Dermal_Exp[OES],$C93))</f>
        <v>1.8832E-3</v>
      </c>
      <c r="L93" s="282">
        <f>IF($E93="High-End",SUMIFS(Dermal_Exp[High-End ADD (mg/kg-day)],Dermal_Exp[Worker Type],$D93,Dermal_Exp[OES],$C93),SUMIFS(Dermal_Exp[Central Tendency ADD (mg/kg-day)],Dermal_Exp[Worker Type],$D93,Dermal_Exp[OES],$C93))</f>
        <v>1.7589041095890411E-3</v>
      </c>
      <c r="M93" s="282">
        <f>IF($E93="High-End",SUMIFS(Dermal_Exp[High-End LADD (mg/kg-day)],Dermal_Exp[Worker Type],$D93,Dermal_Exp[OES],$C93),SUMIFS(Dermal_Exp[Central Tendency LADD (mg/kg-day)],Dermal_Exp[Worker Type],$D93,Dermal_Exp[OES],$C93))</f>
        <v>9.0200210748155952E-4</v>
      </c>
      <c r="N93" s="314">
        <f t="shared" si="9"/>
        <v>8.9429999999999996E-3</v>
      </c>
      <c r="O93" s="314">
        <f t="shared" si="6"/>
        <v>6.5582000000000001E-3</v>
      </c>
      <c r="P93" s="314">
        <f t="shared" si="7"/>
        <v>6.1253424657534252E-3</v>
      </c>
      <c r="Q93" s="314">
        <f t="shared" si="8"/>
        <v>3.1412012644889361E-3</v>
      </c>
    </row>
    <row r="94" spans="3:17">
      <c r="C94" s="313" t="str" cm="1">
        <f t="array" ref="C94">INDEX('List Values'!$B$2:$B$18,(1+ROUNDDOWN((ROW()-ROW($C$5))*1/6,2)))</f>
        <v>Recycling</v>
      </c>
      <c r="D94" s="313" t="s">
        <v>94</v>
      </c>
      <c r="E94" s="313" t="s">
        <v>93</v>
      </c>
      <c r="F94" s="210">
        <f>IF(E94="High-End",SUMIFS(Inhalation_Exp[24hr_High-End],Inhalation_Exp[OES],$C94,Inhalation_Exp[Worker Type],$D94),SUMIFS(Inhalation_Exp[24hr_Central Tendency],Inhalation_Exp[OES],$C94,Inhalation_Exp[Worker Type],$D94))</f>
        <v>6.3750000000000005E-3</v>
      </c>
      <c r="G94" s="210">
        <f>IF(E94="High-End",SUMIFS(Inhalation_Exp[Int_High-End],Inhalation_Exp[OES],$C94,Inhalation_Exp[Worker Type],$D94),SUMIFS(Inhalation_Exp[Int_Central Tendency],Inhalation_Exp[OES],$C94,Inhalation_Exp[Worker Type],$D94))</f>
        <v>4.6750000000000003E-3</v>
      </c>
      <c r="H94" s="210">
        <f>IF(E94="High-End",SUMIFS(Inhalation_Exp[ADD_High-End],Inhalation_Exp[OES],$C94,Inhalation_Exp[Worker Type],$D94),SUMIFS(Inhalation_Exp[ADD_Central Tendency],Inhalation_Exp[OES],$C94,Inhalation_Exp[Worker Type],$D94))</f>
        <v>4.3664383561643838E-3</v>
      </c>
      <c r="I94" s="210">
        <f>IF(E94="High-End",SUMIFS(Inhalation_Exp[LADD_High-End],Inhalation_Exp[OES],$C94,Inhalation_Exp[Worker Type],$D94),SUMIFS(Inhalation_Exp[LADD_Central Tendency],Inhalation_Exp[OES],$C94,Inhalation_Exp[Worker Type],$D94))</f>
        <v>1.7353793466807167E-3</v>
      </c>
      <c r="J94" s="282">
        <f>IF($E94="High-End",SUMIFS(Dermal_Exp[High-End AD (mg/kg-day)],Dermal_Exp[Worker Type],$D94,Dermal_Exp[OES],$C94),SUMIFS(Dermal_Exp[Central Tendency AD (mg/kg-day)],Dermal_Exp[Worker Type],$D94,Dermal_Exp[OES],$C94))</f>
        <v>2.568E-3</v>
      </c>
      <c r="K94" s="282">
        <f>IF($E94="High-End",SUMIFS(Dermal_Exp[High-End IADD (mg/kg-day)],Dermal_Exp[Worker Type],$D94,Dermal_Exp[OES],$C94),SUMIFS(Dermal_Exp[Central Tendency IADD (mg/kg-day)],Dermal_Exp[Worker Type],$D94,Dermal_Exp[OES],$C94))</f>
        <v>1.8832E-3</v>
      </c>
      <c r="L94" s="282">
        <f>IF($E94="High-End",SUMIFS(Dermal_Exp[High-End ADD (mg/kg-day)],Dermal_Exp[Worker Type],$D94,Dermal_Exp[OES],$C94),SUMIFS(Dermal_Exp[Central Tendency ADD (mg/kg-day)],Dermal_Exp[Worker Type],$D94,Dermal_Exp[OES],$C94))</f>
        <v>1.7589041095890411E-3</v>
      </c>
      <c r="M94" s="282">
        <f>IF($E94="High-End",SUMIFS(Dermal_Exp[High-End LADD (mg/kg-day)],Dermal_Exp[Worker Type],$D94,Dermal_Exp[OES],$C94),SUMIFS(Dermal_Exp[Central Tendency LADD (mg/kg-day)],Dermal_Exp[Worker Type],$D94,Dermal_Exp[OES],$C94))</f>
        <v>6.990516332982087E-4</v>
      </c>
      <c r="N94" s="314">
        <f t="shared" si="9"/>
        <v>8.9429999999999996E-3</v>
      </c>
      <c r="O94" s="314">
        <f t="shared" si="6"/>
        <v>6.5582000000000001E-3</v>
      </c>
      <c r="P94" s="314">
        <f t="shared" si="7"/>
        <v>6.1253424657534252E-3</v>
      </c>
      <c r="Q94" s="314">
        <f t="shared" si="8"/>
        <v>2.4344309799789253E-3</v>
      </c>
    </row>
    <row r="95" spans="3:17">
      <c r="C95" s="313" t="str" cm="1">
        <f t="array" ref="C95">INDEX('List Values'!$B$2:$B$18,(1+ROUNDDOWN((ROW()-ROW($C$5))*1/6,2)))</f>
        <v>Fabrication or Use of Final Products and Articles</v>
      </c>
      <c r="D95" s="313" t="s">
        <v>74</v>
      </c>
      <c r="E95" s="308" t="s">
        <v>92</v>
      </c>
      <c r="F95" s="210">
        <f>IF(E95="High-End",SUMIFS(Inhalation_Exp[24hr_High-End],Inhalation_Exp[OES],$C95,Inhalation_Exp[Worker Type],$D95),SUMIFS(Inhalation_Exp[24hr_Central Tendency],Inhalation_Exp[OES],$C95,Inhalation_Exp[Worker Type],$D95))</f>
        <v>1.6250000000000001E-2</v>
      </c>
      <c r="G95" s="210">
        <f>IF(E95="High-End",SUMIFS(Inhalation_Exp[Int_High-End],Inhalation_Exp[OES],$C95,Inhalation_Exp[Worker Type],$D95),SUMIFS(Inhalation_Exp[Int_Central Tendency],Inhalation_Exp[OES],$C95,Inhalation_Exp[Worker Type],$D95))</f>
        <v>1.1916666666666667E-2</v>
      </c>
      <c r="H95" s="210">
        <f>IF(E95="High-End",SUMIFS(Inhalation_Exp[ADD_High-End],Inhalation_Exp[OES],$C95,Inhalation_Exp[Worker Type],$D95),SUMIFS(Inhalation_Exp[ADD_Central Tendency],Inhalation_Exp[OES],$C95,Inhalation_Exp[Worker Type],$D95))</f>
        <v>1.0595890410958906E-2</v>
      </c>
      <c r="I95" s="210">
        <f>IF(E95="High-End",SUMIFS(Inhalation_Exp[LADD_High-End],Inhalation_Exp[OES],$C95,Inhalation_Exp[Worker Type],$D95),SUMIFS(Inhalation_Exp[LADD_Central Tendency],Inhalation_Exp[OES],$C95,Inhalation_Exp[Worker Type],$D95))</f>
        <v>5.4337899543379E-3</v>
      </c>
      <c r="J95" s="282">
        <f>IF($E95="High-End",SUMIFS(Dermal_Exp[High-End AD (mg/kg-day)],Dermal_Exp[Worker Type],$D95,Dermal_Exp[OES],$C95),SUMIFS(Dermal_Exp[Central Tendency AD (mg/kg-day)],Dermal_Exp[Worker Type],$D95,Dermal_Exp[OES],$C95))</f>
        <v>5.1359999999999999E-3</v>
      </c>
      <c r="K95" s="282">
        <f>IF($E95="High-End",SUMIFS(Dermal_Exp[High-End IADD (mg/kg-day)],Dermal_Exp[Worker Type],$D95,Dermal_Exp[OES],$C95),SUMIFS(Dermal_Exp[Central Tendency IADD (mg/kg-day)],Dermal_Exp[Worker Type],$D95,Dermal_Exp[OES],$C95))</f>
        <v>3.7664E-3</v>
      </c>
      <c r="L95" s="282">
        <f>IF($E95="High-End",SUMIFS(Dermal_Exp[High-End ADD (mg/kg-day)],Dermal_Exp[Worker Type],$D95,Dermal_Exp[OES],$C95),SUMIFS(Dermal_Exp[Central Tendency ADD (mg/kg-day)],Dermal_Exp[Worker Type],$D95,Dermal_Exp[OES],$C95))</f>
        <v>3.3489534246575335E-3</v>
      </c>
      <c r="M95" s="282">
        <f>IF($E95="High-End",SUMIFS(Dermal_Exp[High-End LADD (mg/kg-day)],Dermal_Exp[Worker Type],$D95,Dermal_Exp[OES],$C95),SUMIFS(Dermal_Exp[Central Tendency LADD (mg/kg-day)],Dermal_Exp[Worker Type],$D95,Dermal_Exp[OES],$C95))</f>
        <v>1.717412012644889E-3</v>
      </c>
      <c r="N95" s="314">
        <f t="shared" ref="N95:P100" si="10">F95+J95</f>
        <v>2.1386000000000002E-2</v>
      </c>
      <c r="O95" s="314">
        <f t="shared" si="10"/>
        <v>1.5683066666666669E-2</v>
      </c>
      <c r="P95" s="314">
        <f t="shared" si="10"/>
        <v>1.3944843835616439E-2</v>
      </c>
      <c r="Q95" s="314">
        <f t="shared" si="8"/>
        <v>7.1512019669827892E-3</v>
      </c>
    </row>
    <row r="96" spans="3:17">
      <c r="C96" s="313" t="str" cm="1">
        <f t="array" ref="C96">INDEX('List Values'!$B$2:$B$18,(1+ROUNDDOWN((ROW()-ROW($C$5))*1/6,2)))</f>
        <v>Fabrication or Use of Final Products and Articles</v>
      </c>
      <c r="D96" s="313" t="s">
        <v>74</v>
      </c>
      <c r="E96" s="313" t="s">
        <v>93</v>
      </c>
      <c r="F96" s="210">
        <f>IF(E96="High-End",SUMIFS(Inhalation_Exp[24hr_High-End],Inhalation_Exp[OES],$C96,Inhalation_Exp[Worker Type],$D96),SUMIFS(Inhalation_Exp[24hr_Central Tendency],Inhalation_Exp[OES],$C96,Inhalation_Exp[Worker Type],$D96))</f>
        <v>7.4999999999999997E-3</v>
      </c>
      <c r="G96" s="210">
        <f>IF(E96="High-End",SUMIFS(Inhalation_Exp[Int_High-End],Inhalation_Exp[OES],$C96,Inhalation_Exp[Worker Type],$D96),SUMIFS(Inhalation_Exp[Int_Central Tendency],Inhalation_Exp[OES],$C96,Inhalation_Exp[Worker Type],$D96))</f>
        <v>5.4999999999999997E-3</v>
      </c>
      <c r="H96" s="210">
        <f>IF(E96="High-End",SUMIFS(Inhalation_Exp[ADD_High-End],Inhalation_Exp[OES],$C96,Inhalation_Exp[Worker Type],$D96),SUMIFS(Inhalation_Exp[ADD_Central Tendency],Inhalation_Exp[OES],$C96,Inhalation_Exp[Worker Type],$D96))</f>
        <v>4.8904109589041093E-3</v>
      </c>
      <c r="I96" s="210">
        <f>IF(E96="High-End",SUMIFS(Inhalation_Exp[LADD_High-End],Inhalation_Exp[OES],$C96,Inhalation_Exp[Worker Type],$D96),SUMIFS(Inhalation_Exp[LADD_Central Tendency],Inhalation_Exp[OES],$C96,Inhalation_Exp[Worker Type],$D96))</f>
        <v>1.9436248682824025E-3</v>
      </c>
      <c r="J96" s="282">
        <f>IF($E96="High-End",SUMIFS(Dermal_Exp[High-End AD (mg/kg-day)],Dermal_Exp[Worker Type],$D96,Dermal_Exp[OES],$C96),SUMIFS(Dermal_Exp[Central Tendency AD (mg/kg-day)],Dermal_Exp[Worker Type],$D96,Dermal_Exp[OES],$C96))</f>
        <v>2.568E-3</v>
      </c>
      <c r="K96" s="282">
        <f>IF($E96="High-End",SUMIFS(Dermal_Exp[High-End IADD (mg/kg-day)],Dermal_Exp[Worker Type],$D96,Dermal_Exp[OES],$C96),SUMIFS(Dermal_Exp[Central Tendency IADD (mg/kg-day)],Dermal_Exp[Worker Type],$D96,Dermal_Exp[OES],$C96))</f>
        <v>1.8832E-3</v>
      </c>
      <c r="L96" s="282">
        <f>IF($E96="High-End",SUMIFS(Dermal_Exp[High-End ADD (mg/kg-day)],Dermal_Exp[Worker Type],$D96,Dermal_Exp[OES],$C96),SUMIFS(Dermal_Exp[Central Tendency ADD (mg/kg-day)],Dermal_Exp[Worker Type],$D96,Dermal_Exp[OES],$C96))</f>
        <v>1.6744767123287668E-3</v>
      </c>
      <c r="M96" s="282">
        <f>IF($E96="High-End",SUMIFS(Dermal_Exp[High-End LADD (mg/kg-day)],Dermal_Exp[Worker Type],$D96,Dermal_Exp[OES],$C96),SUMIFS(Dermal_Exp[Central Tendency LADD (mg/kg-day)],Dermal_Exp[Worker Type],$D96,Dermal_Exp[OES],$C96))</f>
        <v>6.6549715489989448E-4</v>
      </c>
      <c r="N96" s="314">
        <f t="shared" si="10"/>
        <v>1.0068000000000001E-2</v>
      </c>
      <c r="O96" s="314">
        <f t="shared" si="10"/>
        <v>7.3831999999999995E-3</v>
      </c>
      <c r="P96" s="314">
        <f t="shared" si="10"/>
        <v>6.5648876712328759E-3</v>
      </c>
      <c r="Q96" s="314">
        <f t="shared" si="8"/>
        <v>2.609122023182297E-3</v>
      </c>
    </row>
    <row r="97" spans="3:17">
      <c r="C97" s="313" t="str" cm="1">
        <f t="array" ref="C97">INDEX('List Values'!$B$2:$B$18,(1+ROUNDDOWN((ROW()-ROW($C$5))*1/6,2)))</f>
        <v>Fabrication or Use of Final Products and Articles</v>
      </c>
      <c r="D97" s="313" t="s">
        <v>206</v>
      </c>
      <c r="E97" s="313" t="s">
        <v>92</v>
      </c>
      <c r="F97" s="210">
        <f>IF(E97="High-End",SUMIFS(Inhalation_Exp[24hr_High-End],Inhalation_Exp[OES],$C97,Inhalation_Exp[Worker Type],$D97),SUMIFS(Inhalation_Exp[24hr_Central Tendency],Inhalation_Exp[OES],$C97,Inhalation_Exp[Worker Type],$D97))</f>
        <v>1.7949603037625127E-2</v>
      </c>
      <c r="G97" s="210">
        <f>IF(E97="High-End",SUMIFS(Inhalation_Exp[Int_High-End],Inhalation_Exp[OES],$C97,Inhalation_Exp[Worker Type],$D97),SUMIFS(Inhalation_Exp[Int_Central Tendency],Inhalation_Exp[OES],$C97,Inhalation_Exp[Worker Type],$D97))</f>
        <v>1.3163042227591759E-2</v>
      </c>
      <c r="H97" s="210">
        <f>IF(E97="High-End",SUMIFS(Inhalation_Exp[ADD_High-End],Inhalation_Exp[OES],$C97,Inhalation_Exp[Worker Type],$D97),SUMIFS(Inhalation_Exp[ADD_Central Tendency],Inhalation_Exp[OES],$C97,Inhalation_Exp[Worker Type],$D97))</f>
        <v>1.1704124720424054E-2</v>
      </c>
      <c r="I97" s="210">
        <f>IF(E97="High-End",SUMIFS(Inhalation_Exp[LADD_High-End],Inhalation_Exp[OES],$C97,Inhalation_Exp[Worker Type],$D97),SUMIFS(Inhalation_Exp[LADD_Central Tendency],Inhalation_Exp[OES],$C97,Inhalation_Exp[Worker Type],$D97))</f>
        <v>6.0021152412431042E-3</v>
      </c>
      <c r="J97" s="282">
        <f>IF($E97="High-End",SUMIFS(Dermal_Exp[High-End AD (mg/kg-day)],Dermal_Exp[Worker Type],$D97,Dermal_Exp[OES],$C97),SUMIFS(Dermal_Exp[Central Tendency AD (mg/kg-day)],Dermal_Exp[Worker Type],$D97,Dermal_Exp[OES],$C97))</f>
        <v>4.718812564722126E-3</v>
      </c>
      <c r="K97" s="282">
        <f>IF($E97="High-End",SUMIFS(Dermal_Exp[High-End IADD (mg/kg-day)],Dermal_Exp[Worker Type],$D97,Dermal_Exp[OES],$C97),SUMIFS(Dermal_Exp[Central Tendency IADD (mg/kg-day)],Dermal_Exp[Worker Type],$D97,Dermal_Exp[OES],$C97))</f>
        <v>3.4604625474628924E-3</v>
      </c>
      <c r="L97" s="282">
        <f>IF($E97="High-End",SUMIFS(Dermal_Exp[High-End ADD (mg/kg-day)],Dermal_Exp[Worker Type],$D97,Dermal_Exp[OES],$C97),SUMIFS(Dermal_Exp[Central Tendency ADD (mg/kg-day)],Dermal_Exp[Worker Type],$D97,Dermal_Exp[OES],$C97))</f>
        <v>3.0769243572708656E-3</v>
      </c>
      <c r="M97" s="282">
        <f>IF($E97="High-End",SUMIFS(Dermal_Exp[High-End LADD (mg/kg-day)],Dermal_Exp[Worker Type],$D97,Dermal_Exp[OES],$C97),SUMIFS(Dermal_Exp[Central Tendency LADD (mg/kg-day)],Dermal_Exp[Worker Type],$D97,Dermal_Exp[OES],$C97))</f>
        <v>1.5779099268055721E-3</v>
      </c>
      <c r="N97" s="314">
        <f t="shared" si="10"/>
        <v>2.2668415602347253E-2</v>
      </c>
      <c r="O97" s="314">
        <f t="shared" si="10"/>
        <v>1.6623504775054653E-2</v>
      </c>
      <c r="P97" s="314">
        <f t="shared" si="10"/>
        <v>1.4781049077694919E-2</v>
      </c>
      <c r="Q97" s="314">
        <f t="shared" si="8"/>
        <v>7.5800251680486763E-3</v>
      </c>
    </row>
    <row r="98" spans="3:17">
      <c r="C98" s="313" t="str" cm="1">
        <f t="array" ref="C98">INDEX('List Values'!$B$2:$B$18,(1+ROUNDDOWN((ROW()-ROW($C$5))*1/6,2)))</f>
        <v>Fabrication or Use of Final Products and Articles</v>
      </c>
      <c r="D98" s="313" t="s">
        <v>206</v>
      </c>
      <c r="E98" s="313" t="s">
        <v>93</v>
      </c>
      <c r="F98" s="210">
        <f>IF(E98="High-End",SUMIFS(Inhalation_Exp[24hr_High-End],Inhalation_Exp[OES],$C98,Inhalation_Exp[Worker Type],$D98),SUMIFS(Inhalation_Exp[24hr_Central Tendency],Inhalation_Exp[OES],$C98,Inhalation_Exp[Worker Type],$D98))</f>
        <v>8.2844321712115965E-3</v>
      </c>
      <c r="G98" s="210">
        <f>IF(E98="High-End",SUMIFS(Inhalation_Exp[Int_High-End],Inhalation_Exp[OES],$C98,Inhalation_Exp[Worker Type],$D98),SUMIFS(Inhalation_Exp[Int_Central Tendency],Inhalation_Exp[OES],$C98,Inhalation_Exp[Worker Type],$D98))</f>
        <v>6.0752502588885034E-3</v>
      </c>
      <c r="H98" s="210">
        <f>IF(E98="High-End",SUMIFS(Inhalation_Exp[ADD_High-End],Inhalation_Exp[OES],$C98,Inhalation_Exp[Worker Type],$D98),SUMIFS(Inhalation_Exp[ADD_Central Tendency],Inhalation_Exp[OES],$C98,Inhalation_Exp[Worker Type],$D98))</f>
        <v>5.4019037171187945E-3</v>
      </c>
      <c r="I98" s="210">
        <f>IF(E98="High-End",SUMIFS(Inhalation_Exp[LADD_High-End],Inhalation_Exp[OES],$C98,Inhalation_Exp[Worker Type],$D98),SUMIFS(Inhalation_Exp[LADD_Central Tendency],Inhalation_Exp[OES],$C98,Inhalation_Exp[Worker Type],$D98))</f>
        <v>2.1469104516754181E-3</v>
      </c>
      <c r="J98" s="282">
        <f>IF($E98="High-End",SUMIFS(Dermal_Exp[High-End AD (mg/kg-day)],Dermal_Exp[Worker Type],$D98,Dermal_Exp[OES],$C98),SUMIFS(Dermal_Exp[Central Tendency AD (mg/kg-day)],Dermal_Exp[Worker Type],$D98,Dermal_Exp[OES],$C98))</f>
        <v>2.359406282361063E-3</v>
      </c>
      <c r="K98" s="282">
        <f>IF($E98="High-End",SUMIFS(Dermal_Exp[High-End IADD (mg/kg-day)],Dermal_Exp[Worker Type],$D98,Dermal_Exp[OES],$C98),SUMIFS(Dermal_Exp[Central Tendency IADD (mg/kg-day)],Dermal_Exp[Worker Type],$D98,Dermal_Exp[OES],$C98))</f>
        <v>1.7302312737314462E-3</v>
      </c>
      <c r="L98" s="282">
        <f>IF($E98="High-End",SUMIFS(Dermal_Exp[High-End ADD (mg/kg-day)],Dermal_Exp[Worker Type],$D98,Dermal_Exp[OES],$C98),SUMIFS(Dermal_Exp[Central Tendency ADD (mg/kg-day)],Dermal_Exp[Worker Type],$D98,Dermal_Exp[OES],$C98))</f>
        <v>1.538462178635433E-3</v>
      </c>
      <c r="M98" s="282">
        <f>IF($E98="High-End",SUMIFS(Dermal_Exp[High-End LADD (mg/kg-day)],Dermal_Exp[Worker Type],$D98,Dermal_Exp[OES],$C98),SUMIFS(Dermal_Exp[Central Tendency LADD (mg/kg-day)],Dermal_Exp[Worker Type],$D98,Dermal_Exp[OES],$C98))</f>
        <v>6.1144009663715931E-4</v>
      </c>
      <c r="N98" s="314">
        <f t="shared" si="10"/>
        <v>1.064383845357266E-2</v>
      </c>
      <c r="O98" s="314">
        <f t="shared" si="10"/>
        <v>7.8054815326199494E-3</v>
      </c>
      <c r="P98" s="314">
        <f t="shared" si="10"/>
        <v>6.9403658957542273E-3</v>
      </c>
      <c r="Q98" s="314">
        <f t="shared" si="8"/>
        <v>2.7583505483125773E-3</v>
      </c>
    </row>
    <row r="99" spans="3:17">
      <c r="C99" s="313" t="str" cm="1">
        <f t="array" ref="C99">INDEX('List Values'!$B$2:$B$18,(1+ROUNDDOWN((ROW()-ROW($C$5))*1/6,2)))</f>
        <v>Fabrication or Use of Final Products and Articles</v>
      </c>
      <c r="D99" s="313" t="s">
        <v>94</v>
      </c>
      <c r="E99" s="313" t="s">
        <v>92</v>
      </c>
      <c r="F99" s="210">
        <f>IF(E99="High-End",SUMIFS(Inhalation_Exp[24hr_High-End],Inhalation_Exp[OES],$C99,Inhalation_Exp[Worker Type],$D99),SUMIFS(Inhalation_Exp[24hr_Central Tendency],Inhalation_Exp[OES],$C99,Inhalation_Exp[Worker Type],$D99))</f>
        <v>5.0000000000000001E-3</v>
      </c>
      <c r="G99" s="210">
        <f>IF(E99="High-End",SUMIFS(Inhalation_Exp[Int_High-End],Inhalation_Exp[OES],$C99,Inhalation_Exp[Worker Type],$D99),SUMIFS(Inhalation_Exp[Int_Central Tendency],Inhalation_Exp[OES],$C99,Inhalation_Exp[Worker Type],$D99))</f>
        <v>3.6666666666666666E-3</v>
      </c>
      <c r="H99" s="210">
        <f>IF(E99="High-End",SUMIFS(Inhalation_Exp[ADD_High-End],Inhalation_Exp[OES],$C99,Inhalation_Exp[Worker Type],$D99),SUMIFS(Inhalation_Exp[ADD_Central Tendency],Inhalation_Exp[OES],$C99,Inhalation_Exp[Worker Type],$D99))</f>
        <v>3.2602739726027394E-3</v>
      </c>
      <c r="I99" s="210">
        <f>IF(E99="High-End",SUMIFS(Inhalation_Exp[LADD_High-End],Inhalation_Exp[OES],$C99,Inhalation_Exp[Worker Type],$D99),SUMIFS(Inhalation_Exp[LADD_Central Tendency],Inhalation_Exp[OES],$C99,Inhalation_Exp[Worker Type],$D99))</f>
        <v>1.6719353705655074E-3</v>
      </c>
      <c r="J99" s="282">
        <f>IF($E99="High-End",SUMIFS(Dermal_Exp[High-End AD (mg/kg-day)],Dermal_Exp[Worker Type],$D99,Dermal_Exp[OES],$C99),SUMIFS(Dermal_Exp[Central Tendency AD (mg/kg-day)],Dermal_Exp[Worker Type],$D99,Dermal_Exp[OES],$C99))</f>
        <v>2.568E-3</v>
      </c>
      <c r="K99" s="282">
        <f>IF($E99="High-End",SUMIFS(Dermal_Exp[High-End IADD (mg/kg-day)],Dermal_Exp[Worker Type],$D99,Dermal_Exp[OES],$C99),SUMIFS(Dermal_Exp[Central Tendency IADD (mg/kg-day)],Dermal_Exp[Worker Type],$D99,Dermal_Exp[OES],$C99))</f>
        <v>1.8832E-3</v>
      </c>
      <c r="L99" s="282">
        <f>IF($E99="High-End",SUMIFS(Dermal_Exp[High-End ADD (mg/kg-day)],Dermal_Exp[Worker Type],$D99,Dermal_Exp[OES],$C99),SUMIFS(Dermal_Exp[Central Tendency ADD (mg/kg-day)],Dermal_Exp[Worker Type],$D99,Dermal_Exp[OES],$C99))</f>
        <v>1.6744767123287668E-3</v>
      </c>
      <c r="M99" s="282">
        <f>IF($E99="High-End",SUMIFS(Dermal_Exp[High-End LADD (mg/kg-day)],Dermal_Exp[Worker Type],$D99,Dermal_Exp[OES],$C99),SUMIFS(Dermal_Exp[Central Tendency LADD (mg/kg-day)],Dermal_Exp[Worker Type],$D99,Dermal_Exp[OES],$C99))</f>
        <v>8.5870600632244451E-4</v>
      </c>
      <c r="N99" s="314">
        <f t="shared" si="10"/>
        <v>7.5680000000000001E-3</v>
      </c>
      <c r="O99" s="314">
        <f t="shared" si="10"/>
        <v>5.5498666666666668E-3</v>
      </c>
      <c r="P99" s="314">
        <f t="shared" si="10"/>
        <v>4.9347506849315064E-3</v>
      </c>
      <c r="Q99" s="314">
        <f t="shared" si="8"/>
        <v>2.530641376887952E-3</v>
      </c>
    </row>
    <row r="100" spans="3:17">
      <c r="C100" s="313" t="str" cm="1">
        <f t="array" ref="C100">INDEX('List Values'!$B$2:$B$18,(1+ROUNDDOWN((ROW()-ROW($C$5))*1/6,2)))</f>
        <v>Fabrication or Use of Final Products and Articles</v>
      </c>
      <c r="D100" s="313" t="s">
        <v>94</v>
      </c>
      <c r="E100" s="313" t="s">
        <v>93</v>
      </c>
      <c r="F100" s="210">
        <f>IF(E100="High-End",SUMIFS(Inhalation_Exp[24hr_High-End],Inhalation_Exp[OES],$C100,Inhalation_Exp[Worker Type],$D100),SUMIFS(Inhalation_Exp[24hr_Central Tendency],Inhalation_Exp[OES],$C100,Inhalation_Exp[Worker Type],$D100))</f>
        <v>5.0000000000000001E-3</v>
      </c>
      <c r="G100" s="210">
        <f>IF(E100="High-End",SUMIFS(Inhalation_Exp[Int_High-End],Inhalation_Exp[OES],$C100,Inhalation_Exp[Worker Type],$D100),SUMIFS(Inhalation_Exp[Int_Central Tendency],Inhalation_Exp[OES],$C100,Inhalation_Exp[Worker Type],$D100))</f>
        <v>3.6666666666666666E-3</v>
      </c>
      <c r="H100" s="210">
        <f>IF(E100="High-End",SUMIFS(Inhalation_Exp[ADD_High-End],Inhalation_Exp[OES],$C100,Inhalation_Exp[Worker Type],$D100),SUMIFS(Inhalation_Exp[ADD_Central Tendency],Inhalation_Exp[OES],$C100,Inhalation_Exp[Worker Type],$D100))</f>
        <v>3.2602739726027398E-3</v>
      </c>
      <c r="I100" s="210">
        <f>IF(E100="High-End",SUMIFS(Inhalation_Exp[LADD_High-End],Inhalation_Exp[OES],$C100,Inhalation_Exp[Worker Type],$D100),SUMIFS(Inhalation_Exp[LADD_Central Tendency],Inhalation_Exp[OES],$C100,Inhalation_Exp[Worker Type],$D100))</f>
        <v>1.2957499121882684E-3</v>
      </c>
      <c r="J100" s="282">
        <f>IF($E100="High-End",SUMIFS(Dermal_Exp[High-End AD (mg/kg-day)],Dermal_Exp[Worker Type],$D100,Dermal_Exp[OES],$C100),SUMIFS(Dermal_Exp[Central Tendency AD (mg/kg-day)],Dermal_Exp[Worker Type],$D100,Dermal_Exp[OES],$C100))</f>
        <v>2.568E-3</v>
      </c>
      <c r="K100" s="282">
        <f>IF($E100="High-End",SUMIFS(Dermal_Exp[High-End IADD (mg/kg-day)],Dermal_Exp[Worker Type],$D100,Dermal_Exp[OES],$C100),SUMIFS(Dermal_Exp[Central Tendency IADD (mg/kg-day)],Dermal_Exp[Worker Type],$D100,Dermal_Exp[OES],$C100))</f>
        <v>1.8832E-3</v>
      </c>
      <c r="L100" s="282">
        <f>IF($E100="High-End",SUMIFS(Dermal_Exp[High-End ADD (mg/kg-day)],Dermal_Exp[Worker Type],$D100,Dermal_Exp[OES],$C100),SUMIFS(Dermal_Exp[Central Tendency ADD (mg/kg-day)],Dermal_Exp[Worker Type],$D100,Dermal_Exp[OES],$C100))</f>
        <v>1.6744767123287668E-3</v>
      </c>
      <c r="M100" s="282">
        <f>IF($E100="High-End",SUMIFS(Dermal_Exp[High-End LADD (mg/kg-day)],Dermal_Exp[Worker Type],$D100,Dermal_Exp[OES],$C100),SUMIFS(Dermal_Exp[Central Tendency LADD (mg/kg-day)],Dermal_Exp[Worker Type],$D100,Dermal_Exp[OES],$C100))</f>
        <v>6.6549715489989448E-4</v>
      </c>
      <c r="N100" s="314">
        <f t="shared" si="10"/>
        <v>7.5680000000000001E-3</v>
      </c>
      <c r="O100" s="314">
        <f t="shared" si="10"/>
        <v>5.5498666666666668E-3</v>
      </c>
      <c r="P100" s="314">
        <f t="shared" si="10"/>
        <v>4.9347506849315064E-3</v>
      </c>
      <c r="Q100" s="314">
        <f t="shared" si="8"/>
        <v>1.9612470670881629E-3</v>
      </c>
    </row>
    <row r="101" spans="3:17">
      <c r="K101" s="19"/>
      <c r="L101" s="19"/>
      <c r="M101" s="19"/>
      <c r="N101" s="19"/>
    </row>
    <row r="102" spans="3:17" ht="13.5" customHeight="1" thickBot="1">
      <c r="F102" s="606" t="s">
        <v>267</v>
      </c>
      <c r="G102" s="607"/>
      <c r="H102" s="607"/>
      <c r="I102" s="608"/>
      <c r="J102" s="606" t="s">
        <v>268</v>
      </c>
      <c r="K102" s="607"/>
      <c r="L102" s="607"/>
      <c r="M102" s="608"/>
      <c r="N102" s="606" t="s">
        <v>269</v>
      </c>
      <c r="O102" s="607"/>
      <c r="P102" s="607"/>
      <c r="Q102" s="607"/>
    </row>
    <row r="103" spans="3:17" ht="13.5" customHeight="1" thickBot="1">
      <c r="D103" s="17"/>
      <c r="E103" s="316" t="s">
        <v>270</v>
      </c>
      <c r="F103" s="315">
        <f>'Hazard Values'!$J$12</f>
        <v>30</v>
      </c>
      <c r="G103" s="315">
        <f>'Hazard Values'!$J$13</f>
        <v>30</v>
      </c>
      <c r="H103" s="315">
        <f>'Hazard Values'!$J$14</f>
        <v>30</v>
      </c>
      <c r="I103" s="311" t="s">
        <v>271</v>
      </c>
      <c r="J103" s="315">
        <f>'Hazard Values'!$J$12</f>
        <v>30</v>
      </c>
      <c r="K103" s="315">
        <f>'Hazard Values'!$J$13</f>
        <v>30</v>
      </c>
      <c r="L103" s="315">
        <f>'Hazard Values'!$J$14</f>
        <v>30</v>
      </c>
      <c r="M103" s="311" t="s">
        <v>271</v>
      </c>
      <c r="N103" s="315">
        <f>'Hazard Values'!$J$12</f>
        <v>30</v>
      </c>
      <c r="O103" s="315">
        <f>'Hazard Values'!$J$13</f>
        <v>30</v>
      </c>
      <c r="P103" s="315">
        <f>'Hazard Values'!$J$14</f>
        <v>30</v>
      </c>
      <c r="Q103" s="311" t="s">
        <v>271</v>
      </c>
    </row>
    <row r="104" spans="3:17" ht="13.5" thickBot="1">
      <c r="C104" s="310"/>
      <c r="D104" s="310"/>
      <c r="E104" s="317" t="s">
        <v>272</v>
      </c>
      <c r="F104" s="312">
        <f>'Hazard Values'!$I$12</f>
        <v>1.1000000000000001</v>
      </c>
      <c r="G104" s="312">
        <f>'Hazard Values'!$I$13</f>
        <v>1.1000000000000001</v>
      </c>
      <c r="H104" s="312">
        <f>'Hazard Values'!$I$14</f>
        <v>1.1000000000000001</v>
      </c>
      <c r="I104" s="312">
        <f>'Hazard Values'!$L$15</f>
        <v>0</v>
      </c>
      <c r="J104" s="312">
        <f>'Hazard Values'!$I$12</f>
        <v>1.1000000000000001</v>
      </c>
      <c r="K104" s="312">
        <f>'Hazard Values'!$I$13</f>
        <v>1.1000000000000001</v>
      </c>
      <c r="L104" s="312">
        <f>'Hazard Values'!$I$14</f>
        <v>1.1000000000000001</v>
      </c>
      <c r="M104" s="312">
        <f>'Hazard Values'!$L$15</f>
        <v>0</v>
      </c>
      <c r="N104" s="312">
        <f>'Hazard Values'!$I$12</f>
        <v>1.1000000000000001</v>
      </c>
      <c r="O104" s="312">
        <f>'Hazard Values'!$I$13</f>
        <v>1.1000000000000001</v>
      </c>
      <c r="P104" s="312">
        <f>'Hazard Values'!$I$14</f>
        <v>1.1000000000000001</v>
      </c>
      <c r="Q104" s="312">
        <f>'Hazard Values'!$L$15</f>
        <v>0</v>
      </c>
    </row>
    <row r="105" spans="3:17" ht="13.5" thickBot="1">
      <c r="C105" s="309" t="s">
        <v>181</v>
      </c>
      <c r="D105" s="309" t="s">
        <v>263</v>
      </c>
      <c r="E105" s="309" t="s">
        <v>79</v>
      </c>
      <c r="F105" s="309" t="s">
        <v>273</v>
      </c>
      <c r="G105" s="309" t="s">
        <v>274</v>
      </c>
      <c r="H105" s="309" t="s">
        <v>275</v>
      </c>
      <c r="I105" s="309" t="s">
        <v>276</v>
      </c>
      <c r="J105" s="309" t="s">
        <v>273</v>
      </c>
      <c r="K105" s="309" t="s">
        <v>274</v>
      </c>
      <c r="L105" s="309" t="s">
        <v>275</v>
      </c>
      <c r="M105" s="309" t="s">
        <v>276</v>
      </c>
      <c r="N105" s="309" t="s">
        <v>273</v>
      </c>
      <c r="O105" s="309" t="s">
        <v>274</v>
      </c>
      <c r="P105" s="309" t="s">
        <v>275</v>
      </c>
      <c r="Q105" s="309" t="s">
        <v>276</v>
      </c>
    </row>
    <row r="106" spans="3:17" ht="13.5" thickBot="1">
      <c r="C106" s="17" t="str" cm="1">
        <f t="array" ref="C106">INDEX('List Values'!$B$2:$B$18,(1+ROUNDDOWN((ROW()-ROW($C$106))*1/6,2)))</f>
        <v>Manufacturing</v>
      </c>
      <c r="D106" s="313" t="s">
        <v>74</v>
      </c>
      <c r="E106" s="308" t="s">
        <v>92</v>
      </c>
      <c r="F106" s="318">
        <f t="shared" ref="F106:H106" si="11">F$104/F5</f>
        <v>400.00000000000006</v>
      </c>
      <c r="G106" s="318">
        <f t="shared" si="11"/>
        <v>545.4545454545455</v>
      </c>
      <c r="H106" s="318">
        <f t="shared" si="11"/>
        <v>584</v>
      </c>
      <c r="I106" s="270">
        <f t="shared" ref="I106:I169" si="12">I$104*I5</f>
        <v>0</v>
      </c>
      <c r="J106" s="318">
        <f t="shared" ref="J106:L106" si="13">IFERROR(J$104/J5,"")</f>
        <v>7907.9798705966941</v>
      </c>
      <c r="K106" s="318">
        <f t="shared" si="13"/>
        <v>10783.608914450037</v>
      </c>
      <c r="L106" s="318">
        <f t="shared" si="13"/>
        <v>11545.650611071173</v>
      </c>
      <c r="M106" s="270">
        <f t="shared" ref="M106:M169" si="14">IFERROR(M$104*M5,"")</f>
        <v>0</v>
      </c>
      <c r="N106" s="379">
        <f t="shared" ref="N106:P106" si="15">N$104/N5</f>
        <v>380.74140735869304</v>
      </c>
      <c r="O106" s="379">
        <f t="shared" si="15"/>
        <v>519.19282821639956</v>
      </c>
      <c r="P106" s="379">
        <f t="shared" si="15"/>
        <v>555.88245474369194</v>
      </c>
      <c r="Q106" s="270">
        <f t="shared" ref="Q106:Q169" si="16">Q$104*Q5</f>
        <v>0</v>
      </c>
    </row>
    <row r="107" spans="3:17" ht="13.5" thickBot="1">
      <c r="C107" s="17" t="str" cm="1">
        <f t="array" ref="C107">INDEX('List Values'!$B$2:$B$18,(1+ROUNDDOWN((ROW()-ROW($C$106))*1/6,2)))</f>
        <v>Manufacturing</v>
      </c>
      <c r="D107" s="313" t="s">
        <v>74</v>
      </c>
      <c r="E107" s="313" t="s">
        <v>93</v>
      </c>
      <c r="F107" s="318">
        <f t="shared" ref="F107:H107" si="17">F$104/F6</f>
        <v>733.33333333333337</v>
      </c>
      <c r="G107" s="318">
        <f t="shared" si="17"/>
        <v>1000</v>
      </c>
      <c r="H107" s="318">
        <f t="shared" si="17"/>
        <v>1070.666666666667</v>
      </c>
      <c r="I107" s="270">
        <f t="shared" si="12"/>
        <v>0</v>
      </c>
      <c r="J107" s="318">
        <f t="shared" ref="J107:L107" si="18">IFERROR(J$104/J6,"")</f>
        <v>15815.959741193388</v>
      </c>
      <c r="K107" s="318">
        <f t="shared" si="18"/>
        <v>21567.217828900073</v>
      </c>
      <c r="L107" s="318">
        <f t="shared" si="18"/>
        <v>23091.301222142345</v>
      </c>
      <c r="M107" s="270">
        <f t="shared" si="14"/>
        <v>0</v>
      </c>
      <c r="N107" s="379">
        <f t="shared" ref="N107:P107" si="19">N$104/N6</f>
        <v>700.83781975725526</v>
      </c>
      <c r="O107" s="379">
        <f t="shared" si="19"/>
        <v>955.68793603262077</v>
      </c>
      <c r="P107" s="379">
        <f t="shared" si="19"/>
        <v>1023.2232168455929</v>
      </c>
      <c r="Q107" s="270">
        <f t="shared" si="16"/>
        <v>0</v>
      </c>
    </row>
    <row r="108" spans="3:17" ht="13.5" thickBot="1">
      <c r="C108" s="17" t="str" cm="1">
        <f t="array" ref="C108">INDEX('List Values'!$B$2:$B$18,(1+ROUNDDOWN((ROW()-ROW($C$106))*1/6,2)))</f>
        <v>Manufacturing</v>
      </c>
      <c r="D108" s="313" t="s">
        <v>206</v>
      </c>
      <c r="E108" s="313" t="s">
        <v>92</v>
      </c>
      <c r="F108" s="318">
        <f t="shared" ref="F108:H108" si="20">F$104/F7</f>
        <v>362.12500000000017</v>
      </c>
      <c r="G108" s="318">
        <f t="shared" si="20"/>
        <v>493.80681818181841</v>
      </c>
      <c r="H108" s="318">
        <f t="shared" si="20"/>
        <v>528.70250000000021</v>
      </c>
      <c r="I108" s="270">
        <f t="shared" si="12"/>
        <v>0</v>
      </c>
      <c r="J108" s="318">
        <f t="shared" ref="J108:L108" si="21">IFERROR(J$104/J7,"")</f>
        <v>8607.1197061365638</v>
      </c>
      <c r="K108" s="318">
        <f t="shared" si="21"/>
        <v>11736.98141745895</v>
      </c>
      <c r="L108" s="318">
        <f t="shared" si="21"/>
        <v>12566.394770959383</v>
      </c>
      <c r="M108" s="270">
        <f t="shared" si="14"/>
        <v>0</v>
      </c>
      <c r="N108" s="379">
        <f t="shared" ref="N108:P108" si="22">N$104/N7</f>
        <v>347.50453641344188</v>
      </c>
      <c r="O108" s="379">
        <f t="shared" si="22"/>
        <v>473.86982238196623</v>
      </c>
      <c r="P108" s="379">
        <f t="shared" si="22"/>
        <v>507.35662316362522</v>
      </c>
      <c r="Q108" s="270">
        <f t="shared" si="16"/>
        <v>0</v>
      </c>
    </row>
    <row r="109" spans="3:17" ht="13.5" thickBot="1">
      <c r="C109" s="17" t="str" cm="1">
        <f t="array" ref="C109">INDEX('List Values'!$B$2:$B$18,(1+ROUNDDOWN((ROW()-ROW($C$106))*1/6,2)))</f>
        <v>Manufacturing</v>
      </c>
      <c r="D109" s="313" t="s">
        <v>206</v>
      </c>
      <c r="E109" s="313" t="s">
        <v>93</v>
      </c>
      <c r="F109" s="318">
        <f t="shared" ref="F109:H109" si="23">F$104/F8</f>
        <v>663.89583333333348</v>
      </c>
      <c r="G109" s="318">
        <f t="shared" si="23"/>
        <v>905.31250000000023</v>
      </c>
      <c r="H109" s="318">
        <f t="shared" si="23"/>
        <v>969.28791666666677</v>
      </c>
      <c r="I109" s="270">
        <f t="shared" si="12"/>
        <v>0</v>
      </c>
      <c r="J109" s="318">
        <f t="shared" ref="J109:L109" si="24">IFERROR(J$104/J8,"")</f>
        <v>17214.239412273128</v>
      </c>
      <c r="K109" s="318">
        <f t="shared" si="24"/>
        <v>23473.9628349179</v>
      </c>
      <c r="L109" s="318">
        <f t="shared" si="24"/>
        <v>25132.78954191877</v>
      </c>
      <c r="M109" s="270">
        <f t="shared" si="14"/>
        <v>0</v>
      </c>
      <c r="N109" s="379">
        <f t="shared" ref="N109:P109" si="25">N$104/N8</f>
        <v>639.24238533876826</v>
      </c>
      <c r="O109" s="379">
        <f t="shared" si="25"/>
        <v>871.69416182559314</v>
      </c>
      <c r="P109" s="379">
        <f t="shared" si="25"/>
        <v>933.29388259460177</v>
      </c>
      <c r="Q109" s="270">
        <f t="shared" si="16"/>
        <v>0</v>
      </c>
    </row>
    <row r="110" spans="3:17" ht="13.5" thickBot="1">
      <c r="C110" s="17" t="str" cm="1">
        <f t="array" ref="C110">INDEX('List Values'!$B$2:$B$18,(1+ROUNDDOWN((ROW()-ROW($C$106))*1/6,2)))</f>
        <v>Manufacturing</v>
      </c>
      <c r="D110" s="313" t="s">
        <v>94</v>
      </c>
      <c r="E110" s="313" t="s">
        <v>92</v>
      </c>
      <c r="F110" s="318">
        <f t="shared" ref="F110:H110" si="26">F$104/F9</f>
        <v>733.33333333333337</v>
      </c>
      <c r="G110" s="318">
        <f t="shared" si="26"/>
        <v>1000</v>
      </c>
      <c r="H110" s="318">
        <f t="shared" si="26"/>
        <v>1070.666666666667</v>
      </c>
      <c r="I110" s="270">
        <f t="shared" si="12"/>
        <v>0</v>
      </c>
      <c r="J110" s="318" t="str">
        <f t="shared" ref="J110:L110" si="27">IFERROR(J$104/J9,"")</f>
        <v/>
      </c>
      <c r="K110" s="318" t="str">
        <f t="shared" si="27"/>
        <v/>
      </c>
      <c r="L110" s="318" t="str">
        <f t="shared" si="27"/>
        <v/>
      </c>
      <c r="M110" s="270">
        <f t="shared" si="14"/>
        <v>0</v>
      </c>
      <c r="N110" s="379">
        <f t="shared" ref="N110:P110" si="28">N$104/N9</f>
        <v>733.33333333333337</v>
      </c>
      <c r="O110" s="379">
        <f t="shared" si="28"/>
        <v>1000</v>
      </c>
      <c r="P110" s="379">
        <f t="shared" si="28"/>
        <v>1070.666666666667</v>
      </c>
      <c r="Q110" s="270">
        <f t="shared" si="16"/>
        <v>0</v>
      </c>
    </row>
    <row r="111" spans="3:17" ht="13.5" thickBot="1">
      <c r="C111" s="17" t="str" cm="1">
        <f t="array" ref="C111">INDEX('List Values'!$B$2:$B$18,(1+ROUNDDOWN((ROW()-ROW($C$106))*1/6,2)))</f>
        <v>Manufacturing</v>
      </c>
      <c r="D111" s="313" t="s">
        <v>94</v>
      </c>
      <c r="E111" s="313" t="s">
        <v>93</v>
      </c>
      <c r="F111" s="318">
        <f t="shared" ref="F111:H111" si="29">F$104/F10</f>
        <v>733.33333333333337</v>
      </c>
      <c r="G111" s="318">
        <f t="shared" si="29"/>
        <v>1000</v>
      </c>
      <c r="H111" s="318">
        <f t="shared" si="29"/>
        <v>1070.666666666667</v>
      </c>
      <c r="I111" s="270">
        <f t="shared" si="12"/>
        <v>0</v>
      </c>
      <c r="J111" s="318" t="str">
        <f t="shared" ref="J111:L111" si="30">IFERROR(J$104/J10,"")</f>
        <v/>
      </c>
      <c r="K111" s="318" t="str">
        <f t="shared" si="30"/>
        <v/>
      </c>
      <c r="L111" s="318" t="str">
        <f t="shared" si="30"/>
        <v/>
      </c>
      <c r="M111" s="270">
        <f t="shared" si="14"/>
        <v>0</v>
      </c>
      <c r="N111" s="379">
        <f t="shared" ref="N111:P111" si="31">N$104/N10</f>
        <v>733.33333333333337</v>
      </c>
      <c r="O111" s="379">
        <f t="shared" si="31"/>
        <v>1000</v>
      </c>
      <c r="P111" s="379">
        <f t="shared" si="31"/>
        <v>1070.666666666667</v>
      </c>
      <c r="Q111" s="270">
        <f t="shared" si="16"/>
        <v>0</v>
      </c>
    </row>
    <row r="112" spans="3:17" ht="13.5" thickBot="1">
      <c r="C112" s="17" t="str" cm="1">
        <f t="array" ref="C112">INDEX('List Values'!$B$2:$B$18,(1+ROUNDDOWN((ROW()-ROW($C$106))*1/6,2)))</f>
        <v>Import and Repackaging</v>
      </c>
      <c r="D112" s="313" t="s">
        <v>74</v>
      </c>
      <c r="E112" s="308" t="s">
        <v>92</v>
      </c>
      <c r="F112" s="318">
        <f t="shared" ref="F112:H112" si="32">F$104/F11</f>
        <v>16.923076923076923</v>
      </c>
      <c r="G112" s="318">
        <f t="shared" si="32"/>
        <v>23.076923076923077</v>
      </c>
      <c r="H112" s="318">
        <f t="shared" si="32"/>
        <v>24.707692307692312</v>
      </c>
      <c r="I112" s="270">
        <f t="shared" si="12"/>
        <v>0</v>
      </c>
      <c r="J112" s="318">
        <f t="shared" ref="J112:L112" si="33">IFERROR(J$104/J11,"")</f>
        <v>7907.9798705966941</v>
      </c>
      <c r="K112" s="318">
        <f t="shared" si="33"/>
        <v>10783.608914450037</v>
      </c>
      <c r="L112" s="318">
        <f t="shared" si="33"/>
        <v>11545.650611071173</v>
      </c>
      <c r="M112" s="270">
        <f t="shared" si="14"/>
        <v>0</v>
      </c>
      <c r="N112" s="379">
        <f t="shared" ref="N112:P112" si="34">N$104/N11</f>
        <v>16.886938873886805</v>
      </c>
      <c r="O112" s="379">
        <f t="shared" si="34"/>
        <v>23.027643918936551</v>
      </c>
      <c r="P112" s="379">
        <f t="shared" si="34"/>
        <v>24.654930755874737</v>
      </c>
      <c r="Q112" s="270">
        <f t="shared" si="16"/>
        <v>0</v>
      </c>
    </row>
    <row r="113" spans="3:17" ht="13.5" thickBot="1">
      <c r="C113" s="17" t="str" cm="1">
        <f t="array" ref="C113">INDEX('List Values'!$B$2:$B$18,(1+ROUNDDOWN((ROW()-ROW($C$106))*1/6,2)))</f>
        <v>Import and Repackaging</v>
      </c>
      <c r="D113" s="313" t="s">
        <v>74</v>
      </c>
      <c r="E113" s="313" t="s">
        <v>93</v>
      </c>
      <c r="F113" s="318">
        <f t="shared" ref="F113:H113" si="35">F$104/F12</f>
        <v>62.857142857142854</v>
      </c>
      <c r="G113" s="318">
        <f t="shared" si="35"/>
        <v>85.714285714285722</v>
      </c>
      <c r="H113" s="318">
        <f t="shared" si="35"/>
        <v>91.771428571428586</v>
      </c>
      <c r="I113" s="270">
        <f t="shared" si="12"/>
        <v>0</v>
      </c>
      <c r="J113" s="318">
        <f t="shared" ref="J113:L113" si="36">IFERROR(J$104/J12,"")</f>
        <v>15815.959741193388</v>
      </c>
      <c r="K113" s="318">
        <f t="shared" si="36"/>
        <v>21567.217828900073</v>
      </c>
      <c r="L113" s="318">
        <f t="shared" si="36"/>
        <v>23091.301222142345</v>
      </c>
      <c r="M113" s="270">
        <f t="shared" si="14"/>
        <v>0</v>
      </c>
      <c r="N113" s="379">
        <f t="shared" ref="N113:P113" si="37">N$104/N12</f>
        <v>62.608319507329433</v>
      </c>
      <c r="O113" s="379">
        <f t="shared" si="37"/>
        <v>85.374981146358323</v>
      </c>
      <c r="P113" s="379">
        <f t="shared" si="37"/>
        <v>91.408146480700992</v>
      </c>
      <c r="Q113" s="270">
        <f t="shared" si="16"/>
        <v>0</v>
      </c>
    </row>
    <row r="114" spans="3:17" ht="13.5" thickBot="1">
      <c r="C114" s="17" t="str" cm="1">
        <f t="array" ref="C114">INDEX('List Values'!$B$2:$B$18,(1+ROUNDDOWN((ROW()-ROW($C$106))*1/6,2)))</f>
        <v>Import and Repackaging</v>
      </c>
      <c r="D114" s="313" t="s">
        <v>206</v>
      </c>
      <c r="E114" s="313" t="s">
        <v>92</v>
      </c>
      <c r="F114" s="318">
        <f t="shared" ref="F114:H114" si="38">F$104/F13</f>
        <v>15.320673076923081</v>
      </c>
      <c r="G114" s="318">
        <f t="shared" si="38"/>
        <v>20.891826923076927</v>
      </c>
      <c r="H114" s="318">
        <f t="shared" si="38"/>
        <v>22.368182692307698</v>
      </c>
      <c r="I114" s="270">
        <f t="shared" si="12"/>
        <v>0</v>
      </c>
      <c r="J114" s="318">
        <f t="shared" ref="J114:L114" si="39">IFERROR(J$104/J13,"")</f>
        <v>8607.1197061365638</v>
      </c>
      <c r="K114" s="318">
        <f t="shared" si="39"/>
        <v>11736.98141745895</v>
      </c>
      <c r="L114" s="318">
        <f t="shared" si="39"/>
        <v>12566.394770959383</v>
      </c>
      <c r="M114" s="270">
        <f t="shared" si="14"/>
        <v>0</v>
      </c>
      <c r="N114" s="379">
        <f t="shared" ref="N114:P114" si="40">N$104/N13</f>
        <v>15.293450734615465</v>
      </c>
      <c r="O114" s="379">
        <f t="shared" si="40"/>
        <v>20.854705547202908</v>
      </c>
      <c r="P114" s="379">
        <f t="shared" si="40"/>
        <v>22.328438072538578</v>
      </c>
      <c r="Q114" s="270">
        <f t="shared" si="16"/>
        <v>0</v>
      </c>
    </row>
    <row r="115" spans="3:17" ht="13.5" thickBot="1">
      <c r="C115" s="17" t="str" cm="1">
        <f t="array" ref="C115">INDEX('List Values'!$B$2:$B$18,(1+ROUNDDOWN((ROW()-ROW($C$106))*1/6,2)))</f>
        <v>Import and Repackaging</v>
      </c>
      <c r="D115" s="313" t="s">
        <v>206</v>
      </c>
      <c r="E115" s="313" t="s">
        <v>93</v>
      </c>
      <c r="F115" s="318">
        <f t="shared" ref="F115:H115" si="41">F$104/F14</f>
        <v>56.905357142857156</v>
      </c>
      <c r="G115" s="318">
        <f t="shared" si="41"/>
        <v>77.598214285714306</v>
      </c>
      <c r="H115" s="318">
        <f t="shared" si="41"/>
        <v>83.081821428571445</v>
      </c>
      <c r="I115" s="270">
        <f t="shared" si="12"/>
        <v>0</v>
      </c>
      <c r="J115" s="318">
        <f t="shared" ref="J115:L115" si="42">IFERROR(J$104/J14,"")</f>
        <v>17214.239412273128</v>
      </c>
      <c r="K115" s="318">
        <f t="shared" si="42"/>
        <v>23473.9628349179</v>
      </c>
      <c r="L115" s="318">
        <f t="shared" si="42"/>
        <v>25132.78954191877</v>
      </c>
      <c r="M115" s="270">
        <f t="shared" si="14"/>
        <v>0</v>
      </c>
      <c r="N115" s="379">
        <f t="shared" ref="N115:P115" si="43">N$104/N14</f>
        <v>56.71786408928201</v>
      </c>
      <c r="O115" s="379">
        <f t="shared" si="43"/>
        <v>77.342541939930015</v>
      </c>
      <c r="P115" s="379">
        <f t="shared" si="43"/>
        <v>82.808081570351732</v>
      </c>
      <c r="Q115" s="270">
        <f t="shared" si="16"/>
        <v>0</v>
      </c>
    </row>
    <row r="116" spans="3:17" ht="13.5" thickBot="1">
      <c r="C116" s="17" t="str" cm="1">
        <f t="array" ref="C116">INDEX('List Values'!$B$2:$B$18,(1+ROUNDDOWN((ROW()-ROW($C$106))*1/6,2)))</f>
        <v>Import and Repackaging</v>
      </c>
      <c r="D116" s="313" t="s">
        <v>94</v>
      </c>
      <c r="E116" s="313" t="s">
        <v>92</v>
      </c>
      <c r="F116" s="318">
        <f t="shared" ref="F116:H116" si="44">F$104/F15</f>
        <v>62.857142857142854</v>
      </c>
      <c r="G116" s="318">
        <f t="shared" si="44"/>
        <v>85.714285714285722</v>
      </c>
      <c r="H116" s="318">
        <f t="shared" si="44"/>
        <v>91.771428571428586</v>
      </c>
      <c r="I116" s="270">
        <f t="shared" si="12"/>
        <v>0</v>
      </c>
      <c r="J116" s="318" t="str">
        <f t="shared" ref="J116:L116" si="45">IFERROR(J$104/J15,"")</f>
        <v/>
      </c>
      <c r="K116" s="318" t="str">
        <f t="shared" si="45"/>
        <v/>
      </c>
      <c r="L116" s="318" t="str">
        <f t="shared" si="45"/>
        <v/>
      </c>
      <c r="M116" s="270">
        <f t="shared" si="14"/>
        <v>0</v>
      </c>
      <c r="N116" s="379">
        <f t="shared" ref="N116:P116" si="46">N$104/N15</f>
        <v>62.857142857142854</v>
      </c>
      <c r="O116" s="379">
        <f t="shared" si="46"/>
        <v>85.714285714285722</v>
      </c>
      <c r="P116" s="379">
        <f t="shared" si="46"/>
        <v>91.771428571428586</v>
      </c>
      <c r="Q116" s="270">
        <f t="shared" si="16"/>
        <v>0</v>
      </c>
    </row>
    <row r="117" spans="3:17" ht="13.5" thickBot="1">
      <c r="C117" s="17" t="str" cm="1">
        <f t="array" ref="C117">INDEX('List Values'!$B$2:$B$18,(1+ROUNDDOWN((ROW()-ROW($C$106))*1/6,2)))</f>
        <v>Import and Repackaging</v>
      </c>
      <c r="D117" s="313" t="s">
        <v>94</v>
      </c>
      <c r="E117" s="313" t="s">
        <v>93</v>
      </c>
      <c r="F117" s="318">
        <f t="shared" ref="F117:H117" si="47">F$104/F16</f>
        <v>62.857142857142854</v>
      </c>
      <c r="G117" s="318">
        <f t="shared" si="47"/>
        <v>85.714285714285722</v>
      </c>
      <c r="H117" s="318">
        <f t="shared" si="47"/>
        <v>91.771428571428586</v>
      </c>
      <c r="I117" s="270">
        <f t="shared" si="12"/>
        <v>0</v>
      </c>
      <c r="J117" s="318" t="str">
        <f t="shared" ref="J117:L117" si="48">IFERROR(J$104/J16,"")</f>
        <v/>
      </c>
      <c r="K117" s="318" t="str">
        <f t="shared" si="48"/>
        <v/>
      </c>
      <c r="L117" s="318" t="str">
        <f t="shared" si="48"/>
        <v/>
      </c>
      <c r="M117" s="270">
        <f t="shared" si="14"/>
        <v>0</v>
      </c>
      <c r="N117" s="379">
        <f t="shared" ref="N117:P117" si="49">N$104/N16</f>
        <v>62.857142857142854</v>
      </c>
      <c r="O117" s="379">
        <f t="shared" si="49"/>
        <v>85.714285714285722</v>
      </c>
      <c r="P117" s="379">
        <f t="shared" si="49"/>
        <v>91.771428571428586</v>
      </c>
      <c r="Q117" s="270">
        <f t="shared" si="16"/>
        <v>0</v>
      </c>
    </row>
    <row r="118" spans="3:17" ht="13.5" thickBot="1">
      <c r="C118" s="17" t="str" cm="1">
        <f t="array" ref="C118">INDEX('List Values'!$B$2:$B$18,(1+ROUNDDOWN((ROW()-ROW($C$106))*1/6,2)))</f>
        <v>Incorporation into Formulation, Mixture, or Reaction Product</v>
      </c>
      <c r="D118" s="313" t="s">
        <v>74</v>
      </c>
      <c r="E118" s="308" t="s">
        <v>92</v>
      </c>
      <c r="F118" s="318">
        <f t="shared" ref="F118:H118" si="50">F$104/F17</f>
        <v>400.00000000000006</v>
      </c>
      <c r="G118" s="318">
        <f t="shared" si="50"/>
        <v>545.4545454545455</v>
      </c>
      <c r="H118" s="318">
        <f t="shared" si="50"/>
        <v>584</v>
      </c>
      <c r="I118" s="270">
        <f t="shared" si="12"/>
        <v>0</v>
      </c>
      <c r="J118" s="318">
        <f t="shared" ref="J118:L118" si="51">IFERROR(J$104/J17,"")</f>
        <v>7907.9798705966941</v>
      </c>
      <c r="K118" s="318">
        <f t="shared" si="51"/>
        <v>10783.608914450037</v>
      </c>
      <c r="L118" s="318">
        <f t="shared" si="51"/>
        <v>11545.650611071173</v>
      </c>
      <c r="M118" s="270">
        <f t="shared" si="14"/>
        <v>0</v>
      </c>
      <c r="N118" s="379">
        <f t="shared" ref="N118:P118" si="52">N$104/N17</f>
        <v>380.74140735869304</v>
      </c>
      <c r="O118" s="379">
        <f t="shared" si="52"/>
        <v>519.19282821639956</v>
      </c>
      <c r="P118" s="379">
        <f t="shared" si="52"/>
        <v>555.88245474369194</v>
      </c>
      <c r="Q118" s="270">
        <f t="shared" si="16"/>
        <v>0</v>
      </c>
    </row>
    <row r="119" spans="3:17" ht="13.5" thickBot="1">
      <c r="C119" s="17" t="str" cm="1">
        <f t="array" ref="C119">INDEX('List Values'!$B$2:$B$18,(1+ROUNDDOWN((ROW()-ROW($C$106))*1/6,2)))</f>
        <v>Incorporation into Formulation, Mixture, or Reaction Product</v>
      </c>
      <c r="D119" s="313" t="s">
        <v>74</v>
      </c>
      <c r="E119" s="313" t="s">
        <v>93</v>
      </c>
      <c r="F119" s="318">
        <f t="shared" ref="F119:H119" si="53">F$104/F18</f>
        <v>733.33333333333337</v>
      </c>
      <c r="G119" s="318">
        <f t="shared" si="53"/>
        <v>1000</v>
      </c>
      <c r="H119" s="318">
        <f t="shared" si="53"/>
        <v>1070.666666666667</v>
      </c>
      <c r="I119" s="270">
        <f t="shared" si="12"/>
        <v>0</v>
      </c>
      <c r="J119" s="318">
        <f t="shared" ref="J119:L119" si="54">IFERROR(J$104/J18,"")</f>
        <v>15815.959741193388</v>
      </c>
      <c r="K119" s="318">
        <f t="shared" si="54"/>
        <v>21567.217828900073</v>
      </c>
      <c r="L119" s="318">
        <f t="shared" si="54"/>
        <v>23091.301222142345</v>
      </c>
      <c r="M119" s="270">
        <f t="shared" si="14"/>
        <v>0</v>
      </c>
      <c r="N119" s="379">
        <f t="shared" ref="N119:P119" si="55">N$104/N18</f>
        <v>700.83781975725526</v>
      </c>
      <c r="O119" s="379">
        <f t="shared" si="55"/>
        <v>955.68793603262077</v>
      </c>
      <c r="P119" s="379">
        <f t="shared" si="55"/>
        <v>1023.2232168455929</v>
      </c>
      <c r="Q119" s="270">
        <f t="shared" si="16"/>
        <v>0</v>
      </c>
    </row>
    <row r="120" spans="3:17" ht="13.5" thickBot="1">
      <c r="C120" s="17" t="str" cm="1">
        <f t="array" ref="C120">INDEX('List Values'!$B$2:$B$18,(1+ROUNDDOWN((ROW()-ROW($C$106))*1/6,2)))</f>
        <v>Incorporation into Formulation, Mixture, or Reaction Product</v>
      </c>
      <c r="D120" s="313" t="s">
        <v>206</v>
      </c>
      <c r="E120" s="313" t="s">
        <v>92</v>
      </c>
      <c r="F120" s="318">
        <f t="shared" ref="F120:H120" si="56">F$104/F19</f>
        <v>362.12500000000017</v>
      </c>
      <c r="G120" s="318">
        <f t="shared" si="56"/>
        <v>493.80681818181841</v>
      </c>
      <c r="H120" s="318">
        <f t="shared" si="56"/>
        <v>528.70250000000021</v>
      </c>
      <c r="I120" s="270">
        <f t="shared" si="12"/>
        <v>0</v>
      </c>
      <c r="J120" s="318">
        <f t="shared" ref="J120:L120" si="57">IFERROR(J$104/J19,"")</f>
        <v>8607.1197061365638</v>
      </c>
      <c r="K120" s="318">
        <f t="shared" si="57"/>
        <v>11736.98141745895</v>
      </c>
      <c r="L120" s="318">
        <f t="shared" si="57"/>
        <v>12566.394770959383</v>
      </c>
      <c r="M120" s="270">
        <f t="shared" si="14"/>
        <v>0</v>
      </c>
      <c r="N120" s="379">
        <f t="shared" ref="N120:P120" si="58">N$104/N19</f>
        <v>347.50453641344188</v>
      </c>
      <c r="O120" s="379">
        <f t="shared" si="58"/>
        <v>473.86982238196623</v>
      </c>
      <c r="P120" s="379">
        <f t="shared" si="58"/>
        <v>507.35662316362522</v>
      </c>
      <c r="Q120" s="270">
        <f t="shared" si="16"/>
        <v>0</v>
      </c>
    </row>
    <row r="121" spans="3:17" ht="13.5" thickBot="1">
      <c r="C121" s="17" t="str" cm="1">
        <f t="array" ref="C121">INDEX('List Values'!$B$2:$B$18,(1+ROUNDDOWN((ROW()-ROW($C$106))*1/6,2)))</f>
        <v>Incorporation into Formulation, Mixture, or Reaction Product</v>
      </c>
      <c r="D121" s="313" t="s">
        <v>206</v>
      </c>
      <c r="E121" s="313" t="s">
        <v>93</v>
      </c>
      <c r="F121" s="318">
        <f t="shared" ref="F121:H121" si="59">F$104/F20</f>
        <v>663.89583333333348</v>
      </c>
      <c r="G121" s="318">
        <f t="shared" si="59"/>
        <v>905.31250000000023</v>
      </c>
      <c r="H121" s="318">
        <f t="shared" si="59"/>
        <v>969.28791666666677</v>
      </c>
      <c r="I121" s="270">
        <f t="shared" si="12"/>
        <v>0</v>
      </c>
      <c r="J121" s="318">
        <f t="shared" ref="J121:L121" si="60">IFERROR(J$104/J20,"")</f>
        <v>17214.239412273128</v>
      </c>
      <c r="K121" s="318">
        <f t="shared" si="60"/>
        <v>23473.9628349179</v>
      </c>
      <c r="L121" s="318">
        <f t="shared" si="60"/>
        <v>25132.78954191877</v>
      </c>
      <c r="M121" s="270">
        <f t="shared" si="14"/>
        <v>0</v>
      </c>
      <c r="N121" s="379">
        <f t="shared" ref="N121:P121" si="61">N$104/N20</f>
        <v>639.24238533876826</v>
      </c>
      <c r="O121" s="379">
        <f t="shared" si="61"/>
        <v>871.69416182559314</v>
      </c>
      <c r="P121" s="379">
        <f t="shared" si="61"/>
        <v>933.29388259460177</v>
      </c>
      <c r="Q121" s="270">
        <f t="shared" si="16"/>
        <v>0</v>
      </c>
    </row>
    <row r="122" spans="3:17" ht="13.5" thickBot="1">
      <c r="C122" s="17" t="str" cm="1">
        <f t="array" ref="C122">INDEX('List Values'!$B$2:$B$18,(1+ROUNDDOWN((ROW()-ROW($C$106))*1/6,2)))</f>
        <v>Incorporation into Formulation, Mixture, or Reaction Product</v>
      </c>
      <c r="D122" s="313" t="s">
        <v>94</v>
      </c>
      <c r="E122" s="313" t="s">
        <v>92</v>
      </c>
      <c r="F122" s="318">
        <f t="shared" ref="F122:H122" si="62">F$104/F21</f>
        <v>733.33333333333337</v>
      </c>
      <c r="G122" s="318">
        <f t="shared" si="62"/>
        <v>1000</v>
      </c>
      <c r="H122" s="318">
        <f t="shared" si="62"/>
        <v>1070.666666666667</v>
      </c>
      <c r="I122" s="270">
        <f t="shared" si="12"/>
        <v>0</v>
      </c>
      <c r="J122" s="318" t="str">
        <f t="shared" ref="J122:L122" si="63">IFERROR(J$104/J21,"")</f>
        <v/>
      </c>
      <c r="K122" s="318" t="str">
        <f t="shared" si="63"/>
        <v/>
      </c>
      <c r="L122" s="318" t="str">
        <f t="shared" si="63"/>
        <v/>
      </c>
      <c r="M122" s="270">
        <f t="shared" si="14"/>
        <v>0</v>
      </c>
      <c r="N122" s="379">
        <f t="shared" ref="N122:P122" si="64">N$104/N21</f>
        <v>733.33333333333337</v>
      </c>
      <c r="O122" s="379">
        <f t="shared" si="64"/>
        <v>1000</v>
      </c>
      <c r="P122" s="379">
        <f t="shared" si="64"/>
        <v>1070.666666666667</v>
      </c>
      <c r="Q122" s="270">
        <f t="shared" si="16"/>
        <v>0</v>
      </c>
    </row>
    <row r="123" spans="3:17" ht="13.5" thickBot="1">
      <c r="C123" s="17" t="str" cm="1">
        <f t="array" ref="C123">INDEX('List Values'!$B$2:$B$18,(1+ROUNDDOWN((ROW()-ROW($C$106))*1/6,2)))</f>
        <v>Incorporation into Formulation, Mixture, or Reaction Product</v>
      </c>
      <c r="D123" s="313" t="s">
        <v>94</v>
      </c>
      <c r="E123" s="313" t="s">
        <v>93</v>
      </c>
      <c r="F123" s="318">
        <f t="shared" ref="F123:H123" si="65">F$104/F22</f>
        <v>733.33333333333337</v>
      </c>
      <c r="G123" s="318">
        <f t="shared" si="65"/>
        <v>1000</v>
      </c>
      <c r="H123" s="318">
        <f t="shared" si="65"/>
        <v>1070.666666666667</v>
      </c>
      <c r="I123" s="270">
        <f t="shared" si="12"/>
        <v>0</v>
      </c>
      <c r="J123" s="318" t="str">
        <f t="shared" ref="J123:L123" si="66">IFERROR(J$104/J22,"")</f>
        <v/>
      </c>
      <c r="K123" s="318" t="str">
        <f t="shared" si="66"/>
        <v/>
      </c>
      <c r="L123" s="318" t="str">
        <f t="shared" si="66"/>
        <v/>
      </c>
      <c r="M123" s="270">
        <f t="shared" si="14"/>
        <v>0</v>
      </c>
      <c r="N123" s="379">
        <f t="shared" ref="N123:P123" si="67">N$104/N22</f>
        <v>733.33333333333337</v>
      </c>
      <c r="O123" s="379">
        <f t="shared" si="67"/>
        <v>1000</v>
      </c>
      <c r="P123" s="379">
        <f t="shared" si="67"/>
        <v>1070.666666666667</v>
      </c>
      <c r="Q123" s="270">
        <f t="shared" si="16"/>
        <v>0</v>
      </c>
    </row>
    <row r="124" spans="3:17" ht="13.5" thickBot="1">
      <c r="C124" s="17" t="str" cm="1">
        <f t="array" ref="C124">INDEX('List Values'!$B$2:$B$18,(1+ROUNDDOWN((ROW()-ROW($C$106))*1/6,2)))</f>
        <v>Plastic Compounding</v>
      </c>
      <c r="D124" s="313" t="s">
        <v>74</v>
      </c>
      <c r="E124" s="308" t="s">
        <v>92</v>
      </c>
      <c r="F124" s="318">
        <f t="shared" ref="F124:H124" si="68">F$104/F23</f>
        <v>103.52941176470588</v>
      </c>
      <c r="G124" s="318">
        <f t="shared" si="68"/>
        <v>141.1764705882353</v>
      </c>
      <c r="H124" s="318">
        <f t="shared" si="68"/>
        <v>151.15294117647062</v>
      </c>
      <c r="I124" s="270">
        <f t="shared" si="12"/>
        <v>0</v>
      </c>
      <c r="J124" s="318">
        <f t="shared" ref="J124:L124" si="69">IFERROR(J$104/J23,"")</f>
        <v>214.17445482866046</v>
      </c>
      <c r="K124" s="318">
        <f t="shared" si="69"/>
        <v>292.05607476635515</v>
      </c>
      <c r="L124" s="318">
        <f t="shared" si="69"/>
        <v>312.69470404984423</v>
      </c>
      <c r="M124" s="270">
        <f t="shared" si="14"/>
        <v>0</v>
      </c>
      <c r="N124" s="379">
        <f t="shared" ref="N124:P124" si="70">N$104/N23</f>
        <v>69.792525854958441</v>
      </c>
      <c r="O124" s="379">
        <f t="shared" si="70"/>
        <v>95.17162616585243</v>
      </c>
      <c r="P124" s="379">
        <f t="shared" si="70"/>
        <v>101.89708774823933</v>
      </c>
      <c r="Q124" s="270">
        <f t="shared" si="16"/>
        <v>0</v>
      </c>
    </row>
    <row r="125" spans="3:17" ht="13.5" thickBot="1">
      <c r="C125" s="17" t="str" cm="1">
        <f t="array" ref="C125">INDEX('List Values'!$B$2:$B$18,(1+ROUNDDOWN((ROW()-ROW($C$106))*1/6,2)))</f>
        <v>Plastic Compounding</v>
      </c>
      <c r="D125" s="313" t="s">
        <v>74</v>
      </c>
      <c r="E125" s="313" t="s">
        <v>93</v>
      </c>
      <c r="F125" s="318">
        <f t="shared" ref="F125:H125" si="71">F$104/F24</f>
        <v>103.52941176470588</v>
      </c>
      <c r="G125" s="318">
        <f t="shared" si="71"/>
        <v>141.1764705882353</v>
      </c>
      <c r="H125" s="318">
        <f t="shared" si="71"/>
        <v>151.15294117647062</v>
      </c>
      <c r="I125" s="270">
        <f t="shared" si="12"/>
        <v>0</v>
      </c>
      <c r="J125" s="318">
        <f t="shared" ref="J125:L125" si="72">IFERROR(J$104/J24,"")</f>
        <v>428.34890965732092</v>
      </c>
      <c r="K125" s="318">
        <f t="shared" si="72"/>
        <v>584.1121495327103</v>
      </c>
      <c r="L125" s="318">
        <f t="shared" si="72"/>
        <v>625.38940809968847</v>
      </c>
      <c r="M125" s="270">
        <f t="shared" si="14"/>
        <v>0</v>
      </c>
      <c r="N125" s="379">
        <f t="shared" ref="N125:P125" si="73">N$104/N24</f>
        <v>83.377548700068232</v>
      </c>
      <c r="O125" s="379">
        <f t="shared" si="73"/>
        <v>113.69665731827484</v>
      </c>
      <c r="P125" s="379">
        <f t="shared" si="73"/>
        <v>121.73122110209961</v>
      </c>
      <c r="Q125" s="270">
        <f t="shared" si="16"/>
        <v>0</v>
      </c>
    </row>
    <row r="126" spans="3:17" ht="13.5" thickBot="1">
      <c r="C126" s="17" t="str" cm="1">
        <f t="array" ref="C126">INDEX('List Values'!$B$2:$B$18,(1+ROUNDDOWN((ROW()-ROW($C$106))*1/6,2)))</f>
        <v>Plastic Compounding</v>
      </c>
      <c r="D126" s="313" t="s">
        <v>206</v>
      </c>
      <c r="E126" s="313" t="s">
        <v>92</v>
      </c>
      <c r="F126" s="318">
        <f t="shared" ref="F126:H126" si="74">F$104/F25</f>
        <v>93.726470588235301</v>
      </c>
      <c r="G126" s="318">
        <f t="shared" si="74"/>
        <v>127.80882352941178</v>
      </c>
      <c r="H126" s="318">
        <f t="shared" si="74"/>
        <v>136.84064705882352</v>
      </c>
      <c r="I126" s="270">
        <f t="shared" si="12"/>
        <v>0</v>
      </c>
      <c r="J126" s="318">
        <f t="shared" ref="J126:L126" si="75">IFERROR(J$104/J25,"")</f>
        <v>233.10949204119854</v>
      </c>
      <c r="K126" s="318">
        <f t="shared" si="75"/>
        <v>317.87658005617982</v>
      </c>
      <c r="L126" s="318">
        <f t="shared" si="75"/>
        <v>340.33985838014991</v>
      </c>
      <c r="M126" s="270">
        <f t="shared" si="14"/>
        <v>0</v>
      </c>
      <c r="N126" s="379">
        <f t="shared" ref="N126:P126" si="76">N$104/N25</f>
        <v>66.848610458481588</v>
      </c>
      <c r="O126" s="379">
        <f t="shared" si="76"/>
        <v>91.157196079747621</v>
      </c>
      <c r="P126" s="379">
        <f t="shared" si="76"/>
        <v>97.5989712693831</v>
      </c>
      <c r="Q126" s="270">
        <f t="shared" si="16"/>
        <v>0</v>
      </c>
    </row>
    <row r="127" spans="3:17" ht="13.5" thickBot="1">
      <c r="C127" s="17" t="str" cm="1">
        <f t="array" ref="C127">INDEX('List Values'!$B$2:$B$18,(1+ROUNDDOWN((ROW()-ROW($C$106))*1/6,2)))</f>
        <v>Plastic Compounding</v>
      </c>
      <c r="D127" s="313" t="s">
        <v>206</v>
      </c>
      <c r="E127" s="313" t="s">
        <v>93</v>
      </c>
      <c r="F127" s="318">
        <f t="shared" ref="F127:H127" si="77">F$104/F26</f>
        <v>93.726470588235301</v>
      </c>
      <c r="G127" s="318">
        <f t="shared" si="77"/>
        <v>127.80882352941178</v>
      </c>
      <c r="H127" s="318">
        <f t="shared" si="77"/>
        <v>136.84064705882352</v>
      </c>
      <c r="I127" s="270">
        <f t="shared" si="12"/>
        <v>0</v>
      </c>
      <c r="J127" s="318">
        <f t="shared" ref="J127:L127" si="78">IFERROR(J$104/J26,"")</f>
        <v>466.21898408239707</v>
      </c>
      <c r="K127" s="318">
        <f t="shared" si="78"/>
        <v>635.75316011235964</v>
      </c>
      <c r="L127" s="318">
        <f t="shared" si="78"/>
        <v>680.67971676029981</v>
      </c>
      <c r="M127" s="270">
        <f t="shared" si="14"/>
        <v>0</v>
      </c>
      <c r="N127" s="379">
        <f t="shared" ref="N127:P127" si="79">N$104/N26</f>
        <v>78.038065198652149</v>
      </c>
      <c r="O127" s="379">
        <f t="shared" si="79"/>
        <v>106.41554345270748</v>
      </c>
      <c r="P127" s="379">
        <f t="shared" si="79"/>
        <v>113.93557519003214</v>
      </c>
      <c r="Q127" s="270">
        <f t="shared" si="16"/>
        <v>0</v>
      </c>
    </row>
    <row r="128" spans="3:17" ht="13.5" thickBot="1">
      <c r="C128" s="17" t="str" cm="1">
        <f t="array" ref="C128">INDEX('List Values'!$B$2:$B$18,(1+ROUNDDOWN((ROW()-ROW($C$106))*1/6,2)))</f>
        <v>Plastic Compounding</v>
      </c>
      <c r="D128" s="313" t="s">
        <v>94</v>
      </c>
      <c r="E128" s="313" t="s">
        <v>92</v>
      </c>
      <c r="F128" s="318">
        <f t="shared" ref="F128:H128" si="80">F$104/F27</f>
        <v>103.52941176470588</v>
      </c>
      <c r="G128" s="318">
        <f t="shared" si="80"/>
        <v>141.1764705882353</v>
      </c>
      <c r="H128" s="318">
        <f t="shared" si="80"/>
        <v>151.15294117647062</v>
      </c>
      <c r="I128" s="270">
        <f t="shared" si="12"/>
        <v>0</v>
      </c>
      <c r="J128" s="318">
        <f t="shared" ref="J128:L128" si="81">IFERROR(J$104/J27,"")</f>
        <v>428.34890965732092</v>
      </c>
      <c r="K128" s="318">
        <f t="shared" si="81"/>
        <v>584.1121495327103</v>
      </c>
      <c r="L128" s="318">
        <f t="shared" si="81"/>
        <v>625.38940809968847</v>
      </c>
      <c r="M128" s="270">
        <f t="shared" si="14"/>
        <v>0</v>
      </c>
      <c r="N128" s="379">
        <f t="shared" ref="N128:P128" si="82">N$104/N27</f>
        <v>83.377548700068232</v>
      </c>
      <c r="O128" s="379">
        <f t="shared" si="82"/>
        <v>113.69665731827484</v>
      </c>
      <c r="P128" s="379">
        <f t="shared" si="82"/>
        <v>121.73122110209961</v>
      </c>
      <c r="Q128" s="270">
        <f t="shared" si="16"/>
        <v>0</v>
      </c>
    </row>
    <row r="129" spans="3:17" ht="13.5" thickBot="1">
      <c r="C129" s="17" t="str" cm="1">
        <f t="array" ref="C129">INDEX('List Values'!$B$2:$B$18,(1+ROUNDDOWN((ROW()-ROW($C$106))*1/6,2)))</f>
        <v>Plastic Compounding</v>
      </c>
      <c r="D129" s="313" t="s">
        <v>94</v>
      </c>
      <c r="E129" s="313" t="s">
        <v>93</v>
      </c>
      <c r="F129" s="318">
        <f t="shared" ref="F129:H129" si="83">F$104/F28</f>
        <v>103.52941176470588</v>
      </c>
      <c r="G129" s="318">
        <f t="shared" si="83"/>
        <v>141.1764705882353</v>
      </c>
      <c r="H129" s="318">
        <f t="shared" si="83"/>
        <v>151.15294117647062</v>
      </c>
      <c r="I129" s="270">
        <f t="shared" si="12"/>
        <v>0</v>
      </c>
      <c r="J129" s="318">
        <f t="shared" ref="J129:L129" si="84">IFERROR(J$104/J28,"")</f>
        <v>428.34890965732092</v>
      </c>
      <c r="K129" s="318">
        <f t="shared" si="84"/>
        <v>584.1121495327103</v>
      </c>
      <c r="L129" s="318">
        <f t="shared" si="84"/>
        <v>625.38940809968847</v>
      </c>
      <c r="M129" s="270">
        <f t="shared" si="14"/>
        <v>0</v>
      </c>
      <c r="N129" s="379">
        <f t="shared" ref="N129:P129" si="85">N$104/N28</f>
        <v>83.377548700068232</v>
      </c>
      <c r="O129" s="379">
        <f t="shared" si="85"/>
        <v>113.69665731827484</v>
      </c>
      <c r="P129" s="379">
        <f t="shared" si="85"/>
        <v>121.73122110209961</v>
      </c>
      <c r="Q129" s="270">
        <f t="shared" si="16"/>
        <v>0</v>
      </c>
    </row>
    <row r="130" spans="3:17" ht="13.5" thickBot="1">
      <c r="C130" s="17" t="str" cm="1">
        <f t="array" ref="C130">INDEX('List Values'!$B$2:$B$18,(1+ROUNDDOWN((ROW()-ROW($C$106))*1/6,2)))</f>
        <v>Plastic Converting</v>
      </c>
      <c r="D130" s="440" t="s">
        <v>74</v>
      </c>
      <c r="E130" s="441" t="s">
        <v>92</v>
      </c>
      <c r="F130" s="442">
        <f t="shared" ref="F130:H130" si="86">F$104/F29</f>
        <v>172.54901960784315</v>
      </c>
      <c r="G130" s="442">
        <f t="shared" si="86"/>
        <v>235.29411764705881</v>
      </c>
      <c r="H130" s="442">
        <f t="shared" si="86"/>
        <v>251.92156862745099</v>
      </c>
      <c r="I130" s="443">
        <f t="shared" si="12"/>
        <v>0</v>
      </c>
      <c r="J130" s="442">
        <f t="shared" ref="J130:L130" si="87">IFERROR(J$104/J29,"")</f>
        <v>214.17445482866046</v>
      </c>
      <c r="K130" s="442">
        <f t="shared" si="87"/>
        <v>292.05607476635515</v>
      </c>
      <c r="L130" s="442">
        <f t="shared" si="87"/>
        <v>312.69470404984423</v>
      </c>
      <c r="M130" s="443">
        <f t="shared" si="14"/>
        <v>0</v>
      </c>
      <c r="N130" s="444">
        <f t="shared" ref="N130:P130" si="88">N$104/N29</f>
        <v>95.560767961080714</v>
      </c>
      <c r="O130" s="444">
        <f t="shared" si="88"/>
        <v>130.31013812874642</v>
      </c>
      <c r="P130" s="444">
        <f t="shared" si="88"/>
        <v>139.51872122317783</v>
      </c>
      <c r="Q130" s="443">
        <f t="shared" si="16"/>
        <v>0</v>
      </c>
    </row>
    <row r="131" spans="3:17" ht="13.5" thickBot="1">
      <c r="C131" s="17" t="str" cm="1">
        <f t="array" ref="C131">INDEX('List Values'!$B$2:$B$18,(1+ROUNDDOWN((ROW()-ROW($C$106))*1/6,2)))</f>
        <v>Plastic Converting</v>
      </c>
      <c r="D131" s="440" t="s">
        <v>74</v>
      </c>
      <c r="E131" s="440" t="s">
        <v>93</v>
      </c>
      <c r="F131" s="442">
        <f t="shared" ref="F131:H131" si="89">F$104/F30</f>
        <v>172.54901960784315</v>
      </c>
      <c r="G131" s="442">
        <f t="shared" si="89"/>
        <v>235.29411764705881</v>
      </c>
      <c r="H131" s="442">
        <f t="shared" si="89"/>
        <v>251.92156862745099</v>
      </c>
      <c r="I131" s="443">
        <f t="shared" si="12"/>
        <v>0</v>
      </c>
      <c r="J131" s="442">
        <f t="shared" ref="J131:L131" si="90">IFERROR(J$104/J30,"")</f>
        <v>428.34890965732092</v>
      </c>
      <c r="K131" s="442">
        <f t="shared" si="90"/>
        <v>584.1121495327103</v>
      </c>
      <c r="L131" s="442">
        <f t="shared" si="90"/>
        <v>625.38940809968847</v>
      </c>
      <c r="M131" s="443">
        <f t="shared" si="14"/>
        <v>0</v>
      </c>
      <c r="N131" s="444">
        <f t="shared" ref="N131:P131" si="91">N$104/N30</f>
        <v>123.00123001230014</v>
      </c>
      <c r="O131" s="444">
        <f t="shared" si="91"/>
        <v>167.7289500167729</v>
      </c>
      <c r="P131" s="444">
        <f t="shared" si="91"/>
        <v>179.58179581795818</v>
      </c>
      <c r="Q131" s="443">
        <f t="shared" si="16"/>
        <v>0</v>
      </c>
    </row>
    <row r="132" spans="3:17" ht="13.5" thickBot="1">
      <c r="C132" s="17" t="str" cm="1">
        <f t="array" ref="C132">INDEX('List Values'!$B$2:$B$18,(1+ROUNDDOWN((ROW()-ROW($C$106))*1/6,2)))</f>
        <v>Plastic Converting</v>
      </c>
      <c r="D132" s="440" t="s">
        <v>206</v>
      </c>
      <c r="E132" s="440" t="s">
        <v>92</v>
      </c>
      <c r="F132" s="442">
        <f t="shared" ref="F132:H132" si="92">F$104/F31</f>
        <v>156.21078431372553</v>
      </c>
      <c r="G132" s="442">
        <f t="shared" si="92"/>
        <v>213.01470588235298</v>
      </c>
      <c r="H132" s="442">
        <f t="shared" si="92"/>
        <v>228.0677450980393</v>
      </c>
      <c r="I132" s="443">
        <f t="shared" si="12"/>
        <v>0</v>
      </c>
      <c r="J132" s="442">
        <f t="shared" ref="J132:L132" si="93">IFERROR(J$104/J31,"")</f>
        <v>233.10949204119854</v>
      </c>
      <c r="K132" s="442">
        <f t="shared" si="93"/>
        <v>317.87658005617982</v>
      </c>
      <c r="L132" s="442">
        <f t="shared" si="93"/>
        <v>340.33985838014991</v>
      </c>
      <c r="M132" s="443">
        <f t="shared" si="14"/>
        <v>0</v>
      </c>
      <c r="N132" s="444">
        <f t="shared" ref="N132:P132" si="94">N$104/N31</f>
        <v>93.532802667418068</v>
      </c>
      <c r="O132" s="444">
        <f t="shared" si="94"/>
        <v>127.54473091011553</v>
      </c>
      <c r="P132" s="444">
        <f t="shared" si="94"/>
        <v>136.55789189443041</v>
      </c>
      <c r="Q132" s="443">
        <f t="shared" si="16"/>
        <v>0</v>
      </c>
    </row>
    <row r="133" spans="3:17" ht="13.5" thickBot="1">
      <c r="C133" s="17" t="str" cm="1">
        <f t="array" ref="C133">INDEX('List Values'!$B$2:$B$18,(1+ROUNDDOWN((ROW()-ROW($C$106))*1/6,2)))</f>
        <v>Plastic Converting</v>
      </c>
      <c r="D133" s="440" t="s">
        <v>206</v>
      </c>
      <c r="E133" s="440" t="s">
        <v>93</v>
      </c>
      <c r="F133" s="442">
        <f t="shared" ref="F133:H133" si="95">F$104/F32</f>
        <v>156.21078431372553</v>
      </c>
      <c r="G133" s="442">
        <f t="shared" si="95"/>
        <v>213.01470588235298</v>
      </c>
      <c r="H133" s="442">
        <f t="shared" si="95"/>
        <v>228.06774509803927</v>
      </c>
      <c r="I133" s="443">
        <f t="shared" si="12"/>
        <v>0</v>
      </c>
      <c r="J133" s="442">
        <f t="shared" ref="J133:L133" si="96">IFERROR(J$104/J32,"")</f>
        <v>466.21898408239707</v>
      </c>
      <c r="K133" s="442">
        <f t="shared" si="96"/>
        <v>635.75316011235964</v>
      </c>
      <c r="L133" s="442">
        <f t="shared" si="96"/>
        <v>680.67971676029981</v>
      </c>
      <c r="M133" s="443">
        <f t="shared" si="14"/>
        <v>0</v>
      </c>
      <c r="N133" s="444">
        <f t="shared" ref="N133:P133" si="97">N$104/N32</f>
        <v>117.00666784161676</v>
      </c>
      <c r="O133" s="444">
        <f t="shared" si="97"/>
        <v>159.55454705675012</v>
      </c>
      <c r="P133" s="444">
        <f t="shared" si="97"/>
        <v>170.82973504876045</v>
      </c>
      <c r="Q133" s="443">
        <f t="shared" si="16"/>
        <v>0</v>
      </c>
    </row>
    <row r="134" spans="3:17" ht="13.5" thickBot="1">
      <c r="C134" s="17" t="str" cm="1">
        <f t="array" ref="C134">INDEX('List Values'!$B$2:$B$18,(1+ROUNDDOWN((ROW()-ROW($C$106))*1/6,2)))</f>
        <v>Plastic Converting</v>
      </c>
      <c r="D134" s="440" t="s">
        <v>94</v>
      </c>
      <c r="E134" s="440" t="s">
        <v>92</v>
      </c>
      <c r="F134" s="442">
        <f t="shared" ref="F134:H134" si="98">F$104/F33</f>
        <v>172.54901960784315</v>
      </c>
      <c r="G134" s="442">
        <f t="shared" si="98"/>
        <v>235.29411764705881</v>
      </c>
      <c r="H134" s="442">
        <f t="shared" si="98"/>
        <v>251.92156862745099</v>
      </c>
      <c r="I134" s="443">
        <f t="shared" si="12"/>
        <v>0</v>
      </c>
      <c r="J134" s="442">
        <f t="shared" ref="J134:L134" si="99">IFERROR(J$104/J33,"")</f>
        <v>428.34890965732092</v>
      </c>
      <c r="K134" s="442">
        <f t="shared" si="99"/>
        <v>584.1121495327103</v>
      </c>
      <c r="L134" s="442">
        <f t="shared" si="99"/>
        <v>625.38940809968847</v>
      </c>
      <c r="M134" s="443">
        <f t="shared" si="14"/>
        <v>0</v>
      </c>
      <c r="N134" s="444">
        <f t="shared" ref="N134:P134" si="100">N$104/N33</f>
        <v>123.00123001230014</v>
      </c>
      <c r="O134" s="444">
        <f t="shared" si="100"/>
        <v>167.7289500167729</v>
      </c>
      <c r="P134" s="444">
        <f t="shared" si="100"/>
        <v>179.58179581795818</v>
      </c>
      <c r="Q134" s="443">
        <f t="shared" si="16"/>
        <v>0</v>
      </c>
    </row>
    <row r="135" spans="3:17" ht="13.5" thickBot="1">
      <c r="C135" s="17" t="str" cm="1">
        <f t="array" ref="C135">INDEX('List Values'!$B$2:$B$18,(1+ROUNDDOWN((ROW()-ROW($C$106))*1/6,2)))</f>
        <v>Plastic Converting</v>
      </c>
      <c r="D135" s="440" t="s">
        <v>94</v>
      </c>
      <c r="E135" s="440" t="s">
        <v>93</v>
      </c>
      <c r="F135" s="442">
        <f t="shared" ref="F135:H135" si="101">F$104/F34</f>
        <v>172.54901960784315</v>
      </c>
      <c r="G135" s="442">
        <f t="shared" si="101"/>
        <v>235.29411764705881</v>
      </c>
      <c r="H135" s="442">
        <f t="shared" si="101"/>
        <v>251.92156862745099</v>
      </c>
      <c r="I135" s="443">
        <f t="shared" si="12"/>
        <v>0</v>
      </c>
      <c r="J135" s="442">
        <f t="shared" ref="J135:L135" si="102">IFERROR(J$104/J34,"")</f>
        <v>428.34890965732092</v>
      </c>
      <c r="K135" s="442">
        <f t="shared" si="102"/>
        <v>584.1121495327103</v>
      </c>
      <c r="L135" s="442">
        <f t="shared" si="102"/>
        <v>625.38940809968847</v>
      </c>
      <c r="M135" s="443">
        <f t="shared" si="14"/>
        <v>0</v>
      </c>
      <c r="N135" s="444">
        <f t="shared" ref="N135:P135" si="103">N$104/N34</f>
        <v>123.00123001230014</v>
      </c>
      <c r="O135" s="444">
        <f t="shared" si="103"/>
        <v>167.7289500167729</v>
      </c>
      <c r="P135" s="444">
        <f t="shared" si="103"/>
        <v>179.58179581795818</v>
      </c>
      <c r="Q135" s="443">
        <f t="shared" si="16"/>
        <v>0</v>
      </c>
    </row>
    <row r="136" spans="3:17" ht="13.5" thickBot="1">
      <c r="C136" s="17" t="str" cm="1">
        <f t="array" ref="C136">INDEX('List Values'!$B$2:$B$18,(1+ROUNDDOWN((ROW()-ROW($C$106))*1/6,2)))</f>
        <v>Rubber Product Manufacturing</v>
      </c>
      <c r="D136" s="313" t="s">
        <v>74</v>
      </c>
      <c r="E136" s="308" t="s">
        <v>92</v>
      </c>
      <c r="F136" s="318">
        <f t="shared" ref="F136:H136" si="104">F$104/F35</f>
        <v>0.87912087912087922</v>
      </c>
      <c r="G136" s="318">
        <f t="shared" si="104"/>
        <v>1.1988011988011988</v>
      </c>
      <c r="H136" s="318">
        <f t="shared" si="104"/>
        <v>1.2835164835164836</v>
      </c>
      <c r="I136" s="270">
        <f t="shared" si="12"/>
        <v>0</v>
      </c>
      <c r="J136" s="318">
        <f t="shared" ref="J136:L136" si="105">IFERROR(J$104/J35,"")</f>
        <v>214.17445482866046</v>
      </c>
      <c r="K136" s="318">
        <f t="shared" si="105"/>
        <v>292.05607476635515</v>
      </c>
      <c r="L136" s="318">
        <f t="shared" si="105"/>
        <v>312.69470404984423</v>
      </c>
      <c r="M136" s="270">
        <f t="shared" si="14"/>
        <v>0</v>
      </c>
      <c r="N136" s="379">
        <f t="shared" ref="N136:P136" si="106">N$104/N35</f>
        <v>0.87552710711517012</v>
      </c>
      <c r="O136" s="379">
        <f t="shared" si="106"/>
        <v>1.1939006006115958</v>
      </c>
      <c r="P136" s="379">
        <f t="shared" si="106"/>
        <v>1.2782695763881484</v>
      </c>
      <c r="Q136" s="270">
        <f t="shared" si="16"/>
        <v>0</v>
      </c>
    </row>
    <row r="137" spans="3:17" ht="13.5" thickBot="1">
      <c r="C137" s="17" t="str" cm="1">
        <f t="array" ref="C137">INDEX('List Values'!$B$2:$B$18,(1+ROUNDDOWN((ROW()-ROW($C$106))*1/6,2)))</f>
        <v>Rubber Product Manufacturing</v>
      </c>
      <c r="D137" s="313" t="s">
        <v>74</v>
      </c>
      <c r="E137" s="313" t="s">
        <v>93</v>
      </c>
      <c r="F137" s="318">
        <f t="shared" ref="F137:H137" si="107">F$104/F36</f>
        <v>5.2694610778443121</v>
      </c>
      <c r="G137" s="318">
        <f t="shared" si="107"/>
        <v>7.1856287425149716</v>
      </c>
      <c r="H137" s="318">
        <f t="shared" si="107"/>
        <v>7.6934131736526963</v>
      </c>
      <c r="I137" s="270">
        <f t="shared" si="12"/>
        <v>0</v>
      </c>
      <c r="J137" s="318">
        <f t="shared" ref="J137:L137" si="108">IFERROR(J$104/J36,"")</f>
        <v>428.34890965732092</v>
      </c>
      <c r="K137" s="318">
        <f t="shared" si="108"/>
        <v>584.1121495327103</v>
      </c>
      <c r="L137" s="318">
        <f t="shared" si="108"/>
        <v>625.38940809968847</v>
      </c>
      <c r="M137" s="270">
        <f t="shared" si="14"/>
        <v>0</v>
      </c>
      <c r="N137" s="379">
        <f t="shared" ref="N137:P137" si="109">N$104/N36</f>
        <v>5.2054249992901704</v>
      </c>
      <c r="O137" s="379">
        <f t="shared" si="109"/>
        <v>7.0983068172138681</v>
      </c>
      <c r="P137" s="379">
        <f t="shared" si="109"/>
        <v>7.5999204989636482</v>
      </c>
      <c r="Q137" s="270">
        <f t="shared" si="16"/>
        <v>0</v>
      </c>
    </row>
    <row r="138" spans="3:17" ht="13.5" thickBot="1">
      <c r="C138" s="17" t="str" cm="1">
        <f t="array" ref="C138">INDEX('List Values'!$B$2:$B$18,(1+ROUNDDOWN((ROW()-ROW($C$106))*1/6,2)))</f>
        <v>Rubber Product Manufacturing</v>
      </c>
      <c r="D138" s="313" t="s">
        <v>206</v>
      </c>
      <c r="E138" s="313" t="s">
        <v>92</v>
      </c>
      <c r="F138" s="318">
        <f t="shared" ref="F138:H138" si="110">F$104/F37</f>
        <v>0.79587912087912105</v>
      </c>
      <c r="G138" s="318">
        <f t="shared" si="110"/>
        <v>1.0852897102897106</v>
      </c>
      <c r="H138" s="318">
        <f t="shared" si="110"/>
        <v>1.1619835164835168</v>
      </c>
      <c r="I138" s="270">
        <f t="shared" si="12"/>
        <v>0</v>
      </c>
      <c r="J138" s="318">
        <f t="shared" ref="J138:L138" si="111">IFERROR(J$104/J37,"")</f>
        <v>233.10949204119854</v>
      </c>
      <c r="K138" s="318">
        <f t="shared" si="111"/>
        <v>317.87658005617982</v>
      </c>
      <c r="L138" s="318">
        <f t="shared" si="111"/>
        <v>340.33985838014991</v>
      </c>
      <c r="M138" s="270">
        <f t="shared" si="14"/>
        <v>0</v>
      </c>
      <c r="N138" s="379">
        <f t="shared" ref="N138:P138" si="112">N$104/N37</f>
        <v>0.79317108740428299</v>
      </c>
      <c r="O138" s="379">
        <f t="shared" si="112"/>
        <v>1.0815969373694769</v>
      </c>
      <c r="P138" s="379">
        <f t="shared" si="112"/>
        <v>1.1580297876102532</v>
      </c>
      <c r="Q138" s="270">
        <f t="shared" si="16"/>
        <v>0</v>
      </c>
    </row>
    <row r="139" spans="3:17" ht="13.5" thickBot="1">
      <c r="C139" s="17" t="str" cm="1">
        <f t="array" ref="C139">INDEX('List Values'!$B$2:$B$18,(1+ROUNDDOWN((ROW()-ROW($C$106))*1/6,2)))</f>
        <v>Rubber Product Manufacturing</v>
      </c>
      <c r="D139" s="313" t="s">
        <v>206</v>
      </c>
      <c r="E139" s="313" t="s">
        <v>93</v>
      </c>
      <c r="F139" s="318">
        <f t="shared" ref="F139:H139" si="113">F$104/F38</f>
        <v>4.7705089820359294</v>
      </c>
      <c r="G139" s="318">
        <f t="shared" si="113"/>
        <v>6.505239520958086</v>
      </c>
      <c r="H139" s="318">
        <f t="shared" si="113"/>
        <v>6.9649431137724571</v>
      </c>
      <c r="I139" s="270">
        <f t="shared" si="12"/>
        <v>0</v>
      </c>
      <c r="J139" s="318">
        <f t="shared" ref="J139:L139" si="114">IFERROR(J$104/J38,"")</f>
        <v>466.21898408239707</v>
      </c>
      <c r="K139" s="318">
        <f t="shared" si="114"/>
        <v>635.75316011235964</v>
      </c>
      <c r="L139" s="318">
        <f t="shared" si="114"/>
        <v>680.67971676029981</v>
      </c>
      <c r="M139" s="270">
        <f t="shared" si="14"/>
        <v>0</v>
      </c>
      <c r="N139" s="379">
        <f t="shared" ref="N139:P139" si="115">N$104/N38</f>
        <v>4.7221899509687715</v>
      </c>
      <c r="O139" s="379">
        <f t="shared" si="115"/>
        <v>6.4393499331392334</v>
      </c>
      <c r="P139" s="379">
        <f t="shared" si="115"/>
        <v>6.8943973284144064</v>
      </c>
      <c r="Q139" s="270">
        <f t="shared" si="16"/>
        <v>0</v>
      </c>
    </row>
    <row r="140" spans="3:17" ht="13.5" thickBot="1">
      <c r="C140" s="17" t="str" cm="1">
        <f t="array" ref="C140">INDEX('List Values'!$B$2:$B$18,(1+ROUNDDOWN((ROW()-ROW($C$106))*1/6,2)))</f>
        <v>Rubber Product Manufacturing</v>
      </c>
      <c r="D140" s="313" t="s">
        <v>94</v>
      </c>
      <c r="E140" s="313" t="s">
        <v>92</v>
      </c>
      <c r="F140" s="318">
        <f t="shared" ref="F140:H140" si="116">F$104/F39</f>
        <v>5.2694610778443121</v>
      </c>
      <c r="G140" s="318">
        <f t="shared" si="116"/>
        <v>7.1856287425149716</v>
      </c>
      <c r="H140" s="318">
        <f t="shared" si="116"/>
        <v>7.6934131736526963</v>
      </c>
      <c r="I140" s="270">
        <f t="shared" si="12"/>
        <v>0</v>
      </c>
      <c r="J140" s="318">
        <f t="shared" ref="J140:L140" si="117">IFERROR(J$104/J39,"")</f>
        <v>428.34890965732092</v>
      </c>
      <c r="K140" s="318">
        <f t="shared" si="117"/>
        <v>584.1121495327103</v>
      </c>
      <c r="L140" s="318">
        <f t="shared" si="117"/>
        <v>625.38940809968847</v>
      </c>
      <c r="M140" s="270">
        <f t="shared" si="14"/>
        <v>0</v>
      </c>
      <c r="N140" s="379">
        <f t="shared" ref="N140:P140" si="118">N$104/N39</f>
        <v>5.2054249992901704</v>
      </c>
      <c r="O140" s="379">
        <f t="shared" si="118"/>
        <v>7.0983068172138681</v>
      </c>
      <c r="P140" s="379">
        <f t="shared" si="118"/>
        <v>7.5999204989636482</v>
      </c>
      <c r="Q140" s="270">
        <f t="shared" si="16"/>
        <v>0</v>
      </c>
    </row>
    <row r="141" spans="3:17" ht="13.5" thickBot="1">
      <c r="C141" s="17" t="str" cm="1">
        <f t="array" ref="C141">INDEX('List Values'!$B$2:$B$18,(1+ROUNDDOWN((ROW()-ROW($C$106))*1/6,2)))</f>
        <v>Rubber Product Manufacturing</v>
      </c>
      <c r="D141" s="313" t="s">
        <v>94</v>
      </c>
      <c r="E141" s="313" t="s">
        <v>93</v>
      </c>
      <c r="F141" s="318">
        <f t="shared" ref="F141:H141" si="119">F$104/F40</f>
        <v>5.2694610778443121</v>
      </c>
      <c r="G141" s="318">
        <f t="shared" si="119"/>
        <v>7.1856287425149716</v>
      </c>
      <c r="H141" s="318">
        <f t="shared" si="119"/>
        <v>7.6934131736526963</v>
      </c>
      <c r="I141" s="270">
        <f t="shared" si="12"/>
        <v>0</v>
      </c>
      <c r="J141" s="318">
        <f t="shared" ref="J141:L141" si="120">IFERROR(J$104/J40,"")</f>
        <v>428.34890965732092</v>
      </c>
      <c r="K141" s="318">
        <f t="shared" si="120"/>
        <v>584.1121495327103</v>
      </c>
      <c r="L141" s="318">
        <f t="shared" si="120"/>
        <v>625.38940809968847</v>
      </c>
      <c r="M141" s="270">
        <f t="shared" si="14"/>
        <v>0</v>
      </c>
      <c r="N141" s="379">
        <f t="shared" ref="N141:P141" si="121">N$104/N40</f>
        <v>5.2054249992901704</v>
      </c>
      <c r="O141" s="379">
        <f t="shared" si="121"/>
        <v>7.0983068172138681</v>
      </c>
      <c r="P141" s="379">
        <f t="shared" si="121"/>
        <v>7.5999204989636482</v>
      </c>
      <c r="Q141" s="270">
        <f t="shared" si="16"/>
        <v>0</v>
      </c>
    </row>
    <row r="142" spans="3:17" ht="13.5" thickBot="1">
      <c r="C142" s="17" t="str" cm="1">
        <f t="array" ref="C142">INDEX('List Values'!$B$2:$B$18,(1+ROUNDDOWN((ROW()-ROW($C$106))*1/6,2)))</f>
        <v>Spray Application of Paints, Coatings, Adhesives, and Sealants</v>
      </c>
      <c r="D142" s="313" t="s">
        <v>74</v>
      </c>
      <c r="E142" s="308" t="s">
        <v>92</v>
      </c>
      <c r="F142" s="318">
        <f t="shared" ref="F142:H142" si="122">F$104/F41</f>
        <v>0.39814500622101667</v>
      </c>
      <c r="G142" s="318">
        <f t="shared" si="122"/>
        <v>0.54292500848320457</v>
      </c>
      <c r="H142" s="318">
        <f t="shared" si="122"/>
        <v>0.58129170908268435</v>
      </c>
      <c r="I142" s="270">
        <f t="shared" si="12"/>
        <v>0</v>
      </c>
      <c r="J142" s="318">
        <f t="shared" ref="J142:L142" si="123">IFERROR(J$104/J41,"")</f>
        <v>411.21495327102804</v>
      </c>
      <c r="K142" s="318">
        <f t="shared" si="123"/>
        <v>560.74766355140196</v>
      </c>
      <c r="L142" s="318">
        <f t="shared" si="123"/>
        <v>600.37383177570086</v>
      </c>
      <c r="M142" s="270">
        <f t="shared" si="14"/>
        <v>0</v>
      </c>
      <c r="N142" s="379">
        <f t="shared" ref="N142:P142" si="124">N$104/N41</f>
        <v>0.39775988862723211</v>
      </c>
      <c r="O142" s="379">
        <f t="shared" si="124"/>
        <v>0.54239984812804376</v>
      </c>
      <c r="P142" s="379">
        <f t="shared" si="124"/>
        <v>0.580729437395759</v>
      </c>
      <c r="Q142" s="270">
        <f t="shared" si="16"/>
        <v>0</v>
      </c>
    </row>
    <row r="143" spans="3:17" ht="13.5" thickBot="1">
      <c r="C143" s="17" t="str" cm="1">
        <f t="array" ref="C143">INDEX('List Values'!$B$2:$B$18,(1+ROUNDDOWN((ROW()-ROW($C$106))*1/6,2)))</f>
        <v>Spray Application of Paints, Coatings, Adhesives, and Sealants</v>
      </c>
      <c r="D143" s="313" t="s">
        <v>74</v>
      </c>
      <c r="E143" s="313" t="s">
        <v>93</v>
      </c>
      <c r="F143" s="318">
        <f t="shared" ref="F143:H143" si="125">F$104/F42</f>
        <v>28.971193415637867</v>
      </c>
      <c r="G143" s="318">
        <f t="shared" si="125"/>
        <v>39.506172839506178</v>
      </c>
      <c r="H143" s="318">
        <f t="shared" si="125"/>
        <v>42.297942386831288</v>
      </c>
      <c r="I143" s="270">
        <f t="shared" si="12"/>
        <v>0</v>
      </c>
      <c r="J143" s="318">
        <f t="shared" ref="J143:L143" si="126">IFERROR(J$104/J42,"")</f>
        <v>822.42990654205607</v>
      </c>
      <c r="K143" s="318">
        <f t="shared" si="126"/>
        <v>1121.4953271028039</v>
      </c>
      <c r="L143" s="318">
        <f t="shared" si="126"/>
        <v>1200.7476635514017</v>
      </c>
      <c r="M143" s="270">
        <f t="shared" si="14"/>
        <v>0</v>
      </c>
      <c r="N143" s="379">
        <f t="shared" ref="N143:P143" si="127">N$104/N42</f>
        <v>27.985371283192883</v>
      </c>
      <c r="O143" s="379">
        <f t="shared" si="127"/>
        <v>38.161869931626654</v>
      </c>
      <c r="P143" s="379">
        <f t="shared" si="127"/>
        <v>40.85864207346161</v>
      </c>
      <c r="Q143" s="270">
        <f t="shared" si="16"/>
        <v>0</v>
      </c>
    </row>
    <row r="144" spans="3:17" ht="13.5" thickBot="1">
      <c r="C144" s="17" t="str" cm="1">
        <f t="array" ref="C144">INDEX('List Values'!$B$2:$B$18,(1+ROUNDDOWN((ROW()-ROW($C$106))*1/6,2)))</f>
        <v>Spray Application of Paints, Coatings, Adhesives, and Sealants</v>
      </c>
      <c r="D144" s="313" t="s">
        <v>206</v>
      </c>
      <c r="E144" s="313" t="s">
        <v>92</v>
      </c>
      <c r="F144" s="318">
        <f t="shared" ref="F144:H144" si="128">F$104/F43</f>
        <v>0.36044565094446418</v>
      </c>
      <c r="G144" s="318">
        <f t="shared" si="128"/>
        <v>0.49151679674245125</v>
      </c>
      <c r="H144" s="318">
        <f t="shared" si="128"/>
        <v>0.52625065037891783</v>
      </c>
      <c r="I144" s="270">
        <f t="shared" si="12"/>
        <v>0</v>
      </c>
      <c r="J144" s="318">
        <f t="shared" ref="J144:L144" si="129">IFERROR(J$104/J43,"")</f>
        <v>447.57022471910119</v>
      </c>
      <c r="K144" s="318">
        <f t="shared" si="129"/>
        <v>610.32303370786531</v>
      </c>
      <c r="L144" s="318">
        <f t="shared" si="129"/>
        <v>653.45252808988766</v>
      </c>
      <c r="M144" s="270">
        <f t="shared" si="14"/>
        <v>0</v>
      </c>
      <c r="N144" s="379">
        <f t="shared" ref="N144:P144" si="130">N$104/N43</f>
        <v>0.36015560367626204</v>
      </c>
      <c r="O144" s="379">
        <f t="shared" si="130"/>
        <v>0.49112127774035741</v>
      </c>
      <c r="P144" s="379">
        <f t="shared" si="130"/>
        <v>0.52582718136734263</v>
      </c>
      <c r="Q144" s="270">
        <f t="shared" si="16"/>
        <v>0</v>
      </c>
    </row>
    <row r="145" spans="3:17" ht="13.5" thickBot="1">
      <c r="C145" s="17" t="str" cm="1">
        <f t="array" ref="C145">INDEX('List Values'!$B$2:$B$18,(1+ROUNDDOWN((ROW()-ROW($C$106))*1/6,2)))</f>
        <v>Spray Application of Paints, Coatings, Adhesives, and Sealants</v>
      </c>
      <c r="D145" s="313" t="s">
        <v>206</v>
      </c>
      <c r="E145" s="313" t="s">
        <v>93</v>
      </c>
      <c r="F145" s="318">
        <f t="shared" ref="F145:H145" si="131">F$104/F44</f>
        <v>26.227983539094659</v>
      </c>
      <c r="G145" s="318">
        <f t="shared" si="131"/>
        <v>35.765432098765444</v>
      </c>
      <c r="H145" s="318">
        <f t="shared" si="131"/>
        <v>38.292855967078204</v>
      </c>
      <c r="I145" s="270">
        <f t="shared" si="12"/>
        <v>0</v>
      </c>
      <c r="J145" s="318">
        <f t="shared" ref="J145:L145" si="132">IFERROR(J$104/J44,"")</f>
        <v>895.14044943820238</v>
      </c>
      <c r="K145" s="318">
        <f t="shared" si="132"/>
        <v>1220.6460674157306</v>
      </c>
      <c r="L145" s="318">
        <f t="shared" si="132"/>
        <v>1306.9050561797753</v>
      </c>
      <c r="M145" s="270">
        <f t="shared" si="14"/>
        <v>0</v>
      </c>
      <c r="N145" s="379">
        <f t="shared" ref="N145:P145" si="133">N$104/N44</f>
        <v>25.481368942907416</v>
      </c>
      <c r="O145" s="379">
        <f t="shared" si="133"/>
        <v>34.747321285782832</v>
      </c>
      <c r="P145" s="379">
        <f t="shared" si="133"/>
        <v>37.202798656644831</v>
      </c>
      <c r="Q145" s="270">
        <f t="shared" si="16"/>
        <v>0</v>
      </c>
    </row>
    <row r="146" spans="3:17" ht="13.5" thickBot="1">
      <c r="C146" s="17" t="str" cm="1">
        <f t="array" ref="C146">INDEX('List Values'!$B$2:$B$18,(1+ROUNDDOWN((ROW()-ROW($C$106))*1/6,2)))</f>
        <v>Spray Application of Paints, Coatings, Adhesives, and Sealants</v>
      </c>
      <c r="D146" s="313" t="s">
        <v>94</v>
      </c>
      <c r="E146" s="313" t="s">
        <v>92</v>
      </c>
      <c r="F146" s="318">
        <f t="shared" ref="F146:H146" si="134">F$104/F45</f>
        <v>28.971193415637867</v>
      </c>
      <c r="G146" s="318">
        <f t="shared" si="134"/>
        <v>39.506172839506178</v>
      </c>
      <c r="H146" s="318">
        <f t="shared" si="134"/>
        <v>42.297942386831288</v>
      </c>
      <c r="I146" s="270">
        <f t="shared" si="12"/>
        <v>0</v>
      </c>
      <c r="J146" s="318">
        <f t="shared" ref="J146:L146" si="135">IFERROR(J$104/J45,"")</f>
        <v>822.42990654205607</v>
      </c>
      <c r="K146" s="318">
        <f t="shared" si="135"/>
        <v>1121.4953271028039</v>
      </c>
      <c r="L146" s="318">
        <f t="shared" si="135"/>
        <v>1200.7476635514017</v>
      </c>
      <c r="M146" s="270">
        <f t="shared" si="14"/>
        <v>0</v>
      </c>
      <c r="N146" s="379">
        <f t="shared" ref="N146:P146" si="136">N$104/N45</f>
        <v>27.985371283192883</v>
      </c>
      <c r="O146" s="379">
        <f t="shared" si="136"/>
        <v>38.161869931626654</v>
      </c>
      <c r="P146" s="379">
        <f t="shared" si="136"/>
        <v>40.85864207346161</v>
      </c>
      <c r="Q146" s="270">
        <f t="shared" si="16"/>
        <v>0</v>
      </c>
    </row>
    <row r="147" spans="3:17" ht="13.5" thickBot="1">
      <c r="C147" s="17" t="str" cm="1">
        <f t="array" ref="C147">INDEX('List Values'!$B$2:$B$18,(1+ROUNDDOWN((ROW()-ROW($C$106))*1/6,2)))</f>
        <v>Spray Application of Paints, Coatings, Adhesives, and Sealants</v>
      </c>
      <c r="D147" s="313" t="s">
        <v>94</v>
      </c>
      <c r="E147" s="313" t="s">
        <v>93</v>
      </c>
      <c r="F147" s="318">
        <f t="shared" ref="F147:H147" si="137">F$104/F46</f>
        <v>28.971193415637867</v>
      </c>
      <c r="G147" s="318">
        <f t="shared" si="137"/>
        <v>39.506172839506178</v>
      </c>
      <c r="H147" s="318">
        <f t="shared" si="137"/>
        <v>42.297942386831288</v>
      </c>
      <c r="I147" s="270">
        <f t="shared" si="12"/>
        <v>0</v>
      </c>
      <c r="J147" s="318">
        <f t="shared" ref="J147:L147" si="138">IFERROR(J$104/J46,"")</f>
        <v>822.42990654205607</v>
      </c>
      <c r="K147" s="318">
        <f t="shared" si="138"/>
        <v>1121.4953271028039</v>
      </c>
      <c r="L147" s="318">
        <f t="shared" si="138"/>
        <v>1200.7476635514017</v>
      </c>
      <c r="M147" s="270">
        <f t="shared" si="14"/>
        <v>0</v>
      </c>
      <c r="N147" s="379">
        <f t="shared" ref="N147:P147" si="139">N$104/N46</f>
        <v>27.985371283192883</v>
      </c>
      <c r="O147" s="379">
        <f t="shared" si="139"/>
        <v>38.161869931626654</v>
      </c>
      <c r="P147" s="379">
        <f t="shared" si="139"/>
        <v>40.85864207346161</v>
      </c>
      <c r="Q147" s="270">
        <f t="shared" si="16"/>
        <v>0</v>
      </c>
    </row>
    <row r="148" spans="3:17" ht="13.5" thickBot="1">
      <c r="C148" s="17" t="str" cm="1">
        <f t="array" ref="C148">INDEX('List Values'!$B$2:$B$18,(1+ROUNDDOWN((ROW()-ROW($C$106))*1/6,2)))</f>
        <v>Non-Spray Application of Paints, Coatings, Adhesives, and Sealants</v>
      </c>
      <c r="D148" s="313" t="s">
        <v>74</v>
      </c>
      <c r="E148" s="308" t="s">
        <v>92</v>
      </c>
      <c r="F148" s="318">
        <f t="shared" ref="F148:H148" si="140">F$104/F47</f>
        <v>0.87912087912087922</v>
      </c>
      <c r="G148" s="318">
        <f t="shared" si="140"/>
        <v>1.1988011988011988</v>
      </c>
      <c r="H148" s="318">
        <f t="shared" si="140"/>
        <v>1.2835164835164836</v>
      </c>
      <c r="I148" s="270">
        <f t="shared" si="12"/>
        <v>0</v>
      </c>
      <c r="J148" s="318">
        <f t="shared" ref="J148:L148" si="141">IFERROR(J$104/J47,"")</f>
        <v>411.21495327102804</v>
      </c>
      <c r="K148" s="318">
        <f t="shared" si="141"/>
        <v>560.74766355140196</v>
      </c>
      <c r="L148" s="318">
        <f t="shared" si="141"/>
        <v>600.37383177570086</v>
      </c>
      <c r="M148" s="270">
        <f t="shared" si="14"/>
        <v>0</v>
      </c>
      <c r="N148" s="379">
        <f t="shared" ref="N148:P148" si="142">N$104/N47</f>
        <v>0.87724544928923187</v>
      </c>
      <c r="O148" s="379">
        <f t="shared" si="142"/>
        <v>1.1962437944853164</v>
      </c>
      <c r="P148" s="379">
        <f t="shared" si="142"/>
        <v>1.2807783559622785</v>
      </c>
      <c r="Q148" s="270">
        <f t="shared" si="16"/>
        <v>0</v>
      </c>
    </row>
    <row r="149" spans="3:17" ht="13.5" thickBot="1">
      <c r="C149" s="17" t="str" cm="1">
        <f t="array" ref="C149">INDEX('List Values'!$B$2:$B$18,(1+ROUNDDOWN((ROW()-ROW($C$106))*1/6,2)))</f>
        <v>Non-Spray Application of Paints, Coatings, Adhesives, and Sealants</v>
      </c>
      <c r="D149" s="313" t="s">
        <v>74</v>
      </c>
      <c r="E149" s="313" t="s">
        <v>93</v>
      </c>
      <c r="F149" s="318">
        <f t="shared" ref="F149:H149" si="143">F$104/F48</f>
        <v>5.2694610778443121</v>
      </c>
      <c r="G149" s="318">
        <f t="shared" si="143"/>
        <v>7.1856287425149716</v>
      </c>
      <c r="H149" s="318">
        <f t="shared" si="143"/>
        <v>7.6934131736526963</v>
      </c>
      <c r="I149" s="270">
        <f t="shared" si="12"/>
        <v>0</v>
      </c>
      <c r="J149" s="318">
        <f t="shared" ref="J149:L149" si="144">IFERROR(J$104/J48,"")</f>
        <v>822.42990654205607</v>
      </c>
      <c r="K149" s="318">
        <f t="shared" si="144"/>
        <v>1121.4953271028039</v>
      </c>
      <c r="L149" s="318">
        <f t="shared" si="144"/>
        <v>1200.7476635514017</v>
      </c>
      <c r="M149" s="270">
        <f t="shared" si="14"/>
        <v>0</v>
      </c>
      <c r="N149" s="379">
        <f t="shared" ref="N149:P149" si="145">N$104/N48</f>
        <v>5.235913607425478</v>
      </c>
      <c r="O149" s="379">
        <f t="shared" si="145"/>
        <v>7.1398821919438351</v>
      </c>
      <c r="P149" s="379">
        <f t="shared" si="145"/>
        <v>7.6444338668411973</v>
      </c>
      <c r="Q149" s="270">
        <f t="shared" si="16"/>
        <v>0</v>
      </c>
    </row>
    <row r="150" spans="3:17" ht="13.5" thickBot="1">
      <c r="C150" s="17" t="str" cm="1">
        <f t="array" ref="C150">INDEX('List Values'!$B$2:$B$18,(1+ROUNDDOWN((ROW()-ROW($C$106))*1/6,2)))</f>
        <v>Non-Spray Application of Paints, Coatings, Adhesives, and Sealants</v>
      </c>
      <c r="D150" s="313" t="s">
        <v>206</v>
      </c>
      <c r="E150" s="313" t="s">
        <v>92</v>
      </c>
      <c r="F150" s="318">
        <f t="shared" ref="F150:H150" si="146">F$104/F49</f>
        <v>0.79587912087912105</v>
      </c>
      <c r="G150" s="318">
        <f t="shared" si="146"/>
        <v>1.0852897102897106</v>
      </c>
      <c r="H150" s="318">
        <f t="shared" si="146"/>
        <v>1.1619835164835168</v>
      </c>
      <c r="I150" s="270">
        <f t="shared" si="12"/>
        <v>0</v>
      </c>
      <c r="J150" s="318">
        <f t="shared" ref="J150:L150" si="147">IFERROR(J$104/J49,"")</f>
        <v>447.57022471910119</v>
      </c>
      <c r="K150" s="318">
        <f t="shared" si="147"/>
        <v>610.32303370786531</v>
      </c>
      <c r="L150" s="318">
        <f t="shared" si="147"/>
        <v>653.45252808988766</v>
      </c>
      <c r="M150" s="270">
        <f t="shared" si="14"/>
        <v>0</v>
      </c>
      <c r="N150" s="379">
        <f t="shared" ref="N150:P150" si="148">N$104/N49</f>
        <v>0.79446638345399812</v>
      </c>
      <c r="O150" s="379">
        <f t="shared" si="148"/>
        <v>1.0833632501645429</v>
      </c>
      <c r="P150" s="379">
        <f t="shared" si="148"/>
        <v>1.1599209198428373</v>
      </c>
      <c r="Q150" s="270">
        <f t="shared" si="16"/>
        <v>0</v>
      </c>
    </row>
    <row r="151" spans="3:17" ht="13.5" thickBot="1">
      <c r="C151" s="17" t="str" cm="1">
        <f t="array" ref="C151">INDEX('List Values'!$B$2:$B$18,(1+ROUNDDOWN((ROW()-ROW($C$106))*1/6,2)))</f>
        <v>Non-Spray Application of Paints, Coatings, Adhesives, and Sealants</v>
      </c>
      <c r="D151" s="313" t="s">
        <v>206</v>
      </c>
      <c r="E151" s="313" t="s">
        <v>93</v>
      </c>
      <c r="F151" s="318">
        <f t="shared" ref="F151:H151" si="149">F$104/F50</f>
        <v>4.7705089820359294</v>
      </c>
      <c r="G151" s="318">
        <f t="shared" si="149"/>
        <v>6.505239520958086</v>
      </c>
      <c r="H151" s="318">
        <f t="shared" si="149"/>
        <v>6.9649431137724571</v>
      </c>
      <c r="I151" s="270">
        <f t="shared" si="12"/>
        <v>0</v>
      </c>
      <c r="J151" s="318">
        <f t="shared" ref="J151:L151" si="150">IFERROR(J$104/J50,"")</f>
        <v>895.14044943820238</v>
      </c>
      <c r="K151" s="318">
        <f t="shared" si="150"/>
        <v>1220.6460674157306</v>
      </c>
      <c r="L151" s="318">
        <f t="shared" si="150"/>
        <v>1306.9050561797753</v>
      </c>
      <c r="M151" s="270">
        <f t="shared" si="14"/>
        <v>0</v>
      </c>
      <c r="N151" s="379">
        <f t="shared" ref="N151:P151" si="151">N$104/N50</f>
        <v>4.7452200845791905</v>
      </c>
      <c r="O151" s="379">
        <f t="shared" si="151"/>
        <v>6.4707546607898054</v>
      </c>
      <c r="P151" s="379">
        <f t="shared" si="151"/>
        <v>6.9280213234856172</v>
      </c>
      <c r="Q151" s="270">
        <f t="shared" si="16"/>
        <v>0</v>
      </c>
    </row>
    <row r="152" spans="3:17" ht="13.5" thickBot="1">
      <c r="C152" s="17" t="str" cm="1">
        <f t="array" ref="C152">INDEX('List Values'!$B$2:$B$18,(1+ROUNDDOWN((ROW()-ROW($C$106))*1/6,2)))</f>
        <v>Non-Spray Application of Paints, Coatings, Adhesives, and Sealants</v>
      </c>
      <c r="D152" s="313" t="s">
        <v>94</v>
      </c>
      <c r="E152" s="313" t="s">
        <v>92</v>
      </c>
      <c r="F152" s="318">
        <f t="shared" ref="F152:H152" si="152">F$104/F51</f>
        <v>5.2694610778443121</v>
      </c>
      <c r="G152" s="318">
        <f t="shared" si="152"/>
        <v>7.1856287425149716</v>
      </c>
      <c r="H152" s="318">
        <f t="shared" si="152"/>
        <v>7.6934131736526963</v>
      </c>
      <c r="I152" s="270">
        <f t="shared" si="12"/>
        <v>0</v>
      </c>
      <c r="J152" s="318" t="str">
        <f t="shared" ref="J152:L152" si="153">IFERROR(J$104/J51,"")</f>
        <v/>
      </c>
      <c r="K152" s="318" t="str">
        <f t="shared" si="153"/>
        <v/>
      </c>
      <c r="L152" s="318" t="str">
        <f t="shared" si="153"/>
        <v/>
      </c>
      <c r="M152" s="270">
        <f t="shared" si="14"/>
        <v>0</v>
      </c>
      <c r="N152" s="379">
        <f t="shared" ref="N152:P152" si="154">N$104/N51</f>
        <v>5.2694610778443121</v>
      </c>
      <c r="O152" s="379">
        <f t="shared" si="154"/>
        <v>7.1856287425149716</v>
      </c>
      <c r="P152" s="379">
        <f t="shared" si="154"/>
        <v>7.6934131736526963</v>
      </c>
      <c r="Q152" s="270">
        <f t="shared" si="16"/>
        <v>0</v>
      </c>
    </row>
    <row r="153" spans="3:17" ht="13.5" thickBot="1">
      <c r="C153" s="17" t="str" cm="1">
        <f t="array" ref="C153">INDEX('List Values'!$B$2:$B$18,(1+ROUNDDOWN((ROW()-ROW($C$106))*1/6,2)))</f>
        <v>Non-Spray Application of Paints, Coatings, Adhesives, and Sealants</v>
      </c>
      <c r="D153" s="313" t="s">
        <v>94</v>
      </c>
      <c r="E153" s="313" t="s">
        <v>93</v>
      </c>
      <c r="F153" s="318">
        <f t="shared" ref="F153:H153" si="155">F$104/F52</f>
        <v>5.2694610778443121</v>
      </c>
      <c r="G153" s="318">
        <f t="shared" si="155"/>
        <v>7.1856287425149716</v>
      </c>
      <c r="H153" s="318">
        <f t="shared" si="155"/>
        <v>7.6934131736526963</v>
      </c>
      <c r="I153" s="270">
        <f t="shared" si="12"/>
        <v>0</v>
      </c>
      <c r="J153" s="318" t="str">
        <f t="shared" ref="J153:L153" si="156">IFERROR(J$104/J52,"")</f>
        <v/>
      </c>
      <c r="K153" s="318" t="str">
        <f t="shared" si="156"/>
        <v/>
      </c>
      <c r="L153" s="318" t="str">
        <f t="shared" si="156"/>
        <v/>
      </c>
      <c r="M153" s="270">
        <f t="shared" si="14"/>
        <v>0</v>
      </c>
      <c r="N153" s="379">
        <f t="shared" ref="N153:P153" si="157">N$104/N52</f>
        <v>5.2694610778443121</v>
      </c>
      <c r="O153" s="379">
        <f t="shared" si="157"/>
        <v>7.1856287425149716</v>
      </c>
      <c r="P153" s="379">
        <f t="shared" si="157"/>
        <v>7.6934131736526963</v>
      </c>
      <c r="Q153" s="270">
        <f t="shared" si="16"/>
        <v>0</v>
      </c>
    </row>
    <row r="154" spans="3:17" ht="13.5" thickBot="1">
      <c r="C154" s="17" t="str" cm="1">
        <f t="array" ref="C154">INDEX('List Values'!$B$2:$B$18,(1+ROUNDDOWN((ROW()-ROW($C$106))*1/6,2)))</f>
        <v>Use of Dyes, Pigments, and Fixing Agents</v>
      </c>
      <c r="D154" s="313" t="s">
        <v>74</v>
      </c>
      <c r="E154" s="308" t="s">
        <v>92</v>
      </c>
      <c r="F154" s="318">
        <f t="shared" ref="F154:H154" si="158">F$104/F53</f>
        <v>0.87912087912087922</v>
      </c>
      <c r="G154" s="318">
        <f t="shared" si="158"/>
        <v>1.1988011988011988</v>
      </c>
      <c r="H154" s="318">
        <f t="shared" si="158"/>
        <v>1.2835164835164836</v>
      </c>
      <c r="I154" s="270">
        <f t="shared" si="12"/>
        <v>0</v>
      </c>
      <c r="J154" s="318">
        <f t="shared" ref="J154:L154" si="159">IFERROR(J$104/J53,"")</f>
        <v>411.21495327102804</v>
      </c>
      <c r="K154" s="318">
        <f t="shared" si="159"/>
        <v>560.74766355140196</v>
      </c>
      <c r="L154" s="318">
        <f t="shared" si="159"/>
        <v>600.37383177570086</v>
      </c>
      <c r="M154" s="270">
        <f t="shared" si="14"/>
        <v>0</v>
      </c>
      <c r="N154" s="379">
        <f t="shared" ref="N154:P154" si="160">N$104/N53</f>
        <v>0.87724544928923187</v>
      </c>
      <c r="O154" s="379">
        <f t="shared" si="160"/>
        <v>1.1962437944853164</v>
      </c>
      <c r="P154" s="379">
        <f t="shared" si="160"/>
        <v>1.2807783559622785</v>
      </c>
      <c r="Q154" s="270">
        <f t="shared" si="16"/>
        <v>0</v>
      </c>
    </row>
    <row r="155" spans="3:17" ht="13.5" thickBot="1">
      <c r="C155" s="17" t="str" cm="1">
        <f t="array" ref="C155">INDEX('List Values'!$B$2:$B$18,(1+ROUNDDOWN((ROW()-ROW($C$106))*1/6,2)))</f>
        <v>Use of Dyes, Pigments, and Fixing Agents</v>
      </c>
      <c r="D155" s="313" t="s">
        <v>74</v>
      </c>
      <c r="E155" s="313" t="s">
        <v>93</v>
      </c>
      <c r="F155" s="318">
        <f t="shared" ref="F155:H155" si="161">F$104/F54</f>
        <v>5.2694610778443121</v>
      </c>
      <c r="G155" s="318">
        <f t="shared" si="161"/>
        <v>7.1856287425149716</v>
      </c>
      <c r="H155" s="318">
        <f t="shared" si="161"/>
        <v>7.6934131736526963</v>
      </c>
      <c r="I155" s="270">
        <f t="shared" si="12"/>
        <v>0</v>
      </c>
      <c r="J155" s="318">
        <f t="shared" ref="J155:L155" si="162">IFERROR(J$104/J54,"")</f>
        <v>822.42990654205607</v>
      </c>
      <c r="K155" s="318">
        <f t="shared" si="162"/>
        <v>1121.4953271028039</v>
      </c>
      <c r="L155" s="318">
        <f t="shared" si="162"/>
        <v>1200.7476635514017</v>
      </c>
      <c r="M155" s="270">
        <f t="shared" si="14"/>
        <v>0</v>
      </c>
      <c r="N155" s="379">
        <f t="shared" ref="N155:P155" si="163">N$104/N54</f>
        <v>5.235913607425478</v>
      </c>
      <c r="O155" s="379">
        <f t="shared" si="163"/>
        <v>7.1398821919438351</v>
      </c>
      <c r="P155" s="379">
        <f t="shared" si="163"/>
        <v>7.6444338668411973</v>
      </c>
      <c r="Q155" s="270">
        <f t="shared" si="16"/>
        <v>0</v>
      </c>
    </row>
    <row r="156" spans="3:17" ht="13.5" thickBot="1">
      <c r="C156" s="17" t="str" cm="1">
        <f t="array" ref="C156">INDEX('List Values'!$B$2:$B$18,(1+ROUNDDOWN((ROW()-ROW($C$106))*1/6,2)))</f>
        <v>Use of Dyes, Pigments, and Fixing Agents</v>
      </c>
      <c r="D156" s="313" t="s">
        <v>206</v>
      </c>
      <c r="E156" s="313" t="s">
        <v>92</v>
      </c>
      <c r="F156" s="318">
        <f t="shared" ref="F156:H156" si="164">F$104/F55</f>
        <v>0.79587912087912105</v>
      </c>
      <c r="G156" s="318">
        <f t="shared" si="164"/>
        <v>1.0852897102897106</v>
      </c>
      <c r="H156" s="318">
        <f t="shared" si="164"/>
        <v>1.1619835164835168</v>
      </c>
      <c r="I156" s="270">
        <f t="shared" si="12"/>
        <v>0</v>
      </c>
      <c r="J156" s="318">
        <f t="shared" ref="J156:L156" si="165">IFERROR(J$104/J55,"")</f>
        <v>447.57022471910119</v>
      </c>
      <c r="K156" s="318">
        <f t="shared" si="165"/>
        <v>610.32303370786531</v>
      </c>
      <c r="L156" s="318">
        <f t="shared" si="165"/>
        <v>653.45252808988766</v>
      </c>
      <c r="M156" s="270">
        <f t="shared" si="14"/>
        <v>0</v>
      </c>
      <c r="N156" s="379">
        <f t="shared" ref="N156:P156" si="166">N$104/N55</f>
        <v>0.79446638345399812</v>
      </c>
      <c r="O156" s="379">
        <f t="shared" si="166"/>
        <v>1.0833632501645429</v>
      </c>
      <c r="P156" s="379">
        <f t="shared" si="166"/>
        <v>1.1599209198428373</v>
      </c>
      <c r="Q156" s="270">
        <f t="shared" si="16"/>
        <v>0</v>
      </c>
    </row>
    <row r="157" spans="3:17" ht="13.5" thickBot="1">
      <c r="C157" s="17" t="str" cm="1">
        <f t="array" ref="C157">INDEX('List Values'!$B$2:$B$18,(1+ROUNDDOWN((ROW()-ROW($C$106))*1/6,2)))</f>
        <v>Use of Dyes, Pigments, and Fixing Agents</v>
      </c>
      <c r="D157" s="313" t="s">
        <v>206</v>
      </c>
      <c r="E157" s="313" t="s">
        <v>93</v>
      </c>
      <c r="F157" s="318">
        <f t="shared" ref="F157:H157" si="167">F$104/F56</f>
        <v>4.7705089820359294</v>
      </c>
      <c r="G157" s="318">
        <f t="shared" si="167"/>
        <v>6.505239520958086</v>
      </c>
      <c r="H157" s="318">
        <f t="shared" si="167"/>
        <v>6.9649431137724571</v>
      </c>
      <c r="I157" s="270">
        <f t="shared" si="12"/>
        <v>0</v>
      </c>
      <c r="J157" s="318">
        <f t="shared" ref="J157:L157" si="168">IFERROR(J$104/J56,"")</f>
        <v>895.14044943820238</v>
      </c>
      <c r="K157" s="318">
        <f t="shared" si="168"/>
        <v>1220.6460674157306</v>
      </c>
      <c r="L157" s="318">
        <f t="shared" si="168"/>
        <v>1306.9050561797753</v>
      </c>
      <c r="M157" s="270">
        <f t="shared" si="14"/>
        <v>0</v>
      </c>
      <c r="N157" s="379">
        <f t="shared" ref="N157:P157" si="169">N$104/N56</f>
        <v>4.7452200845791905</v>
      </c>
      <c r="O157" s="379">
        <f t="shared" si="169"/>
        <v>6.4707546607898054</v>
      </c>
      <c r="P157" s="379">
        <f t="shared" si="169"/>
        <v>6.9280213234856172</v>
      </c>
      <c r="Q157" s="270">
        <f t="shared" si="16"/>
        <v>0</v>
      </c>
    </row>
    <row r="158" spans="3:17" ht="13.5" thickBot="1">
      <c r="C158" s="17" t="str" cm="1">
        <f t="array" ref="C158">INDEX('List Values'!$B$2:$B$18,(1+ROUNDDOWN((ROW()-ROW($C$106))*1/6,2)))</f>
        <v>Use of Dyes, Pigments, and Fixing Agents</v>
      </c>
      <c r="D158" s="313" t="s">
        <v>94</v>
      </c>
      <c r="E158" s="313" t="s">
        <v>92</v>
      </c>
      <c r="F158" s="318">
        <f t="shared" ref="F158:H158" si="170">F$104/F57</f>
        <v>5.2694610778443121</v>
      </c>
      <c r="G158" s="318">
        <f t="shared" si="170"/>
        <v>7.1856287425149716</v>
      </c>
      <c r="H158" s="318">
        <f t="shared" si="170"/>
        <v>7.6934131736526963</v>
      </c>
      <c r="I158" s="270">
        <f t="shared" si="12"/>
        <v>0</v>
      </c>
      <c r="J158" s="318" t="str">
        <f t="shared" ref="J158:L158" si="171">IFERROR(J$104/J57,"")</f>
        <v/>
      </c>
      <c r="K158" s="318" t="str">
        <f t="shared" si="171"/>
        <v/>
      </c>
      <c r="L158" s="318" t="str">
        <f t="shared" si="171"/>
        <v/>
      </c>
      <c r="M158" s="270">
        <f t="shared" si="14"/>
        <v>0</v>
      </c>
      <c r="N158" s="379">
        <f t="shared" ref="N158:P158" si="172">N$104/N57</f>
        <v>5.2694610778443121</v>
      </c>
      <c r="O158" s="379">
        <f t="shared" si="172"/>
        <v>7.1856287425149716</v>
      </c>
      <c r="P158" s="379">
        <f t="shared" si="172"/>
        <v>7.6934131736526963</v>
      </c>
      <c r="Q158" s="270">
        <f t="shared" si="16"/>
        <v>0</v>
      </c>
    </row>
    <row r="159" spans="3:17" ht="13.5" thickBot="1">
      <c r="C159" s="17" t="str" cm="1">
        <f t="array" ref="C159">INDEX('List Values'!$B$2:$B$18,(1+ROUNDDOWN((ROW()-ROW($C$106))*1/6,2)))</f>
        <v>Use of Dyes, Pigments, and Fixing Agents</v>
      </c>
      <c r="D159" s="313" t="s">
        <v>94</v>
      </c>
      <c r="E159" s="313" t="s">
        <v>93</v>
      </c>
      <c r="F159" s="318">
        <f t="shared" ref="F159:H159" si="173">F$104/F58</f>
        <v>5.2694610778443121</v>
      </c>
      <c r="G159" s="318">
        <f t="shared" si="173"/>
        <v>7.1856287425149716</v>
      </c>
      <c r="H159" s="318">
        <f t="shared" si="173"/>
        <v>7.6934131736526963</v>
      </c>
      <c r="I159" s="270">
        <f t="shared" si="12"/>
        <v>0</v>
      </c>
      <c r="J159" s="318" t="str">
        <f t="shared" ref="J159:L159" si="174">IFERROR(J$104/J58,"")</f>
        <v/>
      </c>
      <c r="K159" s="318" t="str">
        <f t="shared" si="174"/>
        <v/>
      </c>
      <c r="L159" s="318" t="str">
        <f t="shared" si="174"/>
        <v/>
      </c>
      <c r="M159" s="270">
        <f t="shared" si="14"/>
        <v>0</v>
      </c>
      <c r="N159" s="379">
        <f t="shared" ref="N159:P159" si="175">N$104/N58</f>
        <v>5.2694610778443121</v>
      </c>
      <c r="O159" s="379">
        <f t="shared" si="175"/>
        <v>7.1856287425149716</v>
      </c>
      <c r="P159" s="379">
        <f t="shared" si="175"/>
        <v>7.6934131736526963</v>
      </c>
      <c r="Q159" s="270">
        <f t="shared" si="16"/>
        <v>0</v>
      </c>
    </row>
    <row r="160" spans="3:17" ht="13.5" thickBot="1">
      <c r="C160" s="17" t="str" cm="1">
        <f t="array" ref="C160">INDEX('List Values'!$B$2:$B$18,(1+ROUNDDOWN((ROW()-ROW($C$106))*1/6,2)))</f>
        <v>Use of Automotive Care Products</v>
      </c>
      <c r="D160" s="313" t="s">
        <v>74</v>
      </c>
      <c r="E160" s="308" t="s">
        <v>92</v>
      </c>
      <c r="F160" s="318">
        <f t="shared" ref="F160:H160" si="176">F$104/F59</f>
        <v>80</v>
      </c>
      <c r="G160" s="318">
        <f t="shared" si="176"/>
        <v>109.09090909090908</v>
      </c>
      <c r="H160" s="318">
        <f t="shared" si="176"/>
        <v>116.8</v>
      </c>
      <c r="I160" s="270">
        <f t="shared" si="12"/>
        <v>0</v>
      </c>
      <c r="J160" s="318">
        <f t="shared" ref="J160:L160" si="177">IFERROR(J$104/J59,"")</f>
        <v>411.21495327102804</v>
      </c>
      <c r="K160" s="318">
        <f t="shared" si="177"/>
        <v>560.74766355140196</v>
      </c>
      <c r="L160" s="318">
        <f t="shared" si="177"/>
        <v>600.37383177570086</v>
      </c>
      <c r="M160" s="270">
        <f t="shared" si="14"/>
        <v>0</v>
      </c>
      <c r="N160" s="379">
        <f t="shared" ref="N160:P160" si="178">N$104/N59</f>
        <v>66.971080669710801</v>
      </c>
      <c r="O160" s="379">
        <f t="shared" si="178"/>
        <v>91.324200913241995</v>
      </c>
      <c r="P160" s="379">
        <f t="shared" si="178"/>
        <v>97.777777777777771</v>
      </c>
      <c r="Q160" s="270">
        <f t="shared" si="16"/>
        <v>0</v>
      </c>
    </row>
    <row r="161" spans="3:17" ht="13.5" thickBot="1">
      <c r="C161" s="17" t="str" cm="1">
        <f t="array" ref="C161">INDEX('List Values'!$B$2:$B$18,(1+ROUNDDOWN((ROW()-ROW($C$106))*1/6,2)))</f>
        <v>Use of Automotive Care Products</v>
      </c>
      <c r="D161" s="313" t="s">
        <v>74</v>
      </c>
      <c r="E161" s="313" t="s">
        <v>93</v>
      </c>
      <c r="F161" s="318">
        <f t="shared" ref="F161:H161" si="179">F$104/F60</f>
        <v>160</v>
      </c>
      <c r="G161" s="318">
        <f t="shared" si="179"/>
        <v>218.18181818181816</v>
      </c>
      <c r="H161" s="318">
        <f t="shared" si="179"/>
        <v>248.51063829787233</v>
      </c>
      <c r="I161" s="270">
        <f t="shared" si="12"/>
        <v>0</v>
      </c>
      <c r="J161" s="318">
        <f t="shared" ref="J161:L161" si="180">IFERROR(J$104/J60,"")</f>
        <v>822.42990654205607</v>
      </c>
      <c r="K161" s="318">
        <f t="shared" si="180"/>
        <v>1121.4953271028039</v>
      </c>
      <c r="L161" s="318">
        <f t="shared" si="180"/>
        <v>1277.3911314376614</v>
      </c>
      <c r="M161" s="270">
        <f t="shared" si="14"/>
        <v>0</v>
      </c>
      <c r="N161" s="379">
        <f t="shared" ref="N161:P161" si="181">N$104/N60</f>
        <v>133.9421613394216</v>
      </c>
      <c r="O161" s="379">
        <f t="shared" si="181"/>
        <v>182.64840182648399</v>
      </c>
      <c r="P161" s="379">
        <f t="shared" si="181"/>
        <v>208.03782505910166</v>
      </c>
      <c r="Q161" s="270">
        <f t="shared" si="16"/>
        <v>0</v>
      </c>
    </row>
    <row r="162" spans="3:17" ht="13.5" thickBot="1">
      <c r="C162" s="17" t="str" cm="1">
        <f t="array" ref="C162">INDEX('List Values'!$B$2:$B$18,(1+ROUNDDOWN((ROW()-ROW($C$106))*1/6,2)))</f>
        <v>Use of Automotive Care Products</v>
      </c>
      <c r="D162" s="313" t="s">
        <v>206</v>
      </c>
      <c r="E162" s="313" t="s">
        <v>92</v>
      </c>
      <c r="F162" s="318">
        <f t="shared" ref="F162:H162" si="182">F$104/F61</f>
        <v>72.425000000000011</v>
      </c>
      <c r="G162" s="318">
        <f t="shared" si="182"/>
        <v>98.76136363636364</v>
      </c>
      <c r="H162" s="318">
        <f t="shared" si="182"/>
        <v>105.74050000000003</v>
      </c>
      <c r="I162" s="270">
        <f t="shared" si="12"/>
        <v>0</v>
      </c>
      <c r="J162" s="318">
        <f t="shared" ref="J162:L162" si="183">IFERROR(J$104/J61,"")</f>
        <v>447.57022471910119</v>
      </c>
      <c r="K162" s="318">
        <f t="shared" si="183"/>
        <v>610.32303370786531</v>
      </c>
      <c r="L162" s="318">
        <f t="shared" si="183"/>
        <v>653.45252808988766</v>
      </c>
      <c r="M162" s="270">
        <f t="shared" si="14"/>
        <v>0</v>
      </c>
      <c r="N162" s="379">
        <f t="shared" ref="N162:P162" si="184">N$104/N61</f>
        <v>62.337636932707362</v>
      </c>
      <c r="O162" s="379">
        <f t="shared" si="184"/>
        <v>85.005868544600943</v>
      </c>
      <c r="P162" s="379">
        <f t="shared" si="184"/>
        <v>91.012949921752764</v>
      </c>
      <c r="Q162" s="270">
        <f t="shared" si="16"/>
        <v>0</v>
      </c>
    </row>
    <row r="163" spans="3:17" ht="13.5" thickBot="1">
      <c r="C163" s="17" t="str" cm="1">
        <f t="array" ref="C163">INDEX('List Values'!$B$2:$B$18,(1+ROUNDDOWN((ROW()-ROW($C$106))*1/6,2)))</f>
        <v>Use of Automotive Care Products</v>
      </c>
      <c r="D163" s="313" t="s">
        <v>206</v>
      </c>
      <c r="E163" s="313" t="s">
        <v>93</v>
      </c>
      <c r="F163" s="318">
        <f t="shared" ref="F163:H163" si="185">F$104/F62</f>
        <v>144.85000000000002</v>
      </c>
      <c r="G163" s="318">
        <f t="shared" si="185"/>
        <v>197.52272727272728</v>
      </c>
      <c r="H163" s="318">
        <f t="shared" si="185"/>
        <v>224.97978723404259</v>
      </c>
      <c r="I163" s="270">
        <f t="shared" si="12"/>
        <v>0</v>
      </c>
      <c r="J163" s="318">
        <f t="shared" ref="J163:L163" si="186">IFERROR(J$104/J62,"")</f>
        <v>895.14044943820238</v>
      </c>
      <c r="K163" s="318">
        <f t="shared" si="186"/>
        <v>1220.6460674157306</v>
      </c>
      <c r="L163" s="318">
        <f t="shared" si="186"/>
        <v>1390.324527850825</v>
      </c>
      <c r="M163" s="270">
        <f t="shared" si="14"/>
        <v>0</v>
      </c>
      <c r="N163" s="379">
        <f t="shared" ref="N163:P163" si="187">N$104/N62</f>
        <v>124.67527386541472</v>
      </c>
      <c r="O163" s="379">
        <f t="shared" si="187"/>
        <v>170.01173708920189</v>
      </c>
      <c r="P163" s="379">
        <f t="shared" si="187"/>
        <v>193.64457430160161</v>
      </c>
      <c r="Q163" s="270">
        <f t="shared" si="16"/>
        <v>0</v>
      </c>
    </row>
    <row r="164" spans="3:17" ht="13.5" thickBot="1">
      <c r="C164" s="17" t="str" cm="1">
        <f t="array" ref="C164">INDEX('List Values'!$B$2:$B$18,(1+ROUNDDOWN((ROW()-ROW($C$106))*1/6,2)))</f>
        <v>Use of Automotive Care Products</v>
      </c>
      <c r="D164" s="313" t="s">
        <v>94</v>
      </c>
      <c r="E164" s="313" t="s">
        <v>92</v>
      </c>
      <c r="F164" s="318">
        <f t="shared" ref="F164:H164" si="188">F$104/F63</f>
        <v>146.66666666666669</v>
      </c>
      <c r="G164" s="318">
        <f t="shared" si="188"/>
        <v>200.00000000000003</v>
      </c>
      <c r="H164" s="318">
        <f t="shared" si="188"/>
        <v>214.13333333333335</v>
      </c>
      <c r="I164" s="270">
        <f t="shared" si="12"/>
        <v>0</v>
      </c>
      <c r="J164" s="318" t="str">
        <f t="shared" ref="J164:L164" si="189">IFERROR(J$104/J63,"")</f>
        <v/>
      </c>
      <c r="K164" s="318" t="str">
        <f t="shared" si="189"/>
        <v/>
      </c>
      <c r="L164" s="318" t="str">
        <f t="shared" si="189"/>
        <v/>
      </c>
      <c r="M164" s="270">
        <f t="shared" si="14"/>
        <v>0</v>
      </c>
      <c r="N164" s="379">
        <f t="shared" ref="N164:P164" si="190">N$104/N63</f>
        <v>146.66666666666669</v>
      </c>
      <c r="O164" s="379">
        <f t="shared" si="190"/>
        <v>200.00000000000003</v>
      </c>
      <c r="P164" s="379">
        <f t="shared" si="190"/>
        <v>214.13333333333335</v>
      </c>
      <c r="Q164" s="270">
        <f t="shared" si="16"/>
        <v>0</v>
      </c>
    </row>
    <row r="165" spans="3:17" ht="13.5" thickBot="1">
      <c r="C165" s="17" t="str" cm="1">
        <f t="array" ref="C165">INDEX('List Values'!$B$2:$B$18,(1+ROUNDDOWN((ROW()-ROW($C$106))*1/6,2)))</f>
        <v>Use of Automotive Care Products</v>
      </c>
      <c r="D165" s="313" t="s">
        <v>94</v>
      </c>
      <c r="E165" s="313" t="s">
        <v>93</v>
      </c>
      <c r="F165" s="318">
        <f t="shared" ref="F165:H165" si="191">F$104/F64</f>
        <v>176</v>
      </c>
      <c r="G165" s="318">
        <f t="shared" si="191"/>
        <v>240.00000000000003</v>
      </c>
      <c r="H165" s="318">
        <f t="shared" si="191"/>
        <v>273.36170212765961</v>
      </c>
      <c r="I165" s="270">
        <f t="shared" si="12"/>
        <v>0</v>
      </c>
      <c r="J165" s="318" t="str">
        <f t="shared" ref="J165:L165" si="192">IFERROR(J$104/J64,"")</f>
        <v/>
      </c>
      <c r="K165" s="318" t="str">
        <f t="shared" si="192"/>
        <v/>
      </c>
      <c r="L165" s="318" t="str">
        <f t="shared" si="192"/>
        <v/>
      </c>
      <c r="M165" s="270">
        <f t="shared" si="14"/>
        <v>0</v>
      </c>
      <c r="N165" s="379">
        <f t="shared" ref="N165:P165" si="193">N$104/N64</f>
        <v>176</v>
      </c>
      <c r="O165" s="379">
        <f t="shared" si="193"/>
        <v>240.00000000000003</v>
      </c>
      <c r="P165" s="379">
        <f t="shared" si="193"/>
        <v>273.36170212765961</v>
      </c>
      <c r="Q165" s="270">
        <f t="shared" si="16"/>
        <v>0</v>
      </c>
    </row>
    <row r="166" spans="3:17" ht="13.5" thickBot="1">
      <c r="C166" s="17" t="str" cm="1">
        <f t="array" ref="C166">INDEX('List Values'!$B$2:$B$18,(1+ROUNDDOWN((ROW()-ROW($C$106))*1/6,2)))</f>
        <v>Textile Finishing</v>
      </c>
      <c r="D166" s="313" t="s">
        <v>74</v>
      </c>
      <c r="E166" s="308" t="s">
        <v>92</v>
      </c>
      <c r="F166" s="318">
        <f t="shared" ref="F166:H166" si="194">F$104/F65</f>
        <v>204651.16279069768</v>
      </c>
      <c r="G166" s="318">
        <f t="shared" si="194"/>
        <v>279069.76744186052</v>
      </c>
      <c r="H166" s="318">
        <f t="shared" si="194"/>
        <v>347431.04380746349</v>
      </c>
      <c r="I166" s="270">
        <f t="shared" si="12"/>
        <v>0</v>
      </c>
      <c r="J166" s="318">
        <f t="shared" ref="J166:L166" si="195">IFERROR(J$104/J65,"")</f>
        <v>214.17445482866046</v>
      </c>
      <c r="K166" s="318">
        <f t="shared" si="195"/>
        <v>292.05607476635515</v>
      </c>
      <c r="L166" s="318">
        <f t="shared" si="195"/>
        <v>363.59849308121431</v>
      </c>
      <c r="M166" s="270">
        <f t="shared" si="14"/>
        <v>0</v>
      </c>
      <c r="N166" s="379">
        <f t="shared" ref="N166:P166" si="196">N$104/N65</f>
        <v>213.95054824827989</v>
      </c>
      <c r="O166" s="379">
        <f t="shared" si="196"/>
        <v>291.75074761129076</v>
      </c>
      <c r="P166" s="379">
        <f t="shared" si="196"/>
        <v>363.21837260754501</v>
      </c>
      <c r="Q166" s="270">
        <f t="shared" si="16"/>
        <v>0</v>
      </c>
    </row>
    <row r="167" spans="3:17" ht="13.5" thickBot="1">
      <c r="C167" s="17" t="str" cm="1">
        <f t="array" ref="C167">INDEX('List Values'!$B$2:$B$18,(1+ROUNDDOWN((ROW()-ROW($C$106))*1/6,2)))</f>
        <v>Textile Finishing</v>
      </c>
      <c r="D167" s="313" t="s">
        <v>74</v>
      </c>
      <c r="E167" s="313" t="s">
        <v>93</v>
      </c>
      <c r="F167" s="318">
        <f t="shared" ref="F167:H167" si="197">F$104/F66</f>
        <v>2838709.6774193551</v>
      </c>
      <c r="G167" s="318">
        <f t="shared" si="197"/>
        <v>3870967.7419354841</v>
      </c>
      <c r="H167" s="318">
        <f t="shared" si="197"/>
        <v>4819204.8012003005</v>
      </c>
      <c r="I167" s="270">
        <f t="shared" si="12"/>
        <v>0</v>
      </c>
      <c r="J167" s="318">
        <f t="shared" ref="J167:L167" si="198">IFERROR(J$104/J66,"")</f>
        <v>428.34890965732092</v>
      </c>
      <c r="K167" s="318">
        <f t="shared" si="198"/>
        <v>584.1121495327103</v>
      </c>
      <c r="L167" s="318">
        <f t="shared" si="198"/>
        <v>727.19698616242852</v>
      </c>
      <c r="M167" s="270">
        <f t="shared" si="14"/>
        <v>0</v>
      </c>
      <c r="N167" s="379">
        <f t="shared" ref="N167:P167" si="199">N$104/N66</f>
        <v>428.28428342685834</v>
      </c>
      <c r="O167" s="379">
        <f t="shared" si="199"/>
        <v>584.02402285480673</v>
      </c>
      <c r="P167" s="379">
        <f t="shared" si="199"/>
        <v>727.0872718642014</v>
      </c>
      <c r="Q167" s="270">
        <f t="shared" si="16"/>
        <v>0</v>
      </c>
    </row>
    <row r="168" spans="3:17" ht="13.5" thickBot="1">
      <c r="C168" s="17" t="str" cm="1">
        <f t="array" ref="C168">INDEX('List Values'!$B$2:$B$18,(1+ROUNDDOWN((ROW()-ROW($C$106))*1/6,2)))</f>
        <v>Textile Finishing</v>
      </c>
      <c r="D168" s="313" t="s">
        <v>206</v>
      </c>
      <c r="E168" s="313" t="s">
        <v>92</v>
      </c>
      <c r="F168" s="318">
        <f t="shared" ref="F168:H168" si="200">F$104/F67</f>
        <v>185273.25581395352</v>
      </c>
      <c r="G168" s="318">
        <f t="shared" si="200"/>
        <v>252645.34883720931</v>
      </c>
      <c r="H168" s="318">
        <f t="shared" si="200"/>
        <v>314533.66684694437</v>
      </c>
      <c r="I168" s="270">
        <f t="shared" si="12"/>
        <v>0</v>
      </c>
      <c r="J168" s="318">
        <f t="shared" ref="J168:L168" si="201">IFERROR(J$104/J67,"")</f>
        <v>233.10949204119854</v>
      </c>
      <c r="K168" s="318">
        <f t="shared" si="201"/>
        <v>317.87658005617982</v>
      </c>
      <c r="L168" s="318">
        <f t="shared" si="201"/>
        <v>395.74402137226724</v>
      </c>
      <c r="M168" s="270">
        <f t="shared" si="14"/>
        <v>0</v>
      </c>
      <c r="N168" s="379">
        <f t="shared" ref="N168:P168" si="202">N$104/N67</f>
        <v>232.81656389725009</v>
      </c>
      <c r="O168" s="379">
        <f t="shared" si="202"/>
        <v>317.47713258715919</v>
      </c>
      <c r="P168" s="379">
        <f t="shared" si="202"/>
        <v>395.24672475579672</v>
      </c>
      <c r="Q168" s="270">
        <f t="shared" si="16"/>
        <v>0</v>
      </c>
    </row>
    <row r="169" spans="3:17" ht="13.5" thickBot="1">
      <c r="C169" s="17" t="str" cm="1">
        <f t="array" ref="C169">INDEX('List Values'!$B$2:$B$18,(1+ROUNDDOWN((ROW()-ROW($C$106))*1/6,2)))</f>
        <v>Textile Finishing</v>
      </c>
      <c r="D169" s="313" t="s">
        <v>206</v>
      </c>
      <c r="E169" s="313" t="s">
        <v>93</v>
      </c>
      <c r="F169" s="318">
        <f t="shared" ref="F169:H169" si="203">F$104/F68</f>
        <v>2569919.3548387103</v>
      </c>
      <c r="G169" s="318">
        <f t="shared" si="203"/>
        <v>3504435.4838709682</v>
      </c>
      <c r="H169" s="318">
        <f t="shared" si="203"/>
        <v>4362886.3465866474</v>
      </c>
      <c r="I169" s="270">
        <f t="shared" si="12"/>
        <v>0</v>
      </c>
      <c r="J169" s="318">
        <f t="shared" ref="J169:L169" si="204">IFERROR(J$104/J68,"")</f>
        <v>466.21898408239707</v>
      </c>
      <c r="K169" s="318">
        <f t="shared" si="204"/>
        <v>635.75316011235964</v>
      </c>
      <c r="L169" s="318">
        <f t="shared" si="204"/>
        <v>791.48804274453448</v>
      </c>
      <c r="M169" s="270">
        <f t="shared" si="14"/>
        <v>0</v>
      </c>
      <c r="N169" s="379">
        <f t="shared" ref="N169:P169" si="205">N$104/N68</f>
        <v>466.1344208389163</v>
      </c>
      <c r="O169" s="379">
        <f t="shared" si="205"/>
        <v>635.63784659852217</v>
      </c>
      <c r="P169" s="379">
        <f t="shared" si="205"/>
        <v>791.34448188932288</v>
      </c>
      <c r="Q169" s="270">
        <f t="shared" si="16"/>
        <v>0</v>
      </c>
    </row>
    <row r="170" spans="3:17" ht="13.5" thickBot="1">
      <c r="C170" s="17" t="str" cm="1">
        <f t="array" ref="C170">INDEX('List Values'!$B$2:$B$18,(1+ROUNDDOWN((ROW()-ROW($C$106))*1/6,2)))</f>
        <v>Textile Finishing</v>
      </c>
      <c r="D170" s="313" t="s">
        <v>94</v>
      </c>
      <c r="E170" s="313" t="s">
        <v>92</v>
      </c>
      <c r="F170" s="318">
        <f t="shared" ref="F170:H170" si="206">F$104/F69</f>
        <v>2838709.6774193551</v>
      </c>
      <c r="G170" s="318">
        <f t="shared" si="206"/>
        <v>3870967.7419354841</v>
      </c>
      <c r="H170" s="318">
        <f t="shared" si="206"/>
        <v>4819204.8012003005</v>
      </c>
      <c r="I170" s="270">
        <f t="shared" ref="I170:I201" si="207">I$104*I69</f>
        <v>0</v>
      </c>
      <c r="J170" s="318">
        <f t="shared" ref="J170:L170" si="208">IFERROR(J$104/J69,"")</f>
        <v>428.34890965732092</v>
      </c>
      <c r="K170" s="318">
        <f t="shared" si="208"/>
        <v>584.1121495327103</v>
      </c>
      <c r="L170" s="318">
        <f t="shared" si="208"/>
        <v>727.19698616242863</v>
      </c>
      <c r="M170" s="270">
        <f t="shared" ref="M170:M201" si="209">IFERROR(M$104*M69,"")</f>
        <v>0</v>
      </c>
      <c r="N170" s="379">
        <f t="shared" ref="N170:P170" si="210">N$104/N69</f>
        <v>428.28428342685834</v>
      </c>
      <c r="O170" s="379">
        <f t="shared" si="210"/>
        <v>584.02402285480673</v>
      </c>
      <c r="P170" s="379">
        <f t="shared" si="210"/>
        <v>727.08727186420151</v>
      </c>
      <c r="Q170" s="270">
        <f t="shared" ref="Q170:Q201" si="211">Q$104*Q69</f>
        <v>0</v>
      </c>
    </row>
    <row r="171" spans="3:17" ht="13.5" thickBot="1">
      <c r="C171" s="17" t="str" cm="1">
        <f t="array" ref="C171">INDEX('List Values'!$B$2:$B$18,(1+ROUNDDOWN((ROW()-ROW($C$106))*1/6,2)))</f>
        <v>Textile Finishing</v>
      </c>
      <c r="D171" s="313" t="s">
        <v>94</v>
      </c>
      <c r="E171" s="313" t="s">
        <v>93</v>
      </c>
      <c r="F171" s="318">
        <f t="shared" ref="F171:H171" si="212">F$104/F70</f>
        <v>2838709.6774193551</v>
      </c>
      <c r="G171" s="318">
        <f t="shared" si="212"/>
        <v>3870967.7419354841</v>
      </c>
      <c r="H171" s="318">
        <f t="shared" si="212"/>
        <v>4819204.8012003005</v>
      </c>
      <c r="I171" s="270">
        <f t="shared" si="207"/>
        <v>0</v>
      </c>
      <c r="J171" s="318">
        <f t="shared" ref="J171:L171" si="213">IFERROR(J$104/J70,"")</f>
        <v>428.34890965732092</v>
      </c>
      <c r="K171" s="318">
        <f t="shared" si="213"/>
        <v>584.1121495327103</v>
      </c>
      <c r="L171" s="318">
        <f t="shared" si="213"/>
        <v>727.19698616242852</v>
      </c>
      <c r="M171" s="270">
        <f t="shared" si="209"/>
        <v>0</v>
      </c>
      <c r="N171" s="379">
        <f t="shared" ref="N171:P171" si="214">N$104/N70</f>
        <v>428.28428342685834</v>
      </c>
      <c r="O171" s="379">
        <f t="shared" si="214"/>
        <v>584.02402285480673</v>
      </c>
      <c r="P171" s="379">
        <f t="shared" si="214"/>
        <v>727.0872718642014</v>
      </c>
      <c r="Q171" s="270">
        <f t="shared" si="211"/>
        <v>0</v>
      </c>
    </row>
    <row r="172" spans="3:17" ht="13.5" thickBot="1">
      <c r="C172" s="17" t="str" cm="1">
        <f t="array" ref="C172">INDEX('List Values'!$B$2:$B$18,(1+ROUNDDOWN((ROW()-ROW($C$106))*1/6,2)))</f>
        <v>Formulation for Diffusion Bonding</v>
      </c>
      <c r="D172" s="313" t="s">
        <v>74</v>
      </c>
      <c r="E172" s="308" t="s">
        <v>92</v>
      </c>
      <c r="F172" s="318">
        <f t="shared" ref="F172:H172" si="215">F$104/F71</f>
        <v>1.1055276381909549</v>
      </c>
      <c r="G172" s="318">
        <f t="shared" si="215"/>
        <v>1.5075376884422114</v>
      </c>
      <c r="H172" s="318">
        <f t="shared" si="215"/>
        <v>1.6140703517587944</v>
      </c>
      <c r="I172" s="270">
        <f t="shared" si="207"/>
        <v>0</v>
      </c>
      <c r="J172" s="318">
        <f t="shared" ref="J172:L172" si="216">IFERROR(J$104/J71,"")</f>
        <v>411.21495327102804</v>
      </c>
      <c r="K172" s="318">
        <f t="shared" si="216"/>
        <v>560.74766355140196</v>
      </c>
      <c r="L172" s="318">
        <f t="shared" si="216"/>
        <v>600.37383177570086</v>
      </c>
      <c r="M172" s="270">
        <f t="shared" si="209"/>
        <v>0</v>
      </c>
      <c r="N172" s="379">
        <f t="shared" ref="N172:P172" si="217">N$104/N71</f>
        <v>1.1025634600446039</v>
      </c>
      <c r="O172" s="379">
        <f t="shared" si="217"/>
        <v>1.5034956273335509</v>
      </c>
      <c r="P172" s="379">
        <f t="shared" si="217"/>
        <v>1.6097426516651219</v>
      </c>
      <c r="Q172" s="270">
        <f t="shared" si="211"/>
        <v>0</v>
      </c>
    </row>
    <row r="173" spans="3:17" ht="13.5" thickBot="1">
      <c r="C173" s="17" t="str" cm="1">
        <f t="array" ref="C173">INDEX('List Values'!$B$2:$B$18,(1+ROUNDDOWN((ROW()-ROW($C$106))*1/6,2)))</f>
        <v>Formulation for Diffusion Bonding</v>
      </c>
      <c r="D173" s="313" t="s">
        <v>74</v>
      </c>
      <c r="E173" s="313" t="s">
        <v>93</v>
      </c>
      <c r="F173" s="318">
        <f t="shared" ref="F173:H173" si="218">F$104/F72</f>
        <v>25.882352941176471</v>
      </c>
      <c r="G173" s="318">
        <f t="shared" si="218"/>
        <v>35.294117647058826</v>
      </c>
      <c r="H173" s="318">
        <f t="shared" si="218"/>
        <v>37.788235294117655</v>
      </c>
      <c r="I173" s="270">
        <f t="shared" si="207"/>
        <v>0</v>
      </c>
      <c r="J173" s="318">
        <f t="shared" ref="J173:L173" si="219">IFERROR(J$104/J72,"")</f>
        <v>822.42990654205607</v>
      </c>
      <c r="K173" s="318">
        <f t="shared" si="219"/>
        <v>1121.4953271028039</v>
      </c>
      <c r="L173" s="318">
        <f t="shared" si="219"/>
        <v>1200.7476635514017</v>
      </c>
      <c r="M173" s="270">
        <f t="shared" si="209"/>
        <v>0</v>
      </c>
      <c r="N173" s="379">
        <f t="shared" ref="N173:P173" si="220">N$104/N72</f>
        <v>25.092671799258628</v>
      </c>
      <c r="O173" s="379">
        <f t="shared" si="220"/>
        <v>34.217279726261765</v>
      </c>
      <c r="P173" s="379">
        <f t="shared" si="220"/>
        <v>36.6353008269176</v>
      </c>
      <c r="Q173" s="270">
        <f t="shared" si="211"/>
        <v>0</v>
      </c>
    </row>
    <row r="174" spans="3:17" ht="13.5" thickBot="1">
      <c r="C174" s="17" t="str" cm="1">
        <f t="array" ref="C174">INDEX('List Values'!$B$2:$B$18,(1+ROUNDDOWN((ROW()-ROW($C$106))*1/6,2)))</f>
        <v>Formulation for Diffusion Bonding</v>
      </c>
      <c r="D174" s="313" t="s">
        <v>206</v>
      </c>
      <c r="E174" s="313" t="s">
        <v>92</v>
      </c>
      <c r="F174" s="318">
        <f t="shared" ref="F174:H174" si="221">F$104/F73</f>
        <v>1.0008479899497491</v>
      </c>
      <c r="G174" s="318">
        <f t="shared" si="221"/>
        <v>1.3647927135678399</v>
      </c>
      <c r="H174" s="318">
        <f t="shared" si="221"/>
        <v>1.4612380653266335</v>
      </c>
      <c r="I174" s="270">
        <f t="shared" si="207"/>
        <v>0</v>
      </c>
      <c r="J174" s="318">
        <f t="shared" ref="J174:L174" si="222">IFERROR(J$104/J73,"")</f>
        <v>447.57022471910119</v>
      </c>
      <c r="K174" s="318">
        <f t="shared" si="222"/>
        <v>610.32303370786531</v>
      </c>
      <c r="L174" s="318">
        <f t="shared" si="222"/>
        <v>653.45252808988766</v>
      </c>
      <c r="M174" s="270">
        <f t="shared" si="209"/>
        <v>0</v>
      </c>
      <c r="N174" s="379">
        <f t="shared" ref="N174:P174" si="223">N$104/N73</f>
        <v>0.99861490636516381</v>
      </c>
      <c r="O174" s="379">
        <f t="shared" si="223"/>
        <v>1.3617475995888597</v>
      </c>
      <c r="P174" s="379">
        <f t="shared" si="223"/>
        <v>1.457977763293139</v>
      </c>
      <c r="Q174" s="270">
        <f t="shared" si="211"/>
        <v>0</v>
      </c>
    </row>
    <row r="175" spans="3:17" ht="13.5" thickBot="1">
      <c r="C175" s="17" t="str" cm="1">
        <f t="array" ref="C175">INDEX('List Values'!$B$2:$B$18,(1+ROUNDDOWN((ROW()-ROW($C$106))*1/6,2)))</f>
        <v>Formulation for Diffusion Bonding</v>
      </c>
      <c r="D175" s="313" t="s">
        <v>206</v>
      </c>
      <c r="E175" s="313" t="s">
        <v>93</v>
      </c>
      <c r="F175" s="318">
        <f t="shared" ref="F175:H175" si="224">F$104/F74</f>
        <v>23.431617647058825</v>
      </c>
      <c r="G175" s="318">
        <f t="shared" si="224"/>
        <v>31.952205882352946</v>
      </c>
      <c r="H175" s="318">
        <f t="shared" si="224"/>
        <v>34.21016176470588</v>
      </c>
      <c r="I175" s="270">
        <f t="shared" si="207"/>
        <v>0</v>
      </c>
      <c r="J175" s="318">
        <f t="shared" ref="J175:L175" si="225">IFERROR(J$104/J74,"")</f>
        <v>895.14044943820238</v>
      </c>
      <c r="K175" s="318">
        <f t="shared" si="225"/>
        <v>1220.6460674157306</v>
      </c>
      <c r="L175" s="318">
        <f t="shared" si="225"/>
        <v>1306.9050561797753</v>
      </c>
      <c r="M175" s="270">
        <f t="shared" si="209"/>
        <v>0</v>
      </c>
      <c r="N175" s="379">
        <f t="shared" ref="N175:P175" si="226">N$104/N74</f>
        <v>22.833906563485243</v>
      </c>
      <c r="O175" s="379">
        <f t="shared" si="226"/>
        <v>31.137145313843515</v>
      </c>
      <c r="P175" s="379">
        <f t="shared" si="226"/>
        <v>33.337503582688448</v>
      </c>
      <c r="Q175" s="270">
        <f t="shared" si="211"/>
        <v>0</v>
      </c>
    </row>
    <row r="176" spans="3:17" ht="13.5" thickBot="1">
      <c r="C176" s="17" t="str" cm="1">
        <f t="array" ref="C176">INDEX('List Values'!$B$2:$B$18,(1+ROUNDDOWN((ROW()-ROW($C$106))*1/6,2)))</f>
        <v>Formulation for Diffusion Bonding</v>
      </c>
      <c r="D176" s="313" t="s">
        <v>94</v>
      </c>
      <c r="E176" s="313" t="s">
        <v>92</v>
      </c>
      <c r="F176" s="318">
        <f t="shared" ref="F176:H176" si="227">F$104/F75</f>
        <v>25.882352941176471</v>
      </c>
      <c r="G176" s="318">
        <f t="shared" si="227"/>
        <v>35.294117647058826</v>
      </c>
      <c r="H176" s="318">
        <f t="shared" si="227"/>
        <v>37.788235294117655</v>
      </c>
      <c r="I176" s="270">
        <f t="shared" si="207"/>
        <v>0</v>
      </c>
      <c r="J176" s="318" t="str">
        <f t="shared" ref="J176:L176" si="228">IFERROR(J$104/J75,"")</f>
        <v/>
      </c>
      <c r="K176" s="318" t="str">
        <f t="shared" si="228"/>
        <v/>
      </c>
      <c r="L176" s="318" t="str">
        <f t="shared" si="228"/>
        <v/>
      </c>
      <c r="M176" s="270">
        <f t="shared" si="209"/>
        <v>0</v>
      </c>
      <c r="N176" s="379">
        <f t="shared" ref="N176:P176" si="229">N$104/N75</f>
        <v>25.882352941176471</v>
      </c>
      <c r="O176" s="379">
        <f t="shared" si="229"/>
        <v>35.294117647058826</v>
      </c>
      <c r="P176" s="379">
        <f t="shared" si="229"/>
        <v>37.788235294117655</v>
      </c>
      <c r="Q176" s="270">
        <f t="shared" si="211"/>
        <v>0</v>
      </c>
    </row>
    <row r="177" spans="3:17" ht="13.5" thickBot="1">
      <c r="C177" s="17" t="str" cm="1">
        <f t="array" ref="C177">INDEX('List Values'!$B$2:$B$18,(1+ROUNDDOWN((ROW()-ROW($C$106))*1/6,2)))</f>
        <v>Formulation for Diffusion Bonding</v>
      </c>
      <c r="D177" s="313" t="s">
        <v>94</v>
      </c>
      <c r="E177" s="313" t="s">
        <v>93</v>
      </c>
      <c r="F177" s="318">
        <f t="shared" ref="F177:H177" si="230">F$104/F76</f>
        <v>25.882352941176471</v>
      </c>
      <c r="G177" s="318">
        <f t="shared" si="230"/>
        <v>35.294117647058826</v>
      </c>
      <c r="H177" s="318">
        <f t="shared" si="230"/>
        <v>37.788235294117655</v>
      </c>
      <c r="I177" s="270">
        <f t="shared" si="207"/>
        <v>0</v>
      </c>
      <c r="J177" s="318" t="str">
        <f t="shared" ref="J177:L177" si="231">IFERROR(J$104/J76,"")</f>
        <v/>
      </c>
      <c r="K177" s="318" t="str">
        <f t="shared" si="231"/>
        <v/>
      </c>
      <c r="L177" s="318" t="str">
        <f t="shared" si="231"/>
        <v/>
      </c>
      <c r="M177" s="270">
        <f t="shared" si="209"/>
        <v>0</v>
      </c>
      <c r="N177" s="379">
        <f t="shared" ref="N177:P177" si="232">N$104/N76</f>
        <v>25.882352941176471</v>
      </c>
      <c r="O177" s="379">
        <f t="shared" si="232"/>
        <v>35.294117647058826</v>
      </c>
      <c r="P177" s="379">
        <f t="shared" si="232"/>
        <v>37.788235294117655</v>
      </c>
      <c r="Q177" s="270">
        <f t="shared" si="211"/>
        <v>0</v>
      </c>
    </row>
    <row r="178" spans="3:17" ht="13.5" thickBot="1">
      <c r="C178" s="17" t="str" cm="1">
        <f t="array" ref="C178">INDEX('List Values'!$B$2:$B$18,(1+ROUNDDOWN((ROW()-ROW($C$106))*1/6,2)))</f>
        <v>Use in Hydraulic Fracturing</v>
      </c>
      <c r="D178" s="313" t="s">
        <v>74</v>
      </c>
      <c r="E178" s="308" t="s">
        <v>92</v>
      </c>
      <c r="F178" s="318">
        <f t="shared" ref="F178:H178" si="233">F$104/F77</f>
        <v>400.00000000000006</v>
      </c>
      <c r="G178" s="318">
        <f t="shared" si="233"/>
        <v>4000</v>
      </c>
      <c r="H178" s="318">
        <f t="shared" si="233"/>
        <v>48666.666666666664</v>
      </c>
      <c r="I178" s="270">
        <f t="shared" si="207"/>
        <v>0</v>
      </c>
      <c r="J178" s="318">
        <f t="shared" ref="J178:L178" si="234">IFERROR(J$104/J77,"")</f>
        <v>411.21495327102804</v>
      </c>
      <c r="K178" s="318">
        <f t="shared" si="234"/>
        <v>4112.1495327102803</v>
      </c>
      <c r="L178" s="318">
        <f t="shared" si="234"/>
        <v>50031.152647975076</v>
      </c>
      <c r="M178" s="270">
        <f t="shared" si="209"/>
        <v>0</v>
      </c>
      <c r="N178" s="379">
        <f t="shared" ref="N178:P178" si="235">N$104/N77</f>
        <v>202.76497695852535</v>
      </c>
      <c r="O178" s="379">
        <f t="shared" si="235"/>
        <v>2027.6497695852536</v>
      </c>
      <c r="P178" s="379">
        <f t="shared" si="235"/>
        <v>24669.738863287246</v>
      </c>
      <c r="Q178" s="270">
        <f t="shared" si="211"/>
        <v>0</v>
      </c>
    </row>
    <row r="179" spans="3:17" ht="13.5" thickBot="1">
      <c r="C179" s="17" t="str" cm="1">
        <f t="array" ref="C179">INDEX('List Values'!$B$2:$B$18,(1+ROUNDDOWN((ROW()-ROW($C$106))*1/6,2)))</f>
        <v>Use in Hydraulic Fracturing</v>
      </c>
      <c r="D179" s="313" t="s">
        <v>74</v>
      </c>
      <c r="E179" s="313" t="s">
        <v>93</v>
      </c>
      <c r="F179" s="318">
        <f t="shared" ref="F179:H179" si="236">F$104/F78</f>
        <v>733.33333333333337</v>
      </c>
      <c r="G179" s="318">
        <f t="shared" si="236"/>
        <v>22000</v>
      </c>
      <c r="H179" s="318">
        <f t="shared" si="236"/>
        <v>267666.66666666669</v>
      </c>
      <c r="I179" s="270">
        <f t="shared" si="207"/>
        <v>0</v>
      </c>
      <c r="J179" s="318">
        <f t="shared" ref="J179:L179" si="237">IFERROR(J$104/J78,"")</f>
        <v>822.42990654205607</v>
      </c>
      <c r="K179" s="318">
        <f t="shared" si="237"/>
        <v>24672.897196261682</v>
      </c>
      <c r="L179" s="318">
        <f t="shared" si="237"/>
        <v>300186.91588785045</v>
      </c>
      <c r="M179" s="270">
        <f t="shared" si="209"/>
        <v>0</v>
      </c>
      <c r="N179" s="379">
        <f t="shared" ref="N179:P179" si="238">N$104/N78</f>
        <v>387.66519823788548</v>
      </c>
      <c r="O179" s="379">
        <f t="shared" si="238"/>
        <v>11629.955947136563</v>
      </c>
      <c r="P179" s="379">
        <f t="shared" si="238"/>
        <v>141497.7973568282</v>
      </c>
      <c r="Q179" s="270">
        <f t="shared" si="211"/>
        <v>0</v>
      </c>
    </row>
    <row r="180" spans="3:17" ht="13.5" thickBot="1">
      <c r="C180" s="17" t="str" cm="1">
        <f t="array" ref="C180">INDEX('List Values'!$B$2:$B$18,(1+ROUNDDOWN((ROW()-ROW($C$106))*1/6,2)))</f>
        <v>Use in Hydraulic Fracturing</v>
      </c>
      <c r="D180" s="313" t="s">
        <v>206</v>
      </c>
      <c r="E180" s="313" t="s">
        <v>92</v>
      </c>
      <c r="F180" s="318">
        <f t="shared" ref="F180:H180" si="239">F$104/F79</f>
        <v>362.12500000000017</v>
      </c>
      <c r="G180" s="318">
        <f t="shared" si="239"/>
        <v>3621.2500000000023</v>
      </c>
      <c r="H180" s="318">
        <f t="shared" si="239"/>
        <v>44058.541666666693</v>
      </c>
      <c r="I180" s="270">
        <f t="shared" si="207"/>
        <v>0</v>
      </c>
      <c r="J180" s="318">
        <f t="shared" ref="J180:L180" si="240">IFERROR(J$104/J79,"")</f>
        <v>447.57022471910119</v>
      </c>
      <c r="K180" s="318">
        <f t="shared" si="240"/>
        <v>4475.7022471910113</v>
      </c>
      <c r="L180" s="318">
        <f t="shared" si="240"/>
        <v>54454.377340823972</v>
      </c>
      <c r="M180" s="270">
        <f t="shared" si="209"/>
        <v>0</v>
      </c>
      <c r="N180" s="379">
        <f t="shared" ref="N180:P180" si="241">N$104/N79</f>
        <v>200.16959798994981</v>
      </c>
      <c r="O180" s="379">
        <f t="shared" si="241"/>
        <v>2001.6959798994983</v>
      </c>
      <c r="P180" s="379">
        <f t="shared" si="241"/>
        <v>24353.967755443897</v>
      </c>
      <c r="Q180" s="270">
        <f t="shared" si="211"/>
        <v>0</v>
      </c>
    </row>
    <row r="181" spans="3:17" ht="13.5" thickBot="1">
      <c r="C181" s="17" t="str" cm="1">
        <f t="array" ref="C181">INDEX('List Values'!$B$2:$B$18,(1+ROUNDDOWN((ROW()-ROW($C$106))*1/6,2)))</f>
        <v>Use in Hydraulic Fracturing</v>
      </c>
      <c r="D181" s="313" t="s">
        <v>206</v>
      </c>
      <c r="E181" s="313" t="s">
        <v>93</v>
      </c>
      <c r="F181" s="318">
        <f t="shared" ref="F181:H181" si="242">F$104/F80</f>
        <v>663.89583333333348</v>
      </c>
      <c r="G181" s="318">
        <f t="shared" si="242"/>
        <v>19916.875000000004</v>
      </c>
      <c r="H181" s="318">
        <f t="shared" si="242"/>
        <v>242321.97916666672</v>
      </c>
      <c r="I181" s="270">
        <f t="shared" si="207"/>
        <v>0</v>
      </c>
      <c r="J181" s="318">
        <f t="shared" ref="J181:L181" si="243">IFERROR(J$104/J80,"")</f>
        <v>895.14044943820238</v>
      </c>
      <c r="K181" s="318">
        <f t="shared" si="243"/>
        <v>26854.213483146068</v>
      </c>
      <c r="L181" s="318">
        <f t="shared" si="243"/>
        <v>326726.26404494385</v>
      </c>
      <c r="M181" s="270">
        <f t="shared" si="209"/>
        <v>0</v>
      </c>
      <c r="N181" s="379">
        <f t="shared" ref="N181:P181" si="244">N$104/N80</f>
        <v>381.18421052631584</v>
      </c>
      <c r="O181" s="379">
        <f t="shared" si="244"/>
        <v>11435.526315789477</v>
      </c>
      <c r="P181" s="379">
        <f t="shared" si="244"/>
        <v>139132.23684210531</v>
      </c>
      <c r="Q181" s="270">
        <f t="shared" si="211"/>
        <v>0</v>
      </c>
    </row>
    <row r="182" spans="3:17" ht="13.5" thickBot="1">
      <c r="C182" s="17" t="str" cm="1">
        <f t="array" ref="C182">INDEX('List Values'!$B$2:$B$18,(1+ROUNDDOWN((ROW()-ROW($C$106))*1/6,2)))</f>
        <v>Use in Hydraulic Fracturing</v>
      </c>
      <c r="D182" s="313" t="s">
        <v>94</v>
      </c>
      <c r="E182" s="313" t="s">
        <v>92</v>
      </c>
      <c r="F182" s="318">
        <f t="shared" ref="F182:H182" si="245">F$104/F81</f>
        <v>733.33333333333337</v>
      </c>
      <c r="G182" s="318">
        <f t="shared" si="245"/>
        <v>7333.333333333333</v>
      </c>
      <c r="H182" s="318">
        <f t="shared" si="245"/>
        <v>89222.222222222219</v>
      </c>
      <c r="I182" s="270">
        <f t="shared" si="207"/>
        <v>0</v>
      </c>
      <c r="J182" s="318" t="str">
        <f t="shared" ref="J182:L182" si="246">IFERROR(J$104/J81,"")</f>
        <v/>
      </c>
      <c r="K182" s="318" t="str">
        <f t="shared" si="246"/>
        <v/>
      </c>
      <c r="L182" s="318" t="str">
        <f t="shared" si="246"/>
        <v/>
      </c>
      <c r="M182" s="270">
        <f t="shared" si="209"/>
        <v>0</v>
      </c>
      <c r="N182" s="379">
        <f t="shared" ref="N182:P182" si="247">N$104/N81</f>
        <v>733.33333333333337</v>
      </c>
      <c r="O182" s="379">
        <f t="shared" si="247"/>
        <v>7333.333333333333</v>
      </c>
      <c r="P182" s="379">
        <f t="shared" si="247"/>
        <v>89222.222222222219</v>
      </c>
      <c r="Q182" s="270">
        <f t="shared" si="211"/>
        <v>0</v>
      </c>
    </row>
    <row r="183" spans="3:17" ht="13.5" thickBot="1">
      <c r="C183" s="17" t="str" cm="1">
        <f t="array" ref="C183">INDEX('List Values'!$B$2:$B$18,(1+ROUNDDOWN((ROW()-ROW($C$106))*1/6,2)))</f>
        <v>Use in Hydraulic Fracturing</v>
      </c>
      <c r="D183" s="313" t="s">
        <v>94</v>
      </c>
      <c r="E183" s="313" t="s">
        <v>93</v>
      </c>
      <c r="F183" s="318">
        <f t="shared" ref="F183:H183" si="248">F$104/F82</f>
        <v>733.33333333333337</v>
      </c>
      <c r="G183" s="318">
        <f t="shared" si="248"/>
        <v>22000</v>
      </c>
      <c r="H183" s="318">
        <f t="shared" si="248"/>
        <v>267666.66666666669</v>
      </c>
      <c r="I183" s="270">
        <f t="shared" si="207"/>
        <v>0</v>
      </c>
      <c r="J183" s="318" t="str">
        <f t="shared" ref="J183:L183" si="249">IFERROR(J$104/J82,"")</f>
        <v/>
      </c>
      <c r="K183" s="318" t="str">
        <f t="shared" si="249"/>
        <v/>
      </c>
      <c r="L183" s="318" t="str">
        <f t="shared" si="249"/>
        <v/>
      </c>
      <c r="M183" s="270">
        <f t="shared" si="209"/>
        <v>0</v>
      </c>
      <c r="N183" s="379">
        <f t="shared" ref="N183:P183" si="250">N$104/N82</f>
        <v>733.33333333333337</v>
      </c>
      <c r="O183" s="379">
        <f t="shared" si="250"/>
        <v>22000</v>
      </c>
      <c r="P183" s="379">
        <f t="shared" si="250"/>
        <v>267666.66666666669</v>
      </c>
      <c r="Q183" s="270">
        <f t="shared" si="211"/>
        <v>0</v>
      </c>
    </row>
    <row r="184" spans="3:17" ht="13.5" thickBot="1">
      <c r="C184" s="17" t="str" cm="1">
        <f t="array" ref="C184">INDEX('List Values'!$B$2:$B$18,(1+ROUNDDOWN((ROW()-ROW($C$106))*1/6,2)))</f>
        <v>Use of Laboratory Chemicals</v>
      </c>
      <c r="D184" s="313" t="s">
        <v>74</v>
      </c>
      <c r="E184" s="308" t="s">
        <v>92</v>
      </c>
      <c r="F184" s="318">
        <f t="shared" ref="F184:H184" si="251">F$104/F83</f>
        <v>88</v>
      </c>
      <c r="G184" s="318">
        <f t="shared" si="251"/>
        <v>120.00000000000001</v>
      </c>
      <c r="H184" s="318">
        <f t="shared" si="251"/>
        <v>128.48000000000002</v>
      </c>
      <c r="I184" s="270">
        <f t="shared" si="207"/>
        <v>0</v>
      </c>
      <c r="J184" s="318">
        <f t="shared" ref="J184:L184" si="252">IFERROR(J$104/J83,"")</f>
        <v>214.17445482866046</v>
      </c>
      <c r="K184" s="318">
        <f t="shared" si="252"/>
        <v>292.05607476635515</v>
      </c>
      <c r="L184" s="318">
        <f t="shared" si="252"/>
        <v>312.69470404984423</v>
      </c>
      <c r="M184" s="270">
        <f t="shared" si="209"/>
        <v>0</v>
      </c>
      <c r="N184" s="379">
        <f t="shared" ref="N184:P184" si="253">N$104/N83</f>
        <v>62.372420049897947</v>
      </c>
      <c r="O184" s="379">
        <f t="shared" si="253"/>
        <v>85.053300068042645</v>
      </c>
      <c r="P184" s="379">
        <f t="shared" si="253"/>
        <v>91.063733272850996</v>
      </c>
      <c r="Q184" s="270">
        <f t="shared" si="211"/>
        <v>0</v>
      </c>
    </row>
    <row r="185" spans="3:17" ht="13.5" thickBot="1">
      <c r="C185" s="17" t="str" cm="1">
        <f t="array" ref="C185">INDEX('List Values'!$B$2:$B$18,(1+ROUNDDOWN((ROW()-ROW($C$106))*1/6,2)))</f>
        <v>Use of Laboratory Chemicals</v>
      </c>
      <c r="D185" s="313" t="s">
        <v>74</v>
      </c>
      <c r="E185" s="313" t="s">
        <v>93</v>
      </c>
      <c r="F185" s="318">
        <f t="shared" ref="F185:H185" si="254">F$104/F84</f>
        <v>880</v>
      </c>
      <c r="G185" s="318">
        <f t="shared" si="254"/>
        <v>1200.0000000000002</v>
      </c>
      <c r="H185" s="318">
        <f t="shared" si="254"/>
        <v>1366.8085106382978</v>
      </c>
      <c r="I185" s="270">
        <f t="shared" si="207"/>
        <v>0</v>
      </c>
      <c r="J185" s="318">
        <f t="shared" ref="J185:L185" si="255">IFERROR(J$104/J84,"")</f>
        <v>428.34890965732092</v>
      </c>
      <c r="K185" s="318">
        <f t="shared" si="255"/>
        <v>584.1121495327103</v>
      </c>
      <c r="L185" s="318">
        <f t="shared" si="255"/>
        <v>665.30788095711546</v>
      </c>
      <c r="M185" s="270">
        <f t="shared" si="209"/>
        <v>0</v>
      </c>
      <c r="N185" s="379">
        <f t="shared" ref="N185:P185" si="256">N$104/N84</f>
        <v>288.10895756940806</v>
      </c>
      <c r="O185" s="379">
        <f t="shared" si="256"/>
        <v>392.87585123101104</v>
      </c>
      <c r="P185" s="379">
        <f t="shared" si="256"/>
        <v>447.48838090567637</v>
      </c>
      <c r="Q185" s="270">
        <f t="shared" si="211"/>
        <v>0</v>
      </c>
    </row>
    <row r="186" spans="3:17" ht="13.5" thickBot="1">
      <c r="C186" s="17" t="str" cm="1">
        <f t="array" ref="C186">INDEX('List Values'!$B$2:$B$18,(1+ROUNDDOWN((ROW()-ROW($C$106))*1/6,2)))</f>
        <v>Use of Laboratory Chemicals</v>
      </c>
      <c r="D186" s="313" t="s">
        <v>206</v>
      </c>
      <c r="E186" s="313" t="s">
        <v>92</v>
      </c>
      <c r="F186" s="318">
        <f t="shared" ref="F186:H186" si="257">F$104/F85</f>
        <v>79.667500000000018</v>
      </c>
      <c r="G186" s="318">
        <f t="shared" si="257"/>
        <v>108.63750000000003</v>
      </c>
      <c r="H186" s="318">
        <f t="shared" si="257"/>
        <v>116.31455000000001</v>
      </c>
      <c r="I186" s="270">
        <f t="shared" si="207"/>
        <v>0</v>
      </c>
      <c r="J186" s="318">
        <f t="shared" ref="J186:L186" si="258">IFERROR(J$104/J85,"")</f>
        <v>233.10949204119854</v>
      </c>
      <c r="K186" s="318">
        <f t="shared" si="258"/>
        <v>317.87658005617982</v>
      </c>
      <c r="L186" s="318">
        <f t="shared" si="258"/>
        <v>340.33985838014991</v>
      </c>
      <c r="M186" s="270">
        <f t="shared" si="209"/>
        <v>0</v>
      </c>
      <c r="N186" s="379">
        <f t="shared" ref="N186:P186" si="259">N$104/N85</f>
        <v>59.375372644884337</v>
      </c>
      <c r="O186" s="379">
        <f t="shared" si="259"/>
        <v>80.966417243024111</v>
      </c>
      <c r="P186" s="379">
        <f t="shared" si="259"/>
        <v>86.688044061531144</v>
      </c>
      <c r="Q186" s="270">
        <f t="shared" si="211"/>
        <v>0</v>
      </c>
    </row>
    <row r="187" spans="3:17" ht="13.5" thickBot="1">
      <c r="C187" s="17" t="str" cm="1">
        <f t="array" ref="C187">INDEX('List Values'!$B$2:$B$18,(1+ROUNDDOWN((ROW()-ROW($C$106))*1/6,2)))</f>
        <v>Use of Laboratory Chemicals</v>
      </c>
      <c r="D187" s="313" t="s">
        <v>206</v>
      </c>
      <c r="E187" s="313" t="s">
        <v>93</v>
      </c>
      <c r="F187" s="318">
        <f t="shared" ref="F187:H187" si="260">F$104/F86</f>
        <v>796.67500000000007</v>
      </c>
      <c r="G187" s="318">
        <f t="shared" si="260"/>
        <v>1086.3750000000002</v>
      </c>
      <c r="H187" s="318">
        <f t="shared" si="260"/>
        <v>1237.3888297872343</v>
      </c>
      <c r="I187" s="270">
        <f t="shared" si="207"/>
        <v>0</v>
      </c>
      <c r="J187" s="318">
        <f t="shared" ref="J187:L187" si="261">IFERROR(J$104/J86,"")</f>
        <v>466.21898408239707</v>
      </c>
      <c r="K187" s="318">
        <f t="shared" si="261"/>
        <v>635.75316011235964</v>
      </c>
      <c r="L187" s="318">
        <f t="shared" si="261"/>
        <v>724.127358255638</v>
      </c>
      <c r="M187" s="270">
        <f t="shared" si="209"/>
        <v>0</v>
      </c>
      <c r="N187" s="379">
        <f t="shared" ref="N187:P187" si="262">N$104/N86</f>
        <v>294.10624630832848</v>
      </c>
      <c r="O187" s="379">
        <f t="shared" si="262"/>
        <v>401.05397223862974</v>
      </c>
      <c r="P187" s="379">
        <f t="shared" si="262"/>
        <v>456.80331873421233</v>
      </c>
      <c r="Q187" s="270">
        <f t="shared" si="211"/>
        <v>0</v>
      </c>
    </row>
    <row r="188" spans="3:17" ht="13.5" thickBot="1">
      <c r="C188" s="17" t="str" cm="1">
        <f t="array" ref="C188">INDEX('List Values'!$B$2:$B$18,(1+ROUNDDOWN((ROW()-ROW($C$106))*1/6,2)))</f>
        <v>Use of Laboratory Chemicals</v>
      </c>
      <c r="D188" s="313" t="s">
        <v>94</v>
      </c>
      <c r="E188" s="313" t="s">
        <v>92</v>
      </c>
      <c r="F188" s="318">
        <f t="shared" ref="F188:H188" si="263">F$104/F87</f>
        <v>880</v>
      </c>
      <c r="G188" s="318">
        <f t="shared" si="263"/>
        <v>1200.0000000000002</v>
      </c>
      <c r="H188" s="318">
        <f t="shared" si="263"/>
        <v>1284.8000000000002</v>
      </c>
      <c r="I188" s="270">
        <f t="shared" si="207"/>
        <v>0</v>
      </c>
      <c r="J188" s="318">
        <f t="shared" ref="J188:L188" si="264">IFERROR(J$104/J87,"")</f>
        <v>428.34890965732092</v>
      </c>
      <c r="K188" s="318">
        <f t="shared" si="264"/>
        <v>584.1121495327103</v>
      </c>
      <c r="L188" s="318">
        <f t="shared" si="264"/>
        <v>625.38940809968847</v>
      </c>
      <c r="M188" s="270">
        <f t="shared" si="209"/>
        <v>0</v>
      </c>
      <c r="N188" s="379">
        <f t="shared" ref="N188:P188" si="265">N$104/N87</f>
        <v>288.10895756940806</v>
      </c>
      <c r="O188" s="379">
        <f t="shared" si="265"/>
        <v>392.87585123101104</v>
      </c>
      <c r="P188" s="379">
        <f t="shared" si="265"/>
        <v>420.63907805133579</v>
      </c>
      <c r="Q188" s="270">
        <f t="shared" si="211"/>
        <v>0</v>
      </c>
    </row>
    <row r="189" spans="3:17" ht="13.5" thickBot="1">
      <c r="C189" s="17" t="str" cm="1">
        <f t="array" ref="C189">INDEX('List Values'!$B$2:$B$18,(1+ROUNDDOWN((ROW()-ROW($C$106))*1/6,2)))</f>
        <v>Use of Laboratory Chemicals</v>
      </c>
      <c r="D189" s="313" t="s">
        <v>94</v>
      </c>
      <c r="E189" s="313" t="s">
        <v>93</v>
      </c>
      <c r="F189" s="318">
        <f t="shared" ref="F189:H189" si="266">F$104/F88</f>
        <v>880</v>
      </c>
      <c r="G189" s="318">
        <f t="shared" si="266"/>
        <v>1200.0000000000002</v>
      </c>
      <c r="H189" s="318">
        <f t="shared" si="266"/>
        <v>1366.8085106382978</v>
      </c>
      <c r="I189" s="270">
        <f t="shared" si="207"/>
        <v>0</v>
      </c>
      <c r="J189" s="318">
        <f t="shared" ref="J189:L189" si="267">IFERROR(J$104/J88,"")</f>
        <v>428.34890965732092</v>
      </c>
      <c r="K189" s="318">
        <f t="shared" si="267"/>
        <v>584.1121495327103</v>
      </c>
      <c r="L189" s="318">
        <f t="shared" si="267"/>
        <v>665.30788095711546</v>
      </c>
      <c r="M189" s="270">
        <f t="shared" si="209"/>
        <v>0</v>
      </c>
      <c r="N189" s="379">
        <f t="shared" ref="N189:P189" si="268">N$104/N88</f>
        <v>288.10895756940806</v>
      </c>
      <c r="O189" s="379">
        <f t="shared" si="268"/>
        <v>392.87585123101104</v>
      </c>
      <c r="P189" s="379">
        <f t="shared" si="268"/>
        <v>447.48838090567637</v>
      </c>
      <c r="Q189" s="270">
        <f t="shared" si="211"/>
        <v>0</v>
      </c>
    </row>
    <row r="190" spans="3:17" ht="13.5" thickBot="1">
      <c r="C190" s="17" t="str" cm="1">
        <f t="array" ref="C190">INDEX('List Values'!$B$2:$B$18,(1+ROUNDDOWN((ROW()-ROW($C$106))*1/6,2)))</f>
        <v>Recycling</v>
      </c>
      <c r="D190" s="440" t="s">
        <v>74</v>
      </c>
      <c r="E190" s="441" t="s">
        <v>92</v>
      </c>
      <c r="F190" s="442">
        <f t="shared" ref="F190:H190" si="269">F$104/F89</f>
        <v>172.54901960784315</v>
      </c>
      <c r="G190" s="442">
        <f t="shared" si="269"/>
        <v>235.29411764705881</v>
      </c>
      <c r="H190" s="442">
        <f t="shared" si="269"/>
        <v>251.92156862745099</v>
      </c>
      <c r="I190" s="443">
        <f t="shared" si="207"/>
        <v>0</v>
      </c>
      <c r="J190" s="442">
        <f t="shared" ref="J190:L190" si="270">IFERROR(J$104/J89,"")</f>
        <v>214.17445482866046</v>
      </c>
      <c r="K190" s="442">
        <f t="shared" si="270"/>
        <v>292.05607476635515</v>
      </c>
      <c r="L190" s="442">
        <f t="shared" si="270"/>
        <v>312.69470404984423</v>
      </c>
      <c r="M190" s="443">
        <f t="shared" si="209"/>
        <v>0</v>
      </c>
      <c r="N190" s="444">
        <f t="shared" ref="N190:P190" si="271">N$104/N89</f>
        <v>95.560767961080714</v>
      </c>
      <c r="O190" s="444">
        <f t="shared" si="271"/>
        <v>130.31013812874642</v>
      </c>
      <c r="P190" s="444">
        <f t="shared" si="271"/>
        <v>139.51872122317783</v>
      </c>
      <c r="Q190" s="443">
        <f t="shared" si="211"/>
        <v>0</v>
      </c>
    </row>
    <row r="191" spans="3:17" ht="13.5" thickBot="1">
      <c r="C191" s="17" t="str" cm="1">
        <f t="array" ref="C191">INDEX('List Values'!$B$2:$B$18,(1+ROUNDDOWN((ROW()-ROW($C$106))*1/6,2)))</f>
        <v>Recycling</v>
      </c>
      <c r="D191" s="440" t="s">
        <v>74</v>
      </c>
      <c r="E191" s="440" t="s">
        <v>93</v>
      </c>
      <c r="F191" s="442">
        <f t="shared" ref="F191:H191" si="272">F$104/F90</f>
        <v>172.54901960784315</v>
      </c>
      <c r="G191" s="442">
        <f t="shared" si="272"/>
        <v>235.29411764705881</v>
      </c>
      <c r="H191" s="442">
        <f t="shared" si="272"/>
        <v>251.92156862745099</v>
      </c>
      <c r="I191" s="443">
        <f t="shared" si="207"/>
        <v>0</v>
      </c>
      <c r="J191" s="442">
        <f t="shared" ref="J191:L191" si="273">IFERROR(J$104/J90,"")</f>
        <v>428.34890965732092</v>
      </c>
      <c r="K191" s="442">
        <f t="shared" si="273"/>
        <v>584.1121495327103</v>
      </c>
      <c r="L191" s="442">
        <f t="shared" si="273"/>
        <v>625.38940809968847</v>
      </c>
      <c r="M191" s="443">
        <f t="shared" si="209"/>
        <v>0</v>
      </c>
      <c r="N191" s="444">
        <f t="shared" ref="N191:P191" si="274">N$104/N90</f>
        <v>123.00123001230014</v>
      </c>
      <c r="O191" s="444">
        <f t="shared" si="274"/>
        <v>167.7289500167729</v>
      </c>
      <c r="P191" s="444">
        <f t="shared" si="274"/>
        <v>179.58179581795818</v>
      </c>
      <c r="Q191" s="443">
        <f t="shared" si="211"/>
        <v>0</v>
      </c>
    </row>
    <row r="192" spans="3:17" ht="13.5" thickBot="1">
      <c r="C192" s="17" t="str" cm="1">
        <f t="array" ref="C192">INDEX('List Values'!$B$2:$B$18,(1+ROUNDDOWN((ROW()-ROW($C$106))*1/6,2)))</f>
        <v>Recycling</v>
      </c>
      <c r="D192" s="440" t="s">
        <v>206</v>
      </c>
      <c r="E192" s="440" t="s">
        <v>92</v>
      </c>
      <c r="F192" s="442">
        <f t="shared" ref="F192:H192" si="275">F$104/F91</f>
        <v>156.21078431372553</v>
      </c>
      <c r="G192" s="442">
        <f t="shared" si="275"/>
        <v>213.01470588235298</v>
      </c>
      <c r="H192" s="442">
        <f t="shared" si="275"/>
        <v>228.0677450980393</v>
      </c>
      <c r="I192" s="443">
        <f t="shared" si="207"/>
        <v>0</v>
      </c>
      <c r="J192" s="442">
        <f t="shared" ref="J192:L192" si="276">IFERROR(J$104/J91,"")</f>
        <v>233.10949204119854</v>
      </c>
      <c r="K192" s="442">
        <f t="shared" si="276"/>
        <v>317.87658005617982</v>
      </c>
      <c r="L192" s="442">
        <f t="shared" si="276"/>
        <v>340.33985838014991</v>
      </c>
      <c r="M192" s="443">
        <f t="shared" si="209"/>
        <v>0</v>
      </c>
      <c r="N192" s="444">
        <f t="shared" ref="N192:P192" si="277">N$104/N91</f>
        <v>93.532802667418068</v>
      </c>
      <c r="O192" s="444">
        <f t="shared" si="277"/>
        <v>127.54473091011553</v>
      </c>
      <c r="P192" s="444">
        <f t="shared" si="277"/>
        <v>136.55789189443041</v>
      </c>
      <c r="Q192" s="443">
        <f t="shared" si="211"/>
        <v>0</v>
      </c>
    </row>
    <row r="193" spans="3:17" ht="13.5" thickBot="1">
      <c r="C193" s="17" t="str" cm="1">
        <f t="array" ref="C193">INDEX('List Values'!$B$2:$B$18,(1+ROUNDDOWN((ROW()-ROW($C$106))*1/6,2)))</f>
        <v>Recycling</v>
      </c>
      <c r="D193" s="440" t="s">
        <v>206</v>
      </c>
      <c r="E193" s="440" t="s">
        <v>93</v>
      </c>
      <c r="F193" s="442">
        <f t="shared" ref="F193:H193" si="278">F$104/F92</f>
        <v>156.21078431372553</v>
      </c>
      <c r="G193" s="442">
        <f t="shared" si="278"/>
        <v>213.01470588235298</v>
      </c>
      <c r="H193" s="442">
        <f t="shared" si="278"/>
        <v>228.06774509803927</v>
      </c>
      <c r="I193" s="443">
        <f t="shared" si="207"/>
        <v>0</v>
      </c>
      <c r="J193" s="442">
        <f t="shared" ref="J193:L193" si="279">IFERROR(J$104/J92,"")</f>
        <v>466.21898408239707</v>
      </c>
      <c r="K193" s="442">
        <f t="shared" si="279"/>
        <v>635.75316011235964</v>
      </c>
      <c r="L193" s="442">
        <f t="shared" si="279"/>
        <v>680.67971676029981</v>
      </c>
      <c r="M193" s="443">
        <f t="shared" si="209"/>
        <v>0</v>
      </c>
      <c r="N193" s="444">
        <f t="shared" ref="N193:P193" si="280">N$104/N92</f>
        <v>117.00666784161676</v>
      </c>
      <c r="O193" s="444">
        <f t="shared" si="280"/>
        <v>159.55454705675012</v>
      </c>
      <c r="P193" s="444">
        <f t="shared" si="280"/>
        <v>170.82973504876045</v>
      </c>
      <c r="Q193" s="443">
        <f t="shared" si="211"/>
        <v>0</v>
      </c>
    </row>
    <row r="194" spans="3:17" ht="13.5" thickBot="1">
      <c r="C194" s="17" t="str" cm="1">
        <f t="array" ref="C194">INDEX('List Values'!$B$2:$B$18,(1+ROUNDDOWN((ROW()-ROW($C$106))*1/6,2)))</f>
        <v>Recycling</v>
      </c>
      <c r="D194" s="440" t="s">
        <v>94</v>
      </c>
      <c r="E194" s="441" t="s">
        <v>92</v>
      </c>
      <c r="F194" s="442">
        <f t="shared" ref="F194:H194" si="281">F$104/F93</f>
        <v>172.54901960784315</v>
      </c>
      <c r="G194" s="442">
        <f t="shared" si="281"/>
        <v>235.29411764705881</v>
      </c>
      <c r="H194" s="442">
        <f t="shared" si="281"/>
        <v>251.92156862745099</v>
      </c>
      <c r="I194" s="443">
        <f t="shared" si="207"/>
        <v>0</v>
      </c>
      <c r="J194" s="442">
        <f t="shared" ref="J194:L194" si="282">IFERROR(J$104/J93,"")</f>
        <v>428.34890965732092</v>
      </c>
      <c r="K194" s="442">
        <f t="shared" si="282"/>
        <v>584.1121495327103</v>
      </c>
      <c r="L194" s="442">
        <f t="shared" si="282"/>
        <v>625.38940809968847</v>
      </c>
      <c r="M194" s="443">
        <f t="shared" si="209"/>
        <v>0</v>
      </c>
      <c r="N194" s="444">
        <f t="shared" ref="N194:P194" si="283">N$104/N93</f>
        <v>123.00123001230014</v>
      </c>
      <c r="O194" s="444">
        <f t="shared" si="283"/>
        <v>167.7289500167729</v>
      </c>
      <c r="P194" s="444">
        <f t="shared" si="283"/>
        <v>179.58179581795818</v>
      </c>
      <c r="Q194" s="443">
        <f t="shared" si="211"/>
        <v>0</v>
      </c>
    </row>
    <row r="195" spans="3:17" ht="13.5" thickBot="1">
      <c r="C195" s="17" t="str" cm="1">
        <f t="array" ref="C195">INDEX('List Values'!$B$2:$B$18,(1+ROUNDDOWN((ROW()-ROW($C$106))*1/6,2)))</f>
        <v>Recycling</v>
      </c>
      <c r="D195" s="440" t="s">
        <v>94</v>
      </c>
      <c r="E195" s="440" t="s">
        <v>93</v>
      </c>
      <c r="F195" s="442">
        <f t="shared" ref="F195:H195" si="284">F$104/F94</f>
        <v>172.54901960784315</v>
      </c>
      <c r="G195" s="442">
        <f t="shared" si="284"/>
        <v>235.29411764705881</v>
      </c>
      <c r="H195" s="442">
        <f t="shared" si="284"/>
        <v>251.92156862745099</v>
      </c>
      <c r="I195" s="443">
        <f t="shared" si="207"/>
        <v>0</v>
      </c>
      <c r="J195" s="442">
        <f t="shared" ref="J195:L195" si="285">IFERROR(J$104/J94,"")</f>
        <v>428.34890965732092</v>
      </c>
      <c r="K195" s="442">
        <f t="shared" si="285"/>
        <v>584.1121495327103</v>
      </c>
      <c r="L195" s="442">
        <f t="shared" si="285"/>
        <v>625.38940809968847</v>
      </c>
      <c r="M195" s="443">
        <f t="shared" si="209"/>
        <v>0</v>
      </c>
      <c r="N195" s="444">
        <f t="shared" ref="N195:P195" si="286">N$104/N94</f>
        <v>123.00123001230014</v>
      </c>
      <c r="O195" s="444">
        <f t="shared" si="286"/>
        <v>167.7289500167729</v>
      </c>
      <c r="P195" s="444">
        <f t="shared" si="286"/>
        <v>179.58179581795818</v>
      </c>
      <c r="Q195" s="443">
        <f t="shared" si="211"/>
        <v>0</v>
      </c>
    </row>
    <row r="196" spans="3:17" ht="13.5" thickBot="1">
      <c r="C196" s="17" t="str" cm="1">
        <f t="array" ref="C196">INDEX('List Values'!$B$2:$B$18,(1+ROUNDDOWN((ROW()-ROW($C$106))*1/6,2)))</f>
        <v>Fabrication or Use of Final Products and Articles</v>
      </c>
      <c r="D196" s="313" t="s">
        <v>74</v>
      </c>
      <c r="E196" s="308" t="s">
        <v>92</v>
      </c>
      <c r="F196" s="318">
        <f t="shared" ref="F196:H196" si="287">F$104/F95</f>
        <v>67.692307692307693</v>
      </c>
      <c r="G196" s="318">
        <f t="shared" si="287"/>
        <v>92.307692307692307</v>
      </c>
      <c r="H196" s="318">
        <f t="shared" si="287"/>
        <v>103.81383322559792</v>
      </c>
      <c r="I196" s="270">
        <f t="shared" si="207"/>
        <v>0</v>
      </c>
      <c r="J196" s="318">
        <f t="shared" ref="J196:L196" si="288">IFERROR(J$104/J95,"")</f>
        <v>214.17445482866046</v>
      </c>
      <c r="K196" s="318">
        <f t="shared" si="288"/>
        <v>292.05607476635515</v>
      </c>
      <c r="L196" s="318">
        <f t="shared" si="288"/>
        <v>328.46082358176926</v>
      </c>
      <c r="M196" s="270">
        <f t="shared" si="209"/>
        <v>0</v>
      </c>
      <c r="N196" s="379">
        <f t="shared" ref="N196:P196" si="289">N$104/N95</f>
        <v>51.435518563546246</v>
      </c>
      <c r="O196" s="379">
        <f t="shared" si="289"/>
        <v>70.139343495744882</v>
      </c>
      <c r="P196" s="379">
        <f t="shared" si="289"/>
        <v>78.882202839052013</v>
      </c>
      <c r="Q196" s="270">
        <f t="shared" si="211"/>
        <v>0</v>
      </c>
    </row>
    <row r="197" spans="3:17" ht="13.5" thickBot="1">
      <c r="C197" s="17" t="str" cm="1">
        <f t="array" ref="C197">INDEX('List Values'!$B$2:$B$18,(1+ROUNDDOWN((ROW()-ROW($C$106))*1/6,2)))</f>
        <v>Fabrication or Use of Final Products and Articles</v>
      </c>
      <c r="D197" s="313" t="s">
        <v>74</v>
      </c>
      <c r="E197" s="313" t="s">
        <v>93</v>
      </c>
      <c r="F197" s="318">
        <f t="shared" ref="F197:H197" si="290">F$104/F96</f>
        <v>146.66666666666669</v>
      </c>
      <c r="G197" s="318">
        <f t="shared" si="290"/>
        <v>200.00000000000003</v>
      </c>
      <c r="H197" s="318">
        <f t="shared" si="290"/>
        <v>224.92997198879556</v>
      </c>
      <c r="I197" s="270">
        <f t="shared" si="207"/>
        <v>0</v>
      </c>
      <c r="J197" s="318">
        <f t="shared" ref="J197:L197" si="291">IFERROR(J$104/J96,"")</f>
        <v>428.34890965732092</v>
      </c>
      <c r="K197" s="318">
        <f t="shared" si="291"/>
        <v>584.1121495327103</v>
      </c>
      <c r="L197" s="318">
        <f t="shared" si="291"/>
        <v>656.92164716353852</v>
      </c>
      <c r="M197" s="270">
        <f t="shared" si="209"/>
        <v>0</v>
      </c>
      <c r="N197" s="379">
        <f t="shared" ref="N197:P197" si="292">N$104/N96</f>
        <v>109.25705204608661</v>
      </c>
      <c r="O197" s="379">
        <f t="shared" si="292"/>
        <v>148.9868891537545</v>
      </c>
      <c r="P197" s="379">
        <f t="shared" si="292"/>
        <v>167.55808402025892</v>
      </c>
      <c r="Q197" s="270">
        <f t="shared" si="211"/>
        <v>0</v>
      </c>
    </row>
    <row r="198" spans="3:17" ht="13.5" thickBot="1">
      <c r="C198" s="17" t="str" cm="1">
        <f t="array" ref="C198">INDEX('List Values'!$B$2:$B$18,(1+ROUNDDOWN((ROW()-ROW($C$106))*1/6,2)))</f>
        <v>Fabrication or Use of Final Products and Articles</v>
      </c>
      <c r="D198" s="313" t="s">
        <v>206</v>
      </c>
      <c r="E198" s="313" t="s">
        <v>92</v>
      </c>
      <c r="F198" s="318">
        <f t="shared" ref="F198:H198" si="293">F$104/F97</f>
        <v>61.282692307692322</v>
      </c>
      <c r="G198" s="318">
        <f t="shared" si="293"/>
        <v>83.567307692307708</v>
      </c>
      <c r="H198" s="318">
        <f t="shared" si="293"/>
        <v>93.983960892049168</v>
      </c>
      <c r="I198" s="270">
        <f t="shared" si="207"/>
        <v>0</v>
      </c>
      <c r="J198" s="318">
        <f t="shared" ref="J198:L198" si="294">IFERROR(J$104/J97,"")</f>
        <v>233.10949204119854</v>
      </c>
      <c r="K198" s="318">
        <f t="shared" si="294"/>
        <v>317.87658005617982</v>
      </c>
      <c r="L198" s="318">
        <f t="shared" si="294"/>
        <v>357.49985123965325</v>
      </c>
      <c r="M198" s="270">
        <f t="shared" si="209"/>
        <v>0</v>
      </c>
      <c r="N198" s="379">
        <f t="shared" ref="N198:P198" si="295">N$104/N97</f>
        <v>48.525667576259636</v>
      </c>
      <c r="O198" s="379">
        <f t="shared" si="295"/>
        <v>66.171364876717675</v>
      </c>
      <c r="P198" s="379">
        <f t="shared" si="295"/>
        <v>74.419616240902386</v>
      </c>
      <c r="Q198" s="270">
        <f t="shared" si="211"/>
        <v>0</v>
      </c>
    </row>
    <row r="199" spans="3:17" ht="13.5" thickBot="1">
      <c r="C199" s="17" t="str" cm="1">
        <f t="array" ref="C199">INDEX('List Values'!$B$2:$B$18,(1+ROUNDDOWN((ROW()-ROW($C$106))*1/6,2)))</f>
        <v>Fabrication or Use of Final Products and Articles</v>
      </c>
      <c r="D199" s="313" t="s">
        <v>206</v>
      </c>
      <c r="E199" s="313" t="s">
        <v>93</v>
      </c>
      <c r="F199" s="318">
        <f t="shared" ref="F199:H199" si="296">F$104/F98</f>
        <v>132.7791666666667</v>
      </c>
      <c r="G199" s="318">
        <f t="shared" si="296"/>
        <v>181.06250000000009</v>
      </c>
      <c r="H199" s="318">
        <f t="shared" si="296"/>
        <v>203.63191526610649</v>
      </c>
      <c r="I199" s="270">
        <f t="shared" si="207"/>
        <v>0</v>
      </c>
      <c r="J199" s="318">
        <f t="shared" ref="J199:L199" si="297">IFERROR(J$104/J98,"")</f>
        <v>466.21898408239707</v>
      </c>
      <c r="K199" s="318">
        <f t="shared" si="297"/>
        <v>635.75316011235964</v>
      </c>
      <c r="L199" s="318">
        <f t="shared" si="297"/>
        <v>714.99970247930639</v>
      </c>
      <c r="M199" s="270">
        <f t="shared" si="209"/>
        <v>0</v>
      </c>
      <c r="N199" s="379">
        <f t="shared" ref="N199:P199" si="298">N$104/N98</f>
        <v>103.34617579908678</v>
      </c>
      <c r="O199" s="379">
        <f t="shared" si="298"/>
        <v>140.92660336239109</v>
      </c>
      <c r="P199" s="379">
        <f t="shared" si="298"/>
        <v>158.4930847338936</v>
      </c>
      <c r="Q199" s="270">
        <f t="shared" si="211"/>
        <v>0</v>
      </c>
    </row>
    <row r="200" spans="3:17" ht="13.5" thickBot="1">
      <c r="C200" s="17" t="str" cm="1">
        <f t="array" ref="C200">INDEX('List Values'!$B$2:$B$18,(1+ROUNDDOWN((ROW()-ROW($C$106))*1/6,2)))</f>
        <v>Fabrication or Use of Final Products and Articles</v>
      </c>
      <c r="D200" s="313" t="s">
        <v>94</v>
      </c>
      <c r="E200" s="308" t="s">
        <v>92</v>
      </c>
      <c r="F200" s="318">
        <f t="shared" ref="F200:H200" si="299">F$104/F99</f>
        <v>220</v>
      </c>
      <c r="G200" s="318">
        <f t="shared" si="299"/>
        <v>300.00000000000006</v>
      </c>
      <c r="H200" s="318">
        <f t="shared" si="299"/>
        <v>337.39495798319336</v>
      </c>
      <c r="I200" s="270">
        <f t="shared" si="207"/>
        <v>0</v>
      </c>
      <c r="J200" s="318">
        <f t="shared" ref="J200:L200" si="300">IFERROR(J$104/J99,"")</f>
        <v>428.34890965732092</v>
      </c>
      <c r="K200" s="318">
        <f t="shared" si="300"/>
        <v>584.1121495327103</v>
      </c>
      <c r="L200" s="318">
        <f t="shared" si="300"/>
        <v>656.92164716353852</v>
      </c>
      <c r="M200" s="270">
        <f t="shared" si="209"/>
        <v>0</v>
      </c>
      <c r="N200" s="379">
        <f t="shared" ref="N200:P200" si="301">N$104/N99</f>
        <v>145.34883720930233</v>
      </c>
      <c r="O200" s="379">
        <f t="shared" si="301"/>
        <v>198.20295983086683</v>
      </c>
      <c r="P200" s="379">
        <f t="shared" si="301"/>
        <v>222.90893101426622</v>
      </c>
      <c r="Q200" s="270">
        <f t="shared" si="211"/>
        <v>0</v>
      </c>
    </row>
    <row r="201" spans="3:17">
      <c r="C201" s="17" t="str" cm="1">
        <f t="array" ref="C201">INDEX('List Values'!$B$2:$B$18,(1+ROUNDDOWN((ROW()-ROW($C$106))*1/6,2)))</f>
        <v>Fabrication or Use of Final Products and Articles</v>
      </c>
      <c r="D201" s="313" t="s">
        <v>94</v>
      </c>
      <c r="E201" s="313" t="s">
        <v>93</v>
      </c>
      <c r="F201" s="318">
        <f t="shared" ref="F201:H201" si="302">F$104/F100</f>
        <v>220</v>
      </c>
      <c r="G201" s="318">
        <f t="shared" si="302"/>
        <v>300.00000000000006</v>
      </c>
      <c r="H201" s="318">
        <f t="shared" si="302"/>
        <v>337.39495798319331</v>
      </c>
      <c r="I201" s="270">
        <f t="shared" si="207"/>
        <v>0</v>
      </c>
      <c r="J201" s="318">
        <f t="shared" ref="J201:L201" si="303">IFERROR(J$104/J100,"")</f>
        <v>428.34890965732092</v>
      </c>
      <c r="K201" s="318">
        <f t="shared" si="303"/>
        <v>584.1121495327103</v>
      </c>
      <c r="L201" s="318">
        <f t="shared" si="303"/>
        <v>656.92164716353852</v>
      </c>
      <c r="M201" s="270">
        <f t="shared" si="209"/>
        <v>0</v>
      </c>
      <c r="N201" s="379">
        <f t="shared" ref="N201:P201" si="304">N$104/N100</f>
        <v>145.34883720930233</v>
      </c>
      <c r="O201" s="379">
        <f t="shared" si="304"/>
        <v>198.20295983086683</v>
      </c>
      <c r="P201" s="379">
        <f t="shared" si="304"/>
        <v>222.90893101426622</v>
      </c>
      <c r="Q201" s="270">
        <f t="shared" si="211"/>
        <v>0</v>
      </c>
    </row>
  </sheetData>
  <sheetProtection sheet="1" objects="1" scenarios="1"/>
  <dataConsolidate link="1"/>
  <mergeCells count="6">
    <mergeCell ref="F102:I102"/>
    <mergeCell ref="J102:M102"/>
    <mergeCell ref="N102:Q102"/>
    <mergeCell ref="N3:Q3"/>
    <mergeCell ref="F3:I3"/>
    <mergeCell ref="J3:M3"/>
  </mergeCells>
  <conditionalFormatting sqref="F106:H201 N106:Q201">
    <cfRule type="cellIs" dxfId="67" priority="24" operator="lessThan">
      <formula>F$103</formula>
    </cfRule>
  </conditionalFormatting>
  <conditionalFormatting sqref="F5:M100">
    <cfRule type="cellIs" dxfId="66" priority="3" operator="equal">
      <formula>0</formula>
    </cfRule>
    <cfRule type="cellIs" dxfId="65" priority="4" operator="greaterThan">
      <formula>10000</formula>
    </cfRule>
    <cfRule type="cellIs" dxfId="64" priority="5" operator="between">
      <formula>10</formula>
      <formula>9999.999</formula>
    </cfRule>
    <cfRule type="cellIs" dxfId="63" priority="6" operator="between">
      <formula>1</formula>
      <formula>9.999</formula>
    </cfRule>
    <cfRule type="cellIs" dxfId="62" priority="7" operator="between">
      <formula>0.1</formula>
      <formula>0.999</formula>
    </cfRule>
    <cfRule type="cellIs" dxfId="61" priority="8" operator="lessThan">
      <formula>0.1</formula>
    </cfRule>
  </conditionalFormatting>
  <conditionalFormatting sqref="F106:Q201">
    <cfRule type="cellIs" dxfId="60" priority="1" stopIfTrue="1" operator="equal">
      <formula>0</formula>
    </cfRule>
    <cfRule type="containsBlanks" dxfId="59" priority="9" stopIfTrue="1">
      <formula>LEN(TRIM(F106))=0</formula>
    </cfRule>
    <cfRule type="cellIs" dxfId="58" priority="26" operator="lessThan">
      <formula>0.1</formula>
    </cfRule>
    <cfRule type="cellIs" dxfId="57" priority="27" operator="lessThan">
      <formula>10</formula>
    </cfRule>
    <cfRule type="cellIs" dxfId="56" priority="957" operator="greaterThanOrEqual">
      <formula>10</formula>
    </cfRule>
    <cfRule type="cellIs" dxfId="55" priority="966" operator="greaterThanOrEqual">
      <formula>F$103</formula>
    </cfRule>
    <cfRule type="cellIs" dxfId="54" priority="967" operator="lessThan">
      <formula>F$103</formula>
    </cfRule>
  </conditionalFormatting>
  <conditionalFormatting sqref="I106:I201 M106:M201 Q106:Q201">
    <cfRule type="cellIs" dxfId="53" priority="960" operator="lessThanOrEqual">
      <formula>I$103</formula>
    </cfRule>
  </conditionalFormatting>
  <conditionalFormatting sqref="M106:M201">
    <cfRule type="cellIs" dxfId="52" priority="970" operator="greaterThan">
      <formula>O$103</formula>
    </cfRule>
    <cfRule type="cellIs" dxfId="51" priority="971" operator="lessThanOrEqual">
      <formula>O$103</formula>
    </cfRule>
  </conditionalFormatting>
  <conditionalFormatting sqref="N106:Q201 F106:H201">
    <cfRule type="cellIs" dxfId="50" priority="23" operator="greaterThanOrEqual">
      <formula>F$103</formula>
    </cfRule>
  </conditionalFormatting>
  <conditionalFormatting sqref="Q106:Q201 I106:I201 M106:M201">
    <cfRule type="cellIs" dxfId="49" priority="959" operator="greaterThan">
      <formula>I$103</formula>
    </cfRule>
  </conditionalFormatting>
  <conditionalFormatting sqref="Q106:Q201">
    <cfRule type="cellIs" dxfId="48" priority="20" operator="greaterThan">
      <formula>R$103</formula>
    </cfRule>
    <cfRule type="cellIs" dxfId="47" priority="25" operator="lessThanOrEqual">
      <formula>R$103</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fa91fb-a0ff-4ac5-b2db-65c790d184a4">
      <Value>1292</Value>
      <Value>1291</Value>
      <Value>1198</Value>
      <Value>1288</Value>
    </TaxCatchAll>
    <lcf76f155ced4ddcb4097134ff3c332f xmlns="ead8da0f-3542-4e50-96c8-f1f698624e86">
      <Terms xmlns="http://schemas.microsoft.com/office/infopath/2007/PartnerControls"/>
    </lcf76f155ced4ddcb4097134ff3c332f>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pce</TermName>
          <TermId xmlns="http://schemas.microsoft.com/office/infopath/2007/PartnerControls">caf6799b-46ab-451a-9b15-6162a8525ea8</TermId>
        </TermInfo>
        <TermInfo xmlns="http://schemas.microsoft.com/office/infopath/2007/PartnerControls">
          <TermName xmlns="http://schemas.microsoft.com/office/infopath/2007/PartnerControls">occupational exposures</TermName>
          <TermId xmlns="http://schemas.microsoft.com/office/infopath/2007/PartnerControls">18774c37-cb29-4db0-967a-47bce933212b</TermId>
        </TermInfo>
        <TermInfo xmlns="http://schemas.microsoft.com/office/infopath/2007/PartnerControls">
          <TermName xmlns="http://schemas.microsoft.com/office/infopath/2007/PartnerControls">risk calculator</TermName>
          <TermId xmlns="http://schemas.microsoft.com/office/infopath/2007/PartnerControls">8af20125-90c4-4af3-92eb-7f5682895c4d</TermId>
        </TermInfo>
        <TermInfo xmlns="http://schemas.microsoft.com/office/infopath/2007/PartnerControls">
          <TermName xmlns="http://schemas.microsoft.com/office/infopath/2007/PartnerControls">Tetrachloroethylene</TermName>
          <TermId xmlns="http://schemas.microsoft.com/office/infopath/2007/PartnerControls">755bd87a-6ca9-4042-aecb-9586ff92b9b0</TermId>
        </TermInfo>
      </Term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2025-09-17T18:17:29+00:00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723352F79007E408EFF44D6142FFCE2" ma:contentTypeVersion="21" ma:contentTypeDescription="Create a new document." ma:contentTypeScope="" ma:versionID="6ac47ccbc9efb37c530411a1abf678b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fecc2597-e8fd-4279-ac06-bd7c891938be" xmlns:ns6="ead8da0f-3542-4e50-96c8-f1f698624e86" targetNamespace="http://schemas.microsoft.com/office/2006/metadata/properties" ma:root="true" ma:fieldsID="d7d0fad56e7f41310fc88016d86f57c2" ns1:_="" ns2:_="" ns3:_="" ns4:_="" ns5:_="" ns6:_="">
    <xsd:import namespace="http://schemas.microsoft.com/sharepoint/v3"/>
    <xsd:import namespace="4ffa91fb-a0ff-4ac5-b2db-65c790d184a4"/>
    <xsd:import namespace="http://schemas.microsoft.com/sharepoint.v3"/>
    <xsd:import namespace="http://schemas.microsoft.com/sharepoint/v3/fields"/>
    <xsd:import namespace="fecc2597-e8fd-4279-ac06-bd7c891938be"/>
    <xsd:import namespace="ead8da0f-3542-4e50-96c8-f1f698624e86"/>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MediaServiceMetadata" minOccurs="0"/>
                <xsd:element ref="ns6:MediaServiceFastMetadata" minOccurs="0"/>
                <xsd:element ref="ns6:MediaServiceAutoTags" minOccurs="0"/>
                <xsd:element ref="ns6:MediaServiceOCR" minOccurs="0"/>
                <xsd:element ref="ns6:MediaServiceGenerationTime" minOccurs="0"/>
                <xsd:element ref="ns6:MediaServiceEventHashCode" minOccurs="0"/>
                <xsd:element ref="ns1:_ip_UnifiedCompliancePolicyProperties" minOccurs="0"/>
                <xsd:element ref="ns1:_ip_UnifiedCompliancePolicyUIAction" minOccurs="0"/>
                <xsd:element ref="ns6:lcf76f155ced4ddcb4097134ff3c332f" minOccurs="0"/>
                <xsd:element ref="ns6:MediaServiceObjectDetectorVersions" minOccurs="0"/>
                <xsd:element ref="ns6:MediaServiceSearchProperties" minOccurs="0"/>
                <xsd:element ref="ns6:MediaServiceDateTaken" minOccurs="0"/>
                <xsd:element ref="ns6:MediaServiceLocation" minOccurs="0"/>
                <xsd:element ref="ns6: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160cad11-562a-4490-8456-b2fd6f157897}" ma:internalName="TaxCatchAllLabel" ma:readOnly="true" ma:showField="CatchAllDataLabel"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160cad11-562a-4490-8456-b2fd6f157897}" ma:internalName="TaxCatchAll" ma:showField="CatchAllData"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cc2597-e8fd-4279-ac06-bd7c891938be"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ad8da0f-3542-4e50-96c8-f1f698624e86" elementFormDefault="qualified">
    <xsd:import namespace="http://schemas.microsoft.com/office/2006/documentManagement/types"/>
    <xsd:import namespace="http://schemas.microsoft.com/office/infopath/2007/PartnerControls"/>
    <xsd:element name="MediaServiceMetadata" ma:index="31" nillable="true" ma:displayName="MediaServiceMetadata" ma:hidden="true" ma:internalName="MediaServiceMetadata" ma:readOnly="true">
      <xsd:simpleType>
        <xsd:restriction base="dms:Note"/>
      </xsd:simpleType>
    </xsd:element>
    <xsd:element name="MediaServiceFastMetadata" ma:index="32" nillable="true" ma:displayName="MediaServiceFastMetadata" ma:hidden="true" ma:internalName="MediaServiceFastMetadata" ma:readOnly="true">
      <xsd:simpleType>
        <xsd:restriction base="dms:Note"/>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1" nillable="true" ma:displayName="MediaServiceObjectDetectorVersions" ma:hidden="true" ma:indexed="true" ma:internalName="MediaServiceObjectDetectorVersions" ma:readOnly="true">
      <xsd:simpleType>
        <xsd:restriction base="dms:Text"/>
      </xsd:simpleType>
    </xsd:element>
    <xsd:element name="MediaServiceSearchProperties" ma:index="42" nillable="true" ma:displayName="MediaServiceSearchProperties" ma:hidden="true" ma:internalName="MediaServiceSearchProperties" ma:readOnly="true">
      <xsd:simpleType>
        <xsd:restriction base="dms:Note"/>
      </xsd:simpleType>
    </xsd:element>
    <xsd:element name="MediaServiceDateTaken" ma:index="43" nillable="true" ma:displayName="MediaServiceDateTaken" ma:description="" ma:hidden="true" ma:indexed="true" ma:internalName="MediaServiceDateTaken" ma:readOnly="true">
      <xsd:simpleType>
        <xsd:restriction base="dms:Text"/>
      </xsd:simpleType>
    </xsd:element>
    <xsd:element name="MediaServiceLocation" ma:index="44" nillable="true" ma:displayName="Location" ma:description="" ma:indexed="true" ma:internalName="MediaServiceLocation" ma:readOnly="true">
      <xsd:simpleType>
        <xsd:restriction base="dms:Text"/>
      </xsd:simpleType>
    </xsd:element>
    <xsd:element name="MediaLengthInSeconds" ma:index="4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A412F8B4-5788-4A50-8FDB-D7CA985C318F}"/>
</file>

<file path=customXml/itemProps2.xml><?xml version="1.0" encoding="utf-8"?>
<ds:datastoreItem xmlns:ds="http://schemas.openxmlformats.org/officeDocument/2006/customXml" ds:itemID="{C62E1E3B-D6A7-4F6E-8266-F45DD79BF199}"/>
</file>

<file path=customXml/itemProps3.xml><?xml version="1.0" encoding="utf-8"?>
<ds:datastoreItem xmlns:ds="http://schemas.openxmlformats.org/officeDocument/2006/customXml" ds:itemID="{1D6443C8-E698-4E03-A64C-85700607AA6D}"/>
</file>

<file path=customXml/itemProps4.xml><?xml version="1.0" encoding="utf-8"?>
<ds:datastoreItem xmlns:ds="http://schemas.openxmlformats.org/officeDocument/2006/customXml" ds:itemID="{81783FEA-499E-4F5F-9A1E-0CE02EC861A4}"/>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PCE Supplemental Information File Risk Calculator for Occupational Exposures</dc:title>
  <dc:subject>Risk Calculator for Occupational Exposures</dc:subject>
  <dc:creator>US EPA</dc:creator>
  <cp:keywords>Tetrachloroethylene ; risk calculator ; occupational exposures ; pce</cp:keywords>
  <dc:description/>
  <cp:lastModifiedBy>Peppriell, Ashley</cp:lastModifiedBy>
  <cp:revision/>
  <dcterms:created xsi:type="dcterms:W3CDTF">2014-03-17T14:32:48Z</dcterms:created>
  <dcterms:modified xsi:type="dcterms:W3CDTF">2025-12-18T18:39:07Z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0x010100D723352F79007E408EFF44D6142FFCE2</vt:lpwstr>
  </property>
  <property fmtid="{D5CDD505-2E9C-101B-9397-08002B2CF9AE}" pid="3" name="TaxKeyword">
    <vt:lpwstr>1292;#pce|caf6799b-46ab-451a-9b15-6162a8525ea8;#1291;#occupational exposures|18774c37-cb29-4db0-967a-47bce933212b;#1198;#risk calculator|8af20125-90c4-4af3-92eb-7f5682895c4d;#1288;#Tetrachloroethylene|755bd87a-6ca9-4042-aecb-9586ff92b9b0</vt:lpwstr>
  </property>
  <property fmtid="{D5CDD505-2E9C-101B-9397-08002B2CF9AE}" pid="4" name="EPA Subject">
    <vt:lpwstr/>
  </property>
  <property fmtid="{D5CDD505-2E9C-101B-9397-08002B2CF9AE}" pid="5" name="Document Type">
    <vt:lpwstr/>
  </property>
  <property fmtid="{D5CDD505-2E9C-101B-9397-08002B2CF9AE}" pid="6" name="MediaServiceImageTags">
    <vt:lpwstr/>
  </property>
  <property fmtid="{D5CDD505-2E9C-101B-9397-08002B2CF9AE}" pid="7" name="Document_x0020_Type">
    <vt:lpwstr/>
  </property>
  <property fmtid="{D5CDD505-2E9C-101B-9397-08002B2CF9AE}" pid="8" name="EPA_x0020_Subject">
    <vt:lpwstr/>
  </property>
</Properties>
</file>